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2020\INDICADORES\PAGINA WEB\"/>
    </mc:Choice>
  </mc:AlternateContent>
  <bookViews>
    <workbookView xWindow="0" yWindow="0" windowWidth="20490" windowHeight="8415"/>
  </bookViews>
  <sheets>
    <sheet name="SGTO POAI MARZO 31-2020" sheetId="1" r:id="rId1"/>
    <sheet name="UNIDADES" sheetId="5" r:id="rId2"/>
  </sheets>
  <externalReferences>
    <externalReference r:id="rId3"/>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05" i="1" l="1"/>
  <c r="K18" i="5" l="1"/>
  <c r="I18" i="5"/>
  <c r="G18" i="5"/>
  <c r="E18" i="5"/>
  <c r="K19" i="5"/>
  <c r="I19" i="5"/>
  <c r="G19" i="5"/>
  <c r="C22" i="5" l="1"/>
  <c r="C30" i="5"/>
  <c r="K20" i="5" l="1"/>
  <c r="K22" i="5" s="1"/>
  <c r="C34" i="5" s="1"/>
  <c r="I20" i="5"/>
  <c r="G20" i="5"/>
  <c r="E20" i="5"/>
  <c r="E22" i="5" s="1"/>
  <c r="C31" i="5" s="1"/>
  <c r="C20" i="5"/>
  <c r="C19" i="5"/>
  <c r="M19" i="5" s="1"/>
  <c r="N19" i="5" s="1"/>
  <c r="C18" i="5"/>
  <c r="C17" i="5"/>
  <c r="H17" i="5" s="1"/>
  <c r="J19" i="5"/>
  <c r="L19" i="5"/>
  <c r="J18" i="5"/>
  <c r="L18" i="5"/>
  <c r="M18" i="5"/>
  <c r="N18" i="5" s="1"/>
  <c r="J17" i="5"/>
  <c r="H19" i="5" l="1"/>
  <c r="F19" i="5"/>
  <c r="F17" i="5"/>
  <c r="F20" i="5"/>
  <c r="L20" i="5"/>
  <c r="L17" i="5"/>
  <c r="F18" i="5"/>
  <c r="H20" i="5"/>
  <c r="M17" i="5"/>
  <c r="M20" i="5" s="1"/>
  <c r="M22" i="5" s="1"/>
  <c r="C35" i="5" s="1"/>
  <c r="H18" i="5"/>
  <c r="I15" i="5"/>
  <c r="G15" i="5"/>
  <c r="C15" i="5"/>
  <c r="C14" i="5"/>
  <c r="N20" i="5" l="1"/>
  <c r="N17" i="5"/>
  <c r="J20" i="5"/>
  <c r="I13" i="5"/>
  <c r="C13" i="5"/>
  <c r="C12" i="5" l="1"/>
  <c r="I11" i="5" l="1"/>
  <c r="G11" i="5"/>
  <c r="C11" i="5"/>
  <c r="C10" i="5" l="1"/>
  <c r="C9" i="5" l="1"/>
  <c r="I8" i="5" l="1"/>
  <c r="G8" i="5"/>
  <c r="C8" i="5"/>
  <c r="C7" i="5"/>
  <c r="I6" i="5" l="1"/>
  <c r="G6" i="5"/>
  <c r="C6" i="5"/>
  <c r="C5" i="5" l="1"/>
  <c r="I4" i="5"/>
  <c r="G4" i="5"/>
  <c r="L4" i="5" s="1"/>
  <c r="C4" i="5"/>
  <c r="M4" i="5" s="1"/>
  <c r="N4" i="5" s="1"/>
  <c r="C3" i="5"/>
  <c r="M15" i="5"/>
  <c r="N15" i="5" s="1"/>
  <c r="M14" i="5"/>
  <c r="N14" i="5" s="1"/>
  <c r="M13" i="5"/>
  <c r="N13" i="5" s="1"/>
  <c r="F12" i="5"/>
  <c r="L11" i="5"/>
  <c r="F11" i="5"/>
  <c r="M9" i="5"/>
  <c r="N9" i="5" s="1"/>
  <c r="L8" i="5"/>
  <c r="F8" i="5"/>
  <c r="F7" i="5"/>
  <c r="L6" i="5"/>
  <c r="F6" i="5"/>
  <c r="M5" i="5"/>
  <c r="N5" i="5" s="1"/>
  <c r="I3" i="5"/>
  <c r="G3" i="5"/>
  <c r="F3" i="5"/>
  <c r="H4" i="5" l="1"/>
  <c r="H15" i="5"/>
  <c r="L15" i="5"/>
  <c r="F9" i="5"/>
  <c r="J11" i="5"/>
  <c r="F5" i="5"/>
  <c r="H8" i="5"/>
  <c r="J15" i="5"/>
  <c r="K16" i="5"/>
  <c r="H6" i="5"/>
  <c r="C16" i="5"/>
  <c r="J4" i="5"/>
  <c r="F10" i="5"/>
  <c r="F13" i="5"/>
  <c r="J6" i="5"/>
  <c r="J8" i="5"/>
  <c r="F14" i="5"/>
  <c r="F15" i="5"/>
  <c r="M8" i="5"/>
  <c r="N8" i="5" s="1"/>
  <c r="H11" i="5"/>
  <c r="M12" i="5"/>
  <c r="N12" i="5" s="1"/>
  <c r="E16" i="5"/>
  <c r="M3" i="5"/>
  <c r="F4" i="5"/>
  <c r="M7" i="5"/>
  <c r="N7" i="5" s="1"/>
  <c r="M11" i="5"/>
  <c r="N11" i="5" s="1"/>
  <c r="H3" i="5"/>
  <c r="M6" i="5"/>
  <c r="N6" i="5" s="1"/>
  <c r="M10" i="5"/>
  <c r="N10" i="5" s="1"/>
  <c r="D30" i="5" l="1"/>
  <c r="F22" i="5"/>
  <c r="F16" i="5"/>
  <c r="N3" i="5"/>
  <c r="M16" i="5"/>
  <c r="N22" i="5" s="1"/>
  <c r="N16" i="5" l="1"/>
  <c r="D35" i="5"/>
  <c r="D31" i="5"/>
  <c r="AW560" i="1" l="1"/>
  <c r="AX560" i="1"/>
  <c r="AW561" i="1"/>
  <c r="AX561" i="1"/>
  <c r="AW562" i="1"/>
  <c r="AX562" i="1"/>
  <c r="AW563" i="1"/>
  <c r="AX563" i="1"/>
  <c r="AW554" i="1"/>
  <c r="AX554" i="1"/>
  <c r="AW555" i="1"/>
  <c r="AX555" i="1"/>
  <c r="AW536" i="1"/>
  <c r="AX536" i="1"/>
  <c r="AW516" i="1"/>
  <c r="AX516" i="1"/>
  <c r="AW517" i="1"/>
  <c r="AX517" i="1"/>
  <c r="AW483" i="1"/>
  <c r="AX483" i="1"/>
  <c r="AW65" i="1"/>
  <c r="AX65" i="1"/>
  <c r="AW66" i="1"/>
  <c r="AW67" i="1" s="1"/>
  <c r="AW68" i="1" s="1"/>
  <c r="AX66" i="1"/>
  <c r="AX67" i="1" s="1"/>
  <c r="AX68" i="1" s="1"/>
  <c r="AH374" i="1"/>
  <c r="AI374" i="1"/>
  <c r="AH375" i="1"/>
  <c r="AI375" i="1"/>
  <c r="AE374" i="1"/>
  <c r="AF374" i="1"/>
  <c r="AE375" i="1"/>
  <c r="AF375" i="1"/>
  <c r="AE368" i="1"/>
  <c r="AF368" i="1"/>
  <c r="AF369" i="1"/>
  <c r="AE363" i="1"/>
  <c r="AE369" i="1" s="1"/>
  <c r="AF363" i="1"/>
  <c r="AE359" i="1"/>
  <c r="AF359" i="1"/>
  <c r="AE335" i="1"/>
  <c r="AF335" i="1"/>
  <c r="AF336" i="1"/>
  <c r="AE331" i="1"/>
  <c r="AE336" i="1" s="1"/>
  <c r="AF331" i="1"/>
  <c r="AH320" i="1"/>
  <c r="AH321" i="1" s="1"/>
  <c r="AI320" i="1"/>
  <c r="AI321" i="1" s="1"/>
  <c r="AE320" i="1"/>
  <c r="AF320" i="1"/>
  <c r="AE316" i="1"/>
  <c r="AF316" i="1"/>
  <c r="AB560" i="1"/>
  <c r="AB561" i="1" s="1"/>
  <c r="AC560" i="1"/>
  <c r="AC561" i="1" s="1"/>
  <c r="Y560" i="1"/>
  <c r="Y561" i="1" s="1"/>
  <c r="Z560" i="1"/>
  <c r="Z561" i="1"/>
  <c r="AB554" i="1"/>
  <c r="AC554" i="1"/>
  <c r="AB555" i="1"/>
  <c r="AC555" i="1"/>
  <c r="Y554" i="1"/>
  <c r="Z554" i="1"/>
  <c r="Y555" i="1"/>
  <c r="Z555" i="1"/>
  <c r="AB536" i="1"/>
  <c r="AC536" i="1"/>
  <c r="Y536" i="1"/>
  <c r="Z536" i="1"/>
  <c r="AB530" i="1"/>
  <c r="AB531" i="1" s="1"/>
  <c r="AC530" i="1"/>
  <c r="AC531" i="1"/>
  <c r="AB526" i="1"/>
  <c r="AC526" i="1"/>
  <c r="AB516" i="1"/>
  <c r="AC516" i="1"/>
  <c r="Y516" i="1"/>
  <c r="Z516" i="1"/>
  <c r="Y510" i="1"/>
  <c r="Z510" i="1"/>
  <c r="Y506" i="1"/>
  <c r="Z506" i="1"/>
  <c r="AB499" i="1"/>
  <c r="AB517" i="1" s="1"/>
  <c r="AC499" i="1"/>
  <c r="AC517" i="1" s="1"/>
  <c r="Y499" i="1"/>
  <c r="Z499" i="1"/>
  <c r="Y493" i="1"/>
  <c r="Z493" i="1"/>
  <c r="Y488" i="1"/>
  <c r="Z488" i="1"/>
  <c r="Y483" i="1"/>
  <c r="Z483" i="1"/>
  <c r="Y474" i="1"/>
  <c r="Z474" i="1"/>
  <c r="Z468" i="1"/>
  <c r="Y468" i="1"/>
  <c r="Y462" i="1"/>
  <c r="Z462" i="1"/>
  <c r="Y455" i="1"/>
  <c r="Z455" i="1"/>
  <c r="Y448" i="1"/>
  <c r="Z448" i="1"/>
  <c r="Y449" i="1"/>
  <c r="Z449" i="1"/>
  <c r="V374" i="1"/>
  <c r="W374" i="1"/>
  <c r="V375" i="1"/>
  <c r="W375" i="1"/>
  <c r="W376" i="1" s="1"/>
  <c r="W377" i="1" s="1"/>
  <c r="V348" i="1"/>
  <c r="W348" i="1"/>
  <c r="V349" i="1"/>
  <c r="W349" i="1"/>
  <c r="V320" i="1"/>
  <c r="W320" i="1"/>
  <c r="V321" i="1"/>
  <c r="W321" i="1"/>
  <c r="V311" i="1"/>
  <c r="W311" i="1"/>
  <c r="P107" i="1"/>
  <c r="Q107" i="1"/>
  <c r="P112" i="1"/>
  <c r="Q112" i="1"/>
  <c r="P113" i="1"/>
  <c r="Q113" i="1"/>
  <c r="P140" i="1"/>
  <c r="Q140" i="1"/>
  <c r="P141" i="1"/>
  <c r="P142" i="1" s="1"/>
  <c r="Q141" i="1"/>
  <c r="P161" i="1"/>
  <c r="Q161" i="1"/>
  <c r="P162" i="1"/>
  <c r="P163" i="1" s="1"/>
  <c r="Q162" i="1"/>
  <c r="Q163" i="1" s="1"/>
  <c r="M436" i="1"/>
  <c r="N436" i="1"/>
  <c r="M437" i="1"/>
  <c r="M438" i="1" s="1"/>
  <c r="M439" i="1" s="1"/>
  <c r="N437" i="1"/>
  <c r="N438" i="1" s="1"/>
  <c r="N439" i="1" s="1"/>
  <c r="M193" i="1"/>
  <c r="N193" i="1"/>
  <c r="M194" i="1"/>
  <c r="N194" i="1"/>
  <c r="M182" i="1"/>
  <c r="N182" i="1"/>
  <c r="M174" i="1"/>
  <c r="M183" i="1" s="1"/>
  <c r="N174" i="1"/>
  <c r="N183" i="1" s="1"/>
  <c r="M95" i="1"/>
  <c r="N95" i="1"/>
  <c r="M96" i="1"/>
  <c r="M97" i="1" s="1"/>
  <c r="N96" i="1"/>
  <c r="N97" i="1" s="1"/>
  <c r="M82" i="1"/>
  <c r="N82" i="1"/>
  <c r="M83" i="1"/>
  <c r="M84" i="1" s="1"/>
  <c r="N83" i="1"/>
  <c r="N84" i="1" s="1"/>
  <c r="AQ616" i="1"/>
  <c r="AQ617" i="1" s="1"/>
  <c r="AR616" i="1"/>
  <c r="AR617" i="1"/>
  <c r="AQ610" i="1"/>
  <c r="AQ611" i="1" s="1"/>
  <c r="AR610" i="1"/>
  <c r="AR611" i="1"/>
  <c r="AQ606" i="1"/>
  <c r="AR606" i="1"/>
  <c r="AQ598" i="1"/>
  <c r="AR598" i="1"/>
  <c r="AQ592" i="1"/>
  <c r="AR592" i="1"/>
  <c r="AQ588" i="1"/>
  <c r="AR588" i="1"/>
  <c r="AT584" i="1"/>
  <c r="AU584" i="1"/>
  <c r="AQ584" i="1"/>
  <c r="AR584" i="1"/>
  <c r="AR599" i="1" s="1"/>
  <c r="AQ560" i="1"/>
  <c r="AQ561" i="1" s="1"/>
  <c r="AR560" i="1"/>
  <c r="AR561" i="1"/>
  <c r="AQ554" i="1"/>
  <c r="AR554" i="1"/>
  <c r="AQ549" i="1"/>
  <c r="AR549" i="1"/>
  <c r="AR555" i="1" s="1"/>
  <c r="AQ544" i="1"/>
  <c r="AR544" i="1"/>
  <c r="AQ540" i="1"/>
  <c r="AR540" i="1"/>
  <c r="AQ530" i="1"/>
  <c r="AQ531" i="1" s="1"/>
  <c r="AR530" i="1"/>
  <c r="AR531" i="1" s="1"/>
  <c r="AQ522" i="1"/>
  <c r="AR522" i="1"/>
  <c r="AQ516" i="1"/>
  <c r="AR516" i="1"/>
  <c r="AR517" i="1"/>
  <c r="AQ483" i="1"/>
  <c r="AQ517" i="1" s="1"/>
  <c r="AR483" i="1"/>
  <c r="AQ436" i="1"/>
  <c r="AQ437" i="1" s="1"/>
  <c r="AR436" i="1"/>
  <c r="AR437" i="1" s="1"/>
  <c r="AQ427" i="1"/>
  <c r="AR427" i="1"/>
  <c r="AQ423" i="1"/>
  <c r="AR423" i="1"/>
  <c r="AQ419" i="1"/>
  <c r="AR419" i="1"/>
  <c r="AQ415" i="1"/>
  <c r="AR415" i="1"/>
  <c r="AQ410" i="1"/>
  <c r="AQ428" i="1" s="1"/>
  <c r="AR410" i="1"/>
  <c r="AQ403" i="1"/>
  <c r="AR403" i="1"/>
  <c r="AQ399" i="1"/>
  <c r="AR399" i="1"/>
  <c r="AQ395" i="1"/>
  <c r="AR395" i="1"/>
  <c r="AQ391" i="1"/>
  <c r="AR391" i="1"/>
  <c r="AQ385" i="1"/>
  <c r="AQ386" i="1" s="1"/>
  <c r="AR385" i="1"/>
  <c r="AR386" i="1"/>
  <c r="AQ374" i="1"/>
  <c r="AQ375" i="1" s="1"/>
  <c r="AR374" i="1"/>
  <c r="AR375" i="1"/>
  <c r="AQ368" i="1"/>
  <c r="AR368" i="1"/>
  <c r="AQ369" i="1"/>
  <c r="AR369" i="1"/>
  <c r="AQ355" i="1"/>
  <c r="AR355" i="1"/>
  <c r="AQ348" i="1"/>
  <c r="AR348" i="1"/>
  <c r="AQ341" i="1"/>
  <c r="AR341" i="1"/>
  <c r="AQ335" i="1"/>
  <c r="AR335" i="1"/>
  <c r="AQ336" i="1"/>
  <c r="AQ331" i="1"/>
  <c r="AR331" i="1"/>
  <c r="AR321" i="1"/>
  <c r="AQ311" i="1"/>
  <c r="AQ321" i="1" s="1"/>
  <c r="AR311" i="1"/>
  <c r="AQ283" i="1"/>
  <c r="AQ284" i="1" s="1"/>
  <c r="AQ285" i="1" s="1"/>
  <c r="AR283" i="1"/>
  <c r="AR284" i="1" s="1"/>
  <c r="AR285" i="1" s="1"/>
  <c r="AQ274" i="1"/>
  <c r="AR274" i="1"/>
  <c r="AR275" i="1" s="1"/>
  <c r="AR276" i="1" s="1"/>
  <c r="AQ269" i="1"/>
  <c r="AR269" i="1"/>
  <c r="AQ265" i="1"/>
  <c r="AR265" i="1"/>
  <c r="AQ258" i="1"/>
  <c r="AR258" i="1"/>
  <c r="AQ248" i="1"/>
  <c r="AR248" i="1"/>
  <c r="AR249" i="1"/>
  <c r="AR250" i="1" s="1"/>
  <c r="AQ241" i="1"/>
  <c r="AR241" i="1"/>
  <c r="AQ237" i="1"/>
  <c r="AR237" i="1"/>
  <c r="AT225" i="1"/>
  <c r="AU225" i="1"/>
  <c r="AU226" i="1" s="1"/>
  <c r="AU227" i="1" s="1"/>
  <c r="AU228" i="1" s="1"/>
  <c r="AT226" i="1"/>
  <c r="AT227" i="1" s="1"/>
  <c r="AT228" i="1" s="1"/>
  <c r="AQ225" i="1"/>
  <c r="AQ226" i="1" s="1"/>
  <c r="AR225" i="1"/>
  <c r="AQ221" i="1"/>
  <c r="AR221" i="1"/>
  <c r="AR226" i="1" s="1"/>
  <c r="AQ215" i="1"/>
  <c r="AR215" i="1"/>
  <c r="AQ210" i="1"/>
  <c r="AQ216" i="1" s="1"/>
  <c r="AR210" i="1"/>
  <c r="AQ204" i="1"/>
  <c r="AR204" i="1"/>
  <c r="AT193" i="1"/>
  <c r="AU193" i="1"/>
  <c r="AT194" i="1"/>
  <c r="AT195" i="1" s="1"/>
  <c r="AT196" i="1" s="1"/>
  <c r="AU194" i="1"/>
  <c r="AU195" i="1" s="1"/>
  <c r="AU196" i="1" s="1"/>
  <c r="AQ193" i="1"/>
  <c r="AR193" i="1"/>
  <c r="AR194" i="1"/>
  <c r="AT188" i="1"/>
  <c r="AU188" i="1"/>
  <c r="AQ188" i="1"/>
  <c r="AQ194" i="1" s="1"/>
  <c r="AR188" i="1"/>
  <c r="AQ178" i="1"/>
  <c r="AR178" i="1"/>
  <c r="AQ174" i="1"/>
  <c r="AQ183" i="1" s="1"/>
  <c r="AR174" i="1"/>
  <c r="AR183" i="1" s="1"/>
  <c r="AQ161" i="1"/>
  <c r="AR161" i="1"/>
  <c r="AR162" i="1" s="1"/>
  <c r="AQ157" i="1"/>
  <c r="AR157" i="1"/>
  <c r="AQ148" i="1"/>
  <c r="AR148" i="1"/>
  <c r="AR149" i="1" s="1"/>
  <c r="AQ149" i="1"/>
  <c r="AQ140" i="1"/>
  <c r="AR140" i="1"/>
  <c r="AQ136" i="1"/>
  <c r="AQ141" i="1" s="1"/>
  <c r="AR136" i="1"/>
  <c r="AR141" i="1" s="1"/>
  <c r="AQ127" i="1"/>
  <c r="AR127" i="1"/>
  <c r="AQ122" i="1"/>
  <c r="AR122" i="1"/>
  <c r="AQ112" i="1"/>
  <c r="AR112" i="1"/>
  <c r="AR113" i="1" s="1"/>
  <c r="AQ113" i="1"/>
  <c r="AQ107" i="1"/>
  <c r="AR107" i="1"/>
  <c r="AQ98" i="1"/>
  <c r="M648" i="1"/>
  <c r="N648" i="1"/>
  <c r="P648" i="1"/>
  <c r="Q648" i="1"/>
  <c r="S648" i="1"/>
  <c r="T648" i="1"/>
  <c r="S649" i="1"/>
  <c r="T649" i="1"/>
  <c r="V648" i="1"/>
  <c r="W648" i="1"/>
  <c r="Y648" i="1"/>
  <c r="Z648" i="1"/>
  <c r="AB648" i="1"/>
  <c r="AC648" i="1"/>
  <c r="AE648" i="1"/>
  <c r="AF648" i="1"/>
  <c r="AH648" i="1"/>
  <c r="AI648" i="1"/>
  <c r="AK648" i="1"/>
  <c r="AL648" i="1"/>
  <c r="AK649" i="1"/>
  <c r="AL649" i="1"/>
  <c r="AN648" i="1"/>
  <c r="AO648" i="1"/>
  <c r="AN649" i="1"/>
  <c r="AO649" i="1"/>
  <c r="AQ644" i="1"/>
  <c r="AR644" i="1"/>
  <c r="AQ645" i="1"/>
  <c r="AQ646" i="1" s="1"/>
  <c r="AQ647" i="1" s="1"/>
  <c r="AR645" i="1"/>
  <c r="AR646" i="1" s="1"/>
  <c r="AR647" i="1" s="1"/>
  <c r="AW648" i="1"/>
  <c r="AX648" i="1"/>
  <c r="AT644" i="1"/>
  <c r="AU644" i="1"/>
  <c r="AU645" i="1" s="1"/>
  <c r="AU646" i="1" s="1"/>
  <c r="AU647" i="1" s="1"/>
  <c r="AT645" i="1"/>
  <c r="AT646" i="1" s="1"/>
  <c r="AT647" i="1" s="1"/>
  <c r="AT633" i="1"/>
  <c r="AU633" i="1"/>
  <c r="AU634" i="1" s="1"/>
  <c r="AU635" i="1" s="1"/>
  <c r="AU636" i="1" s="1"/>
  <c r="AT634" i="1"/>
  <c r="AT635" i="1" s="1"/>
  <c r="AT636" i="1" s="1"/>
  <c r="AT616" i="1"/>
  <c r="AU616" i="1"/>
  <c r="AT617" i="1"/>
  <c r="AU617" i="1"/>
  <c r="AT610" i="1"/>
  <c r="AU610" i="1"/>
  <c r="AT606" i="1"/>
  <c r="AT611" i="1" s="1"/>
  <c r="AU606" i="1"/>
  <c r="AT598" i="1"/>
  <c r="AU598" i="1"/>
  <c r="AT592" i="1"/>
  <c r="AU592" i="1"/>
  <c r="AT588" i="1"/>
  <c r="AU588" i="1"/>
  <c r="AW572" i="1"/>
  <c r="AW573" i="1" s="1"/>
  <c r="AW574" i="1" s="1"/>
  <c r="AW575" i="1" s="1"/>
  <c r="AX572" i="1"/>
  <c r="AX573" i="1"/>
  <c r="AX574" i="1" s="1"/>
  <c r="AX575" i="1" s="1"/>
  <c r="M572" i="1"/>
  <c r="N572" i="1"/>
  <c r="M573" i="1"/>
  <c r="M574" i="1" s="1"/>
  <c r="M575" i="1" s="1"/>
  <c r="N573" i="1"/>
  <c r="N574" i="1" s="1"/>
  <c r="N575" i="1" s="1"/>
  <c r="P572" i="1"/>
  <c r="Q572" i="1"/>
  <c r="P573" i="1"/>
  <c r="P574" i="1" s="1"/>
  <c r="P575" i="1" s="1"/>
  <c r="Q573" i="1"/>
  <c r="Q574" i="1" s="1"/>
  <c r="Q575" i="1" s="1"/>
  <c r="S572" i="1"/>
  <c r="T572" i="1"/>
  <c r="S573" i="1"/>
  <c r="S574" i="1" s="1"/>
  <c r="S575" i="1" s="1"/>
  <c r="S576" i="1" s="1"/>
  <c r="T573" i="1"/>
  <c r="T574" i="1" s="1"/>
  <c r="T575" i="1" s="1"/>
  <c r="T576" i="1" s="1"/>
  <c r="V572" i="1"/>
  <c r="W572" i="1"/>
  <c r="V573" i="1"/>
  <c r="V574" i="1" s="1"/>
  <c r="V575" i="1" s="1"/>
  <c r="W573" i="1"/>
  <c r="W574" i="1" s="1"/>
  <c r="W575" i="1" s="1"/>
  <c r="Y572" i="1"/>
  <c r="Z572" i="1"/>
  <c r="Y573" i="1"/>
  <c r="Y574" i="1" s="1"/>
  <c r="Y575" i="1" s="1"/>
  <c r="Z573" i="1"/>
  <c r="Z574" i="1" s="1"/>
  <c r="Z575" i="1" s="1"/>
  <c r="AB572" i="1"/>
  <c r="AC572" i="1"/>
  <c r="AB573" i="1"/>
  <c r="AB574" i="1" s="1"/>
  <c r="AB575" i="1" s="1"/>
  <c r="AC573" i="1"/>
  <c r="AC574" i="1" s="1"/>
  <c r="AC575" i="1" s="1"/>
  <c r="AE572" i="1"/>
  <c r="AF572" i="1"/>
  <c r="AE573" i="1"/>
  <c r="AE574" i="1" s="1"/>
  <c r="AE575" i="1" s="1"/>
  <c r="AF573" i="1"/>
  <c r="AF574" i="1" s="1"/>
  <c r="AF575" i="1" s="1"/>
  <c r="AH572" i="1"/>
  <c r="AI572" i="1"/>
  <c r="AH573" i="1"/>
  <c r="AH574" i="1" s="1"/>
  <c r="AH575" i="1" s="1"/>
  <c r="AI573" i="1"/>
  <c r="AI574" i="1" s="1"/>
  <c r="AI575" i="1" s="1"/>
  <c r="AK572" i="1"/>
  <c r="AL572" i="1"/>
  <c r="AK573" i="1"/>
  <c r="AK574" i="1" s="1"/>
  <c r="AK575" i="1" s="1"/>
  <c r="AK576" i="1" s="1"/>
  <c r="AL573" i="1"/>
  <c r="AL574" i="1" s="1"/>
  <c r="AL575" i="1" s="1"/>
  <c r="AL576" i="1" s="1"/>
  <c r="AN572" i="1"/>
  <c r="AO572" i="1"/>
  <c r="AN573" i="1"/>
  <c r="AN574" i="1" s="1"/>
  <c r="AN575" i="1" s="1"/>
  <c r="AN576" i="1" s="1"/>
  <c r="AO573" i="1"/>
  <c r="AO574" i="1" s="1"/>
  <c r="AO575" i="1" s="1"/>
  <c r="AO576" i="1" s="1"/>
  <c r="AT572" i="1"/>
  <c r="AU572" i="1"/>
  <c r="AT573" i="1"/>
  <c r="AT574" i="1" s="1"/>
  <c r="AT575" i="1" s="1"/>
  <c r="AU573" i="1"/>
  <c r="AU574" i="1" s="1"/>
  <c r="AU575" i="1" s="1"/>
  <c r="AQ572" i="1"/>
  <c r="AR572" i="1"/>
  <c r="AQ573" i="1"/>
  <c r="AQ574" i="1" s="1"/>
  <c r="AQ575" i="1" s="1"/>
  <c r="AR573" i="1"/>
  <c r="AR574" i="1" s="1"/>
  <c r="AR575" i="1" s="1"/>
  <c r="AQ299" i="1"/>
  <c r="AQ300" i="1" s="1"/>
  <c r="AQ301" i="1" s="1"/>
  <c r="AQ302" i="1" s="1"/>
  <c r="AR299" i="1"/>
  <c r="AR300" i="1"/>
  <c r="AR301" i="1" s="1"/>
  <c r="AR302" i="1" s="1"/>
  <c r="AQ293" i="1"/>
  <c r="AR293" i="1"/>
  <c r="AQ294" i="1"/>
  <c r="AR294" i="1"/>
  <c r="AZ95" i="1"/>
  <c r="AZ96" i="1" s="1"/>
  <c r="AZ97" i="1" s="1"/>
  <c r="BA95" i="1"/>
  <c r="BA96" i="1"/>
  <c r="BA97" i="1" s="1"/>
  <c r="AQ95" i="1"/>
  <c r="AR95" i="1"/>
  <c r="AQ96" i="1"/>
  <c r="AQ97" i="1" s="1"/>
  <c r="AR96" i="1"/>
  <c r="AR97" i="1" s="1"/>
  <c r="AN95" i="1"/>
  <c r="AO95" i="1"/>
  <c r="AN96" i="1"/>
  <c r="AN97" i="1" s="1"/>
  <c r="AN98" i="1" s="1"/>
  <c r="AO96" i="1"/>
  <c r="AO97" i="1" s="1"/>
  <c r="AO98" i="1" s="1"/>
  <c r="S95" i="1"/>
  <c r="T95" i="1"/>
  <c r="S96" i="1"/>
  <c r="S97" i="1" s="1"/>
  <c r="S98" i="1" s="1"/>
  <c r="T96" i="1"/>
  <c r="T97" i="1" s="1"/>
  <c r="T98" i="1" s="1"/>
  <c r="AQ82" i="1"/>
  <c r="AR82" i="1"/>
  <c r="AQ83" i="1"/>
  <c r="AQ84" i="1" s="1"/>
  <c r="AR83" i="1"/>
  <c r="AR84" i="1" s="1"/>
  <c r="AR98" i="1" s="1"/>
  <c r="AQ75" i="1"/>
  <c r="AR75" i="1"/>
  <c r="AQ65" i="1"/>
  <c r="AQ66" i="1" s="1"/>
  <c r="AQ67" i="1" s="1"/>
  <c r="AQ68" i="1" s="1"/>
  <c r="AR65" i="1"/>
  <c r="AR66" i="1" s="1"/>
  <c r="AR67" i="1" s="1"/>
  <c r="AR68" i="1" s="1"/>
  <c r="AQ52" i="1"/>
  <c r="AQ53" i="1" s="1"/>
  <c r="AQ54" i="1" s="1"/>
  <c r="AQ55" i="1" s="1"/>
  <c r="AR52" i="1"/>
  <c r="AR53" i="1" s="1"/>
  <c r="AR54" i="1" s="1"/>
  <c r="AR55" i="1" s="1"/>
  <c r="AQ34" i="1"/>
  <c r="AQ35" i="1" s="1"/>
  <c r="AR34" i="1"/>
  <c r="AR35" i="1"/>
  <c r="AQ29" i="1"/>
  <c r="AR29" i="1"/>
  <c r="AQ28" i="1"/>
  <c r="AR28" i="1"/>
  <c r="AQ24" i="1"/>
  <c r="AR24" i="1"/>
  <c r="AQ14" i="1"/>
  <c r="AR14" i="1"/>
  <c r="AQ15" i="1"/>
  <c r="AQ16" i="1" s="1"/>
  <c r="AQ17" i="1" s="1"/>
  <c r="AR15" i="1"/>
  <c r="AR16" i="1" s="1"/>
  <c r="AR17" i="1" s="1"/>
  <c r="AQ349" i="1" l="1"/>
  <c r="AR336" i="1"/>
  <c r="AR128" i="1"/>
  <c r="AU611" i="1"/>
  <c r="AU599" i="1"/>
  <c r="AT599" i="1"/>
  <c r="AT618" i="1" s="1"/>
  <c r="AT619" i="1" s="1"/>
  <c r="AT648" i="1" s="1"/>
  <c r="AQ599" i="1"/>
  <c r="AQ618" i="1" s="1"/>
  <c r="AQ619" i="1" s="1"/>
  <c r="AQ648" i="1" s="1"/>
  <c r="AR618" i="1"/>
  <c r="AR619" i="1" s="1"/>
  <c r="AR648" i="1" s="1"/>
  <c r="AQ555" i="1"/>
  <c r="AC562" i="1"/>
  <c r="AC563" i="1" s="1"/>
  <c r="AC576" i="1" s="1"/>
  <c r="AC649" i="1" s="1"/>
  <c r="AB562" i="1"/>
  <c r="AB563" i="1" s="1"/>
  <c r="AB576" i="1" s="1"/>
  <c r="AB649" i="1" s="1"/>
  <c r="AQ562" i="1"/>
  <c r="AQ563" i="1" s="1"/>
  <c r="AR562" i="1"/>
  <c r="AR563" i="1" s="1"/>
  <c r="Y517" i="1"/>
  <c r="Y562" i="1" s="1"/>
  <c r="Y563" i="1" s="1"/>
  <c r="Y576" i="1" s="1"/>
  <c r="Y649" i="1" s="1"/>
  <c r="Z517" i="1"/>
  <c r="Z562" i="1" s="1"/>
  <c r="Z563" i="1" s="1"/>
  <c r="Z576" i="1" s="1"/>
  <c r="Z649" i="1" s="1"/>
  <c r="AR428" i="1"/>
  <c r="AR404" i="1"/>
  <c r="AQ404" i="1"/>
  <c r="AR438" i="1"/>
  <c r="AR439" i="1" s="1"/>
  <c r="AQ438" i="1"/>
  <c r="AQ439" i="1" s="1"/>
  <c r="AR349" i="1"/>
  <c r="AR376" i="1"/>
  <c r="AR377" i="1" s="1"/>
  <c r="AI376" i="1"/>
  <c r="AI377" i="1" s="1"/>
  <c r="AH376" i="1"/>
  <c r="AH377" i="1" s="1"/>
  <c r="AF321" i="1"/>
  <c r="AE321" i="1"/>
  <c r="AF376" i="1"/>
  <c r="AF377" i="1" s="1"/>
  <c r="AF576" i="1" s="1"/>
  <c r="AF649" i="1" s="1"/>
  <c r="AE376" i="1"/>
  <c r="AE377" i="1" s="1"/>
  <c r="AE576" i="1" s="1"/>
  <c r="AE649" i="1" s="1"/>
  <c r="AQ376" i="1"/>
  <c r="AQ377" i="1" s="1"/>
  <c r="V376" i="1"/>
  <c r="V377" i="1" s="1"/>
  <c r="AQ275" i="1"/>
  <c r="AQ276" i="1" s="1"/>
  <c r="AQ286" i="1" s="1"/>
  <c r="AQ249" i="1"/>
  <c r="AQ250" i="1" s="1"/>
  <c r="AR286" i="1"/>
  <c r="AR216" i="1"/>
  <c r="AR227" i="1" s="1"/>
  <c r="AR228" i="1" s="1"/>
  <c r="AQ227" i="1"/>
  <c r="AQ228" i="1" s="1"/>
  <c r="N195" i="1"/>
  <c r="N196" i="1" s="1"/>
  <c r="M195" i="1"/>
  <c r="M196" i="1" s="1"/>
  <c r="M576" i="1" s="1"/>
  <c r="M649" i="1" s="1"/>
  <c r="AQ195" i="1"/>
  <c r="AQ196" i="1" s="1"/>
  <c r="AR195" i="1"/>
  <c r="AR196" i="1" s="1"/>
  <c r="AQ162" i="1"/>
  <c r="AR163" i="1"/>
  <c r="AQ163" i="1"/>
  <c r="AQ128" i="1"/>
  <c r="AQ142" i="1" s="1"/>
  <c r="AQ164" i="1" s="1"/>
  <c r="AR142" i="1"/>
  <c r="N98" i="1"/>
  <c r="M98" i="1"/>
  <c r="AX576" i="1"/>
  <c r="AX649" i="1" s="1"/>
  <c r="AW576" i="1"/>
  <c r="AW649" i="1" s="1"/>
  <c r="AI576" i="1"/>
  <c r="AI649" i="1" s="1"/>
  <c r="AH576" i="1"/>
  <c r="AH649" i="1" s="1"/>
  <c r="V576" i="1"/>
  <c r="V649" i="1" s="1"/>
  <c r="W576" i="1"/>
  <c r="W649" i="1" s="1"/>
  <c r="Q142" i="1"/>
  <c r="Q164" i="1"/>
  <c r="P164" i="1"/>
  <c r="P576" i="1" s="1"/>
  <c r="P649" i="1" s="1"/>
  <c r="Q576" i="1"/>
  <c r="Q649" i="1" s="1"/>
  <c r="N576" i="1"/>
  <c r="N649" i="1" s="1"/>
  <c r="AU618" i="1"/>
  <c r="AU619" i="1" s="1"/>
  <c r="AU648" i="1" s="1"/>
  <c r="AU576" i="1"/>
  <c r="AT576" i="1"/>
  <c r="AQ576" i="1" l="1"/>
  <c r="AQ649" i="1" s="1"/>
  <c r="AR164" i="1"/>
  <c r="AR576" i="1" s="1"/>
  <c r="AR649" i="1" s="1"/>
  <c r="AT649" i="1"/>
  <c r="AU649" i="1"/>
  <c r="BA643" i="1" l="1"/>
  <c r="AZ643" i="1"/>
  <c r="BA642" i="1"/>
  <c r="AZ642" i="1"/>
  <c r="AZ644" i="1" s="1"/>
  <c r="BA632" i="1"/>
  <c r="AZ632" i="1"/>
  <c r="BA631" i="1"/>
  <c r="AZ631" i="1"/>
  <c r="BA630" i="1"/>
  <c r="AZ630" i="1"/>
  <c r="BA629" i="1"/>
  <c r="AZ629" i="1"/>
  <c r="BA625" i="1"/>
  <c r="AZ625" i="1"/>
  <c r="BA616" i="1"/>
  <c r="BA617" i="1" s="1"/>
  <c r="AZ616" i="1"/>
  <c r="AZ617" i="1" s="1"/>
  <c r="BA615" i="1"/>
  <c r="AZ615" i="1"/>
  <c r="BA609" i="1"/>
  <c r="AZ609" i="1"/>
  <c r="BA605" i="1"/>
  <c r="AZ605" i="1"/>
  <c r="BA604" i="1"/>
  <c r="AZ604" i="1"/>
  <c r="BA603" i="1"/>
  <c r="AZ603" i="1"/>
  <c r="BA597" i="1"/>
  <c r="AZ597" i="1"/>
  <c r="BA596" i="1"/>
  <c r="AZ596" i="1"/>
  <c r="BA595" i="1"/>
  <c r="AZ595" i="1"/>
  <c r="BA591" i="1"/>
  <c r="AZ591" i="1"/>
  <c r="BA587" i="1"/>
  <c r="BA588" i="1" s="1"/>
  <c r="AZ587" i="1"/>
  <c r="AZ588" i="1" s="1"/>
  <c r="BA583" i="1"/>
  <c r="AZ583" i="1"/>
  <c r="BA582" i="1"/>
  <c r="BA584" i="1" s="1"/>
  <c r="AZ582" i="1"/>
  <c r="AZ584" i="1" s="1"/>
  <c r="BA573" i="1"/>
  <c r="BA574" i="1" s="1"/>
  <c r="BA575" i="1" s="1"/>
  <c r="BA571" i="1"/>
  <c r="AZ571" i="1"/>
  <c r="BA570" i="1"/>
  <c r="AZ570" i="1"/>
  <c r="BA569" i="1"/>
  <c r="BA572" i="1" s="1"/>
  <c r="AZ569" i="1"/>
  <c r="AZ572" i="1" s="1"/>
  <c r="AZ573" i="1" s="1"/>
  <c r="AZ574" i="1" s="1"/>
  <c r="AZ575" i="1" s="1"/>
  <c r="BA560" i="1"/>
  <c r="BA561" i="1" s="1"/>
  <c r="BA559" i="1"/>
  <c r="AZ559" i="1"/>
  <c r="AZ560" i="1" s="1"/>
  <c r="AZ561" i="1" s="1"/>
  <c r="BA553" i="1"/>
  <c r="AZ553" i="1"/>
  <c r="BA552" i="1"/>
  <c r="AZ552" i="1"/>
  <c r="AZ554" i="1" s="1"/>
  <c r="BA548" i="1"/>
  <c r="AZ548" i="1"/>
  <c r="BA547" i="1"/>
  <c r="AZ547" i="1"/>
  <c r="BA543" i="1"/>
  <c r="BA544" i="1" s="1"/>
  <c r="AZ543" i="1"/>
  <c r="AZ544" i="1" s="1"/>
  <c r="BA539" i="1"/>
  <c r="BA540" i="1" s="1"/>
  <c r="AZ539" i="1"/>
  <c r="AZ540" i="1" s="1"/>
  <c r="BA535" i="1"/>
  <c r="BA536" i="1" s="1"/>
  <c r="AZ535" i="1"/>
  <c r="AZ536" i="1" s="1"/>
  <c r="BA529" i="1"/>
  <c r="BA530" i="1" s="1"/>
  <c r="AZ529" i="1"/>
  <c r="AZ530" i="1" s="1"/>
  <c r="BA526" i="1"/>
  <c r="AZ526" i="1"/>
  <c r="BA525" i="1"/>
  <c r="AZ525" i="1"/>
  <c r="BA522" i="1"/>
  <c r="AZ522" i="1"/>
  <c r="BA521" i="1"/>
  <c r="AZ521" i="1"/>
  <c r="BA515" i="1"/>
  <c r="AZ515" i="1"/>
  <c r="BA514" i="1"/>
  <c r="AZ514" i="1"/>
  <c r="BA513" i="1"/>
  <c r="BA516" i="1" s="1"/>
  <c r="AZ513" i="1"/>
  <c r="BA509" i="1"/>
  <c r="BA510" i="1" s="1"/>
  <c r="AZ509" i="1"/>
  <c r="AZ510" i="1" s="1"/>
  <c r="BA505" i="1"/>
  <c r="AZ505" i="1"/>
  <c r="BA504" i="1"/>
  <c r="AZ504" i="1"/>
  <c r="BA503" i="1"/>
  <c r="AZ503" i="1"/>
  <c r="BA502" i="1"/>
  <c r="AZ502" i="1"/>
  <c r="BA498" i="1"/>
  <c r="AZ498" i="1"/>
  <c r="BA497" i="1"/>
  <c r="BA499" i="1" s="1"/>
  <c r="AZ497" i="1"/>
  <c r="BA496" i="1"/>
  <c r="AZ496" i="1"/>
  <c r="BA492" i="1"/>
  <c r="AZ492" i="1"/>
  <c r="BA491" i="1"/>
  <c r="BA493" i="1" s="1"/>
  <c r="AZ491" i="1"/>
  <c r="AZ493" i="1" s="1"/>
  <c r="BA487" i="1"/>
  <c r="AZ487" i="1"/>
  <c r="BA486" i="1"/>
  <c r="AZ486" i="1"/>
  <c r="AZ488" i="1" s="1"/>
  <c r="BA482" i="1"/>
  <c r="AZ482" i="1"/>
  <c r="BA481" i="1"/>
  <c r="AZ481" i="1"/>
  <c r="BA480" i="1"/>
  <c r="AZ480" i="1"/>
  <c r="BA479" i="1"/>
  <c r="AZ479" i="1"/>
  <c r="BA478" i="1"/>
  <c r="AZ478" i="1"/>
  <c r="BA477" i="1"/>
  <c r="BA483" i="1" s="1"/>
  <c r="AZ477" i="1"/>
  <c r="BA473" i="1"/>
  <c r="AZ473" i="1"/>
  <c r="BA472" i="1"/>
  <c r="AZ472" i="1"/>
  <c r="BA471" i="1"/>
  <c r="BA474" i="1" s="1"/>
  <c r="AZ471" i="1"/>
  <c r="AZ474" i="1" s="1"/>
  <c r="BA467" i="1"/>
  <c r="AZ467" i="1"/>
  <c r="BA466" i="1"/>
  <c r="AZ466" i="1"/>
  <c r="BA465" i="1"/>
  <c r="AZ465" i="1"/>
  <c r="BA461" i="1"/>
  <c r="AZ461" i="1"/>
  <c r="BA460" i="1"/>
  <c r="AZ460" i="1"/>
  <c r="BA459" i="1"/>
  <c r="AZ459" i="1"/>
  <c r="BA458" i="1"/>
  <c r="BA462" i="1" s="1"/>
  <c r="AZ458" i="1"/>
  <c r="BA454" i="1"/>
  <c r="AZ454" i="1"/>
  <c r="BA453" i="1"/>
  <c r="AZ453" i="1"/>
  <c r="AZ455" i="1" s="1"/>
  <c r="BA447" i="1"/>
  <c r="AZ447" i="1"/>
  <c r="BA446" i="1"/>
  <c r="BA448" i="1" s="1"/>
  <c r="BA449" i="1" s="1"/>
  <c r="AZ446" i="1"/>
  <c r="BA445" i="1"/>
  <c r="AZ445" i="1"/>
  <c r="AZ448" i="1" s="1"/>
  <c r="AZ449" i="1" s="1"/>
  <c r="BA435" i="1"/>
  <c r="AZ435" i="1"/>
  <c r="BA434" i="1"/>
  <c r="AZ434" i="1"/>
  <c r="BA433" i="1"/>
  <c r="AZ433" i="1"/>
  <c r="BA432" i="1"/>
  <c r="AZ432" i="1"/>
  <c r="BA426" i="1"/>
  <c r="BA427" i="1" s="1"/>
  <c r="AZ426" i="1"/>
  <c r="AZ427" i="1" s="1"/>
  <c r="AZ423" i="1"/>
  <c r="BA422" i="1"/>
  <c r="BA423" i="1" s="1"/>
  <c r="AZ422" i="1"/>
  <c r="AZ419" i="1"/>
  <c r="BA418" i="1"/>
  <c r="BA419" i="1" s="1"/>
  <c r="AZ418" i="1"/>
  <c r="BA414" i="1"/>
  <c r="AZ414" i="1"/>
  <c r="BA413" i="1"/>
  <c r="AZ413" i="1"/>
  <c r="AZ415" i="1" s="1"/>
  <c r="BA409" i="1"/>
  <c r="AZ409" i="1"/>
  <c r="BA408" i="1"/>
  <c r="BA410" i="1" s="1"/>
  <c r="AZ408" i="1"/>
  <c r="AZ403" i="1"/>
  <c r="BA402" i="1"/>
  <c r="BA403" i="1" s="1"/>
  <c r="AZ402" i="1"/>
  <c r="BA398" i="1"/>
  <c r="BA399" i="1" s="1"/>
  <c r="AZ398" i="1"/>
  <c r="AZ399" i="1" s="1"/>
  <c r="BA394" i="1"/>
  <c r="BA395" i="1" s="1"/>
  <c r="AZ394" i="1"/>
  <c r="AZ395" i="1" s="1"/>
  <c r="AZ391" i="1"/>
  <c r="BA390" i="1"/>
  <c r="BA391" i="1" s="1"/>
  <c r="AZ390" i="1"/>
  <c r="BA384" i="1"/>
  <c r="AZ384" i="1"/>
  <c r="BA383" i="1"/>
  <c r="AZ383" i="1"/>
  <c r="BA373" i="1"/>
  <c r="BA374" i="1" s="1"/>
  <c r="BA375" i="1" s="1"/>
  <c r="AZ373" i="1"/>
  <c r="AZ374" i="1" s="1"/>
  <c r="AZ375" i="1" s="1"/>
  <c r="BA367" i="1"/>
  <c r="AZ367" i="1"/>
  <c r="BA366" i="1"/>
  <c r="BA368" i="1" s="1"/>
  <c r="AZ366" i="1"/>
  <c r="AZ368" i="1" s="1"/>
  <c r="AZ363" i="1"/>
  <c r="BA362" i="1"/>
  <c r="BA363" i="1" s="1"/>
  <c r="AZ362" i="1"/>
  <c r="AZ359" i="1"/>
  <c r="BA358" i="1"/>
  <c r="BA359" i="1" s="1"/>
  <c r="AZ358" i="1"/>
  <c r="BA354" i="1"/>
  <c r="AZ354" i="1"/>
  <c r="BA353" i="1"/>
  <c r="AZ353" i="1"/>
  <c r="AZ355" i="1" s="1"/>
  <c r="BA347" i="1"/>
  <c r="AZ347" i="1"/>
  <c r="BA346" i="1"/>
  <c r="AZ346" i="1"/>
  <c r="BA345" i="1"/>
  <c r="AZ345" i="1"/>
  <c r="BA344" i="1"/>
  <c r="BA348" i="1" s="1"/>
  <c r="AZ344" i="1"/>
  <c r="BA340" i="1"/>
  <c r="BA341" i="1" s="1"/>
  <c r="AZ340" i="1"/>
  <c r="AZ341" i="1" s="1"/>
  <c r="BA334" i="1"/>
  <c r="BA335" i="1" s="1"/>
  <c r="AZ334" i="1"/>
  <c r="AZ335" i="1" s="1"/>
  <c r="BA330" i="1"/>
  <c r="AZ330" i="1"/>
  <c r="BA329" i="1"/>
  <c r="AZ329" i="1"/>
  <c r="BA328" i="1"/>
  <c r="AZ328" i="1"/>
  <c r="BA327" i="1"/>
  <c r="AZ327" i="1"/>
  <c r="BA326" i="1"/>
  <c r="AZ326" i="1"/>
  <c r="BA325" i="1"/>
  <c r="AZ325" i="1"/>
  <c r="BA319" i="1"/>
  <c r="BA320" i="1" s="1"/>
  <c r="AZ319" i="1"/>
  <c r="AZ320" i="1" s="1"/>
  <c r="BA315" i="1"/>
  <c r="AZ315" i="1"/>
  <c r="BA314" i="1"/>
  <c r="AZ314" i="1"/>
  <c r="BA310" i="1"/>
  <c r="AZ310" i="1"/>
  <c r="BA309" i="1"/>
  <c r="BA311" i="1" s="1"/>
  <c r="AZ309" i="1"/>
  <c r="BA308" i="1"/>
  <c r="AZ308" i="1"/>
  <c r="BA298" i="1"/>
  <c r="BA299" i="1" s="1"/>
  <c r="BA300" i="1" s="1"/>
  <c r="AZ298" i="1"/>
  <c r="AZ299" i="1" s="1"/>
  <c r="AZ300" i="1" s="1"/>
  <c r="BA292" i="1"/>
  <c r="BA293" i="1" s="1"/>
  <c r="BA294" i="1" s="1"/>
  <c r="AZ292" i="1"/>
  <c r="AZ293" i="1" s="1"/>
  <c r="AZ294" i="1" s="1"/>
  <c r="BA282" i="1"/>
  <c r="AZ282" i="1"/>
  <c r="BA281" i="1"/>
  <c r="AZ281" i="1"/>
  <c r="BA273" i="1"/>
  <c r="AZ273" i="1"/>
  <c r="BA272" i="1"/>
  <c r="BA274" i="1" s="1"/>
  <c r="AZ272" i="1"/>
  <c r="BA268" i="1"/>
  <c r="BA269" i="1" s="1"/>
  <c r="AZ268" i="1"/>
  <c r="AZ269" i="1" s="1"/>
  <c r="BA264" i="1"/>
  <c r="AZ264" i="1"/>
  <c r="BA263" i="1"/>
  <c r="AZ263" i="1"/>
  <c r="BA262" i="1"/>
  <c r="AZ262" i="1"/>
  <c r="BA261" i="1"/>
  <c r="BA265" i="1" s="1"/>
  <c r="AZ261" i="1"/>
  <c r="AZ265" i="1" s="1"/>
  <c r="BA257" i="1"/>
  <c r="AZ257" i="1"/>
  <c r="BA256" i="1"/>
  <c r="BA258" i="1" s="1"/>
  <c r="AZ256" i="1"/>
  <c r="AZ258" i="1" s="1"/>
  <c r="BA255" i="1"/>
  <c r="AZ255" i="1"/>
  <c r="BA247" i="1"/>
  <c r="AZ247" i="1"/>
  <c r="BA246" i="1"/>
  <c r="AZ246" i="1"/>
  <c r="BA245" i="1"/>
  <c r="AZ245" i="1"/>
  <c r="BA244" i="1"/>
  <c r="BA248" i="1" s="1"/>
  <c r="BA249" i="1" s="1"/>
  <c r="BA250" i="1" s="1"/>
  <c r="AZ244" i="1"/>
  <c r="BA240" i="1"/>
  <c r="BA241" i="1" s="1"/>
  <c r="AZ240" i="1"/>
  <c r="AZ241" i="1" s="1"/>
  <c r="BA236" i="1"/>
  <c r="AZ236" i="1"/>
  <c r="BA235" i="1"/>
  <c r="AZ235" i="1"/>
  <c r="BA234" i="1"/>
  <c r="BA237" i="1" s="1"/>
  <c r="AZ234" i="1"/>
  <c r="AZ237" i="1" s="1"/>
  <c r="BA224" i="1"/>
  <c r="BA225" i="1" s="1"/>
  <c r="AZ224" i="1"/>
  <c r="BA220" i="1"/>
  <c r="BA221" i="1" s="1"/>
  <c r="AZ220" i="1"/>
  <c r="AZ221" i="1" s="1"/>
  <c r="BA214" i="1"/>
  <c r="AZ214" i="1"/>
  <c r="BA213" i="1"/>
  <c r="AZ213" i="1"/>
  <c r="AZ215" i="1" s="1"/>
  <c r="BA209" i="1"/>
  <c r="AZ209" i="1"/>
  <c r="BA208" i="1"/>
  <c r="AZ208" i="1"/>
  <c r="BA207" i="1"/>
  <c r="AZ207" i="1"/>
  <c r="BA204" i="1"/>
  <c r="BA203" i="1"/>
  <c r="AZ203" i="1"/>
  <c r="BA202" i="1"/>
  <c r="AZ202" i="1"/>
  <c r="AZ204" i="1" s="1"/>
  <c r="BA192" i="1"/>
  <c r="AZ192" i="1"/>
  <c r="BA191" i="1"/>
  <c r="BA193" i="1" s="1"/>
  <c r="AZ191" i="1"/>
  <c r="AZ193" i="1" s="1"/>
  <c r="AZ188" i="1"/>
  <c r="BA187" i="1"/>
  <c r="BA188" i="1" s="1"/>
  <c r="AZ187" i="1"/>
  <c r="BA182" i="1"/>
  <c r="BA181" i="1"/>
  <c r="AZ181" i="1"/>
  <c r="AZ182" i="1" s="1"/>
  <c r="BA178" i="1"/>
  <c r="BA177" i="1"/>
  <c r="AZ177" i="1"/>
  <c r="AZ178" i="1" s="1"/>
  <c r="BA173" i="1"/>
  <c r="AZ173" i="1"/>
  <c r="BA172" i="1"/>
  <c r="AZ172" i="1"/>
  <c r="BA171" i="1"/>
  <c r="AZ171" i="1"/>
  <c r="BA170" i="1"/>
  <c r="AZ170" i="1"/>
  <c r="AZ161" i="1"/>
  <c r="BA160" i="1"/>
  <c r="BA161" i="1" s="1"/>
  <c r="AZ160" i="1"/>
  <c r="BA156" i="1"/>
  <c r="AZ156" i="1"/>
  <c r="BA155" i="1"/>
  <c r="AZ155" i="1"/>
  <c r="BA154" i="1"/>
  <c r="AZ154" i="1"/>
  <c r="BA153" i="1"/>
  <c r="BA157" i="1" s="1"/>
  <c r="AZ153" i="1"/>
  <c r="AZ157" i="1" s="1"/>
  <c r="BA147" i="1"/>
  <c r="BA148" i="1" s="1"/>
  <c r="BA149" i="1" s="1"/>
  <c r="AZ147" i="1"/>
  <c r="AZ148" i="1" s="1"/>
  <c r="AZ149" i="1" s="1"/>
  <c r="BA140" i="1"/>
  <c r="BA139" i="1"/>
  <c r="AZ139" i="1"/>
  <c r="AZ140" i="1" s="1"/>
  <c r="BA136" i="1"/>
  <c r="BA135" i="1"/>
  <c r="AZ135" i="1"/>
  <c r="BA134" i="1"/>
  <c r="AZ134" i="1"/>
  <c r="BA133" i="1"/>
  <c r="AZ133" i="1"/>
  <c r="BA132" i="1"/>
  <c r="AZ132" i="1"/>
  <c r="AZ136" i="1" s="1"/>
  <c r="BA126" i="1"/>
  <c r="AZ126" i="1"/>
  <c r="BA125" i="1"/>
  <c r="BA127" i="1" s="1"/>
  <c r="AZ125" i="1"/>
  <c r="AZ127" i="1" s="1"/>
  <c r="BA121" i="1"/>
  <c r="AZ121" i="1"/>
  <c r="BA120" i="1"/>
  <c r="AZ120" i="1"/>
  <c r="BA119" i="1"/>
  <c r="AZ119" i="1"/>
  <c r="BA118" i="1"/>
  <c r="AZ118" i="1"/>
  <c r="BA117" i="1"/>
  <c r="AZ117" i="1"/>
  <c r="BA111" i="1"/>
  <c r="AZ111" i="1"/>
  <c r="BA110" i="1"/>
  <c r="AZ110" i="1"/>
  <c r="BA106" i="1"/>
  <c r="AZ106" i="1"/>
  <c r="BA105" i="1"/>
  <c r="AZ105" i="1"/>
  <c r="BA104" i="1"/>
  <c r="BA107" i="1" s="1"/>
  <c r="AZ104" i="1"/>
  <c r="BA94" i="1"/>
  <c r="AZ94" i="1"/>
  <c r="BA93" i="1"/>
  <c r="AZ93" i="1"/>
  <c r="BA92" i="1"/>
  <c r="AZ92" i="1"/>
  <c r="BA91" i="1"/>
  <c r="AZ91" i="1"/>
  <c r="BA90" i="1"/>
  <c r="AZ90" i="1"/>
  <c r="BA89" i="1"/>
  <c r="AZ89" i="1"/>
  <c r="BA81" i="1"/>
  <c r="AZ81" i="1"/>
  <c r="BA80" i="1"/>
  <c r="AZ80" i="1"/>
  <c r="BA79" i="1"/>
  <c r="AZ79" i="1"/>
  <c r="BA78" i="1"/>
  <c r="AZ78" i="1"/>
  <c r="AZ82" i="1" s="1"/>
  <c r="AZ83" i="1" s="1"/>
  <c r="AZ84" i="1" s="1"/>
  <c r="AZ98" i="1" s="1"/>
  <c r="BA74" i="1"/>
  <c r="BA75" i="1" s="1"/>
  <c r="AZ74" i="1"/>
  <c r="AZ75" i="1" s="1"/>
  <c r="BA64" i="1"/>
  <c r="AZ64" i="1"/>
  <c r="BA63" i="1"/>
  <c r="AZ63" i="1"/>
  <c r="BA62" i="1"/>
  <c r="AZ62" i="1"/>
  <c r="BA61" i="1"/>
  <c r="AZ61" i="1"/>
  <c r="BA51" i="1"/>
  <c r="AZ51" i="1"/>
  <c r="BA50" i="1"/>
  <c r="AZ50" i="1"/>
  <c r="BA49" i="1"/>
  <c r="AZ49" i="1"/>
  <c r="BA48" i="1"/>
  <c r="AZ48" i="1"/>
  <c r="BA47" i="1"/>
  <c r="AZ47" i="1"/>
  <c r="BA46" i="1"/>
  <c r="AZ46" i="1"/>
  <c r="BA45" i="1"/>
  <c r="AZ45" i="1"/>
  <c r="BA44" i="1"/>
  <c r="AZ44" i="1"/>
  <c r="BA43" i="1"/>
  <c r="AZ43" i="1"/>
  <c r="BA42" i="1"/>
  <c r="AZ42" i="1"/>
  <c r="BA41" i="1"/>
  <c r="AZ41" i="1"/>
  <c r="BA40" i="1"/>
  <c r="AZ40" i="1"/>
  <c r="BA39" i="1"/>
  <c r="AZ39" i="1"/>
  <c r="BA34" i="1"/>
  <c r="BA35" i="1" s="1"/>
  <c r="AZ34" i="1"/>
  <c r="AZ35" i="1" s="1"/>
  <c r="BA33" i="1"/>
  <c r="AZ33" i="1"/>
  <c r="BA29" i="1"/>
  <c r="BA27" i="1"/>
  <c r="BA28" i="1" s="1"/>
  <c r="AZ27" i="1"/>
  <c r="AZ28" i="1" s="1"/>
  <c r="AZ29" i="1" s="1"/>
  <c r="AZ24" i="1"/>
  <c r="BA23" i="1"/>
  <c r="BA24" i="1" s="1"/>
  <c r="AZ23" i="1"/>
  <c r="AZ15" i="1"/>
  <c r="AZ16" i="1" s="1"/>
  <c r="AZ17" i="1" s="1"/>
  <c r="BA13" i="1"/>
  <c r="AZ13" i="1"/>
  <c r="BA12" i="1"/>
  <c r="AZ12" i="1"/>
  <c r="BA11" i="1"/>
  <c r="BA14" i="1" s="1"/>
  <c r="BA15" i="1" s="1"/>
  <c r="BA16" i="1" s="1"/>
  <c r="BA17" i="1" s="1"/>
  <c r="AZ11" i="1"/>
  <c r="AZ14" i="1" s="1"/>
  <c r="BA549" i="1" l="1"/>
  <c r="BA506" i="1"/>
  <c r="AZ468" i="1"/>
  <c r="BA283" i="1"/>
  <c r="BA284" i="1"/>
  <c r="BA285" i="1" s="1"/>
  <c r="BA275" i="1"/>
  <c r="BA276" i="1" s="1"/>
  <c r="BA286" i="1" s="1"/>
  <c r="I10" i="5" s="1"/>
  <c r="AZ311" i="1"/>
  <c r="AZ65" i="1"/>
  <c r="AZ66" i="1" s="1"/>
  <c r="AZ67" i="1" s="1"/>
  <c r="AZ68" i="1" s="1"/>
  <c r="G5" i="5" s="1"/>
  <c r="AZ225" i="1"/>
  <c r="BA210" i="1"/>
  <c r="AZ610" i="1"/>
  <c r="BA610" i="1"/>
  <c r="AZ606" i="1"/>
  <c r="BA606" i="1"/>
  <c r="AZ598" i="1"/>
  <c r="BA598" i="1"/>
  <c r="AZ592" i="1"/>
  <c r="BA592" i="1"/>
  <c r="AZ645" i="1"/>
  <c r="AZ646" i="1" s="1"/>
  <c r="AZ647" i="1" s="1"/>
  <c r="BA644" i="1"/>
  <c r="AZ633" i="1"/>
  <c r="BA633" i="1"/>
  <c r="AZ626" i="1"/>
  <c r="AZ634" i="1"/>
  <c r="AZ635" i="1" s="1"/>
  <c r="AZ636" i="1" s="1"/>
  <c r="BA626" i="1"/>
  <c r="BA634" i="1" s="1"/>
  <c r="BA635" i="1" s="1"/>
  <c r="BA636" i="1" s="1"/>
  <c r="AZ549" i="1"/>
  <c r="AZ516" i="1"/>
  <c r="AZ499" i="1"/>
  <c r="AZ483" i="1"/>
  <c r="BA468" i="1"/>
  <c r="BA455" i="1"/>
  <c r="AZ436" i="1"/>
  <c r="AZ410" i="1"/>
  <c r="AZ428" i="1" s="1"/>
  <c r="AZ404" i="1"/>
  <c r="AZ385" i="1"/>
  <c r="AZ386" i="1" s="1"/>
  <c r="BA385" i="1"/>
  <c r="BA386" i="1" s="1"/>
  <c r="AZ369" i="1"/>
  <c r="BA349" i="1"/>
  <c r="AZ348" i="1"/>
  <c r="AZ349" i="1"/>
  <c r="AZ331" i="1"/>
  <c r="AZ336" i="1" s="1"/>
  <c r="AZ316" i="1"/>
  <c r="BA316" i="1"/>
  <c r="AZ321" i="1"/>
  <c r="AZ283" i="1"/>
  <c r="AZ274" i="1"/>
  <c r="AZ248" i="1"/>
  <c r="AZ249" i="1"/>
  <c r="AZ250" i="1" s="1"/>
  <c r="AZ210" i="1"/>
  <c r="AZ194" i="1"/>
  <c r="BA194" i="1"/>
  <c r="BA174" i="1"/>
  <c r="AZ174" i="1"/>
  <c r="AZ183" i="1" s="1"/>
  <c r="AZ195" i="1" s="1"/>
  <c r="AZ196" i="1" s="1"/>
  <c r="BA122" i="1"/>
  <c r="BA112" i="1"/>
  <c r="BA113" i="1" s="1"/>
  <c r="AZ107" i="1"/>
  <c r="BA65" i="1"/>
  <c r="BA66" i="1" s="1"/>
  <c r="BA67" i="1" s="1"/>
  <c r="BA68" i="1" s="1"/>
  <c r="I5" i="5" s="1"/>
  <c r="J5" i="5" s="1"/>
  <c r="BA52" i="1"/>
  <c r="BA53" i="1" s="1"/>
  <c r="AZ52" i="1"/>
  <c r="AZ53" i="1" s="1"/>
  <c r="AZ54" i="1" s="1"/>
  <c r="AZ55" i="1" s="1"/>
  <c r="AZ301" i="1"/>
  <c r="AZ302" i="1" s="1"/>
  <c r="AZ376" i="1"/>
  <c r="AZ377" i="1" s="1"/>
  <c r="G12" i="5" s="1"/>
  <c r="AZ555" i="1"/>
  <c r="AZ162" i="1"/>
  <c r="AZ163" i="1" s="1"/>
  <c r="BA321" i="1"/>
  <c r="AZ122" i="1"/>
  <c r="AZ216" i="1"/>
  <c r="BA336" i="1"/>
  <c r="AZ141" i="1"/>
  <c r="BA54" i="1"/>
  <c r="BA55" i="1" s="1"/>
  <c r="AZ112" i="1"/>
  <c r="AZ113" i="1" s="1"/>
  <c r="BA141" i="1"/>
  <c r="BA183" i="1"/>
  <c r="AZ226" i="1"/>
  <c r="BA82" i="1"/>
  <c r="BA83" i="1" s="1"/>
  <c r="BA84" i="1" s="1"/>
  <c r="BA98" i="1" s="1"/>
  <c r="BA162" i="1"/>
  <c r="BA163" i="1" s="1"/>
  <c r="BA215" i="1"/>
  <c r="BA216" i="1" s="1"/>
  <c r="BA331" i="1"/>
  <c r="BA404" i="1"/>
  <c r="BA488" i="1"/>
  <c r="BA554" i="1"/>
  <c r="BA555" i="1" s="1"/>
  <c r="BA226" i="1"/>
  <c r="BA227" i="1" s="1"/>
  <c r="BA228" i="1" s="1"/>
  <c r="I9" i="5" s="1"/>
  <c r="BA301" i="1"/>
  <c r="BA302" i="1" s="1"/>
  <c r="BA355" i="1"/>
  <c r="BA369" i="1" s="1"/>
  <c r="BA376" i="1" s="1"/>
  <c r="BA377" i="1" s="1"/>
  <c r="I12" i="5" s="1"/>
  <c r="BA415" i="1"/>
  <c r="BA428" i="1" s="1"/>
  <c r="BA436" i="1"/>
  <c r="BA437" i="1" s="1"/>
  <c r="AZ462" i="1"/>
  <c r="AZ506" i="1"/>
  <c r="AZ531" i="1"/>
  <c r="BA531" i="1"/>
  <c r="AP135" i="1"/>
  <c r="AP133" i="1"/>
  <c r="AP132" i="1"/>
  <c r="BA517" i="1" l="1"/>
  <c r="AZ284" i="1"/>
  <c r="AZ285" i="1" s="1"/>
  <c r="AZ275" i="1"/>
  <c r="AZ276" i="1" s="1"/>
  <c r="J12" i="5"/>
  <c r="L12" i="5"/>
  <c r="H12" i="5"/>
  <c r="BA128" i="1"/>
  <c r="AZ128" i="1"/>
  <c r="AZ142" i="1" s="1"/>
  <c r="AZ164" i="1" s="1"/>
  <c r="G7" i="5" s="1"/>
  <c r="L5" i="5"/>
  <c r="H5" i="5"/>
  <c r="AZ437" i="1"/>
  <c r="AZ438" i="1" s="1"/>
  <c r="AZ439" i="1" s="1"/>
  <c r="G13" i="5" s="1"/>
  <c r="AZ611" i="1"/>
  <c r="BA611" i="1"/>
  <c r="AZ599" i="1"/>
  <c r="BA599" i="1"/>
  <c r="BA645" i="1"/>
  <c r="BA646" i="1" s="1"/>
  <c r="BA647" i="1" s="1"/>
  <c r="AZ517" i="1"/>
  <c r="AZ562" i="1" s="1"/>
  <c r="AZ563" i="1" s="1"/>
  <c r="G14" i="5" s="1"/>
  <c r="AZ227" i="1"/>
  <c r="AZ228" i="1" s="1"/>
  <c r="G9" i="5" s="1"/>
  <c r="BA195" i="1"/>
  <c r="BA196" i="1" s="1"/>
  <c r="BA142" i="1"/>
  <c r="BA164" i="1" s="1"/>
  <c r="I7" i="5" s="1"/>
  <c r="BA438" i="1"/>
  <c r="BA439" i="1" s="1"/>
  <c r="BA562" i="1"/>
  <c r="BA563" i="1" s="1"/>
  <c r="I14" i="5" s="1"/>
  <c r="AP478" i="1"/>
  <c r="AS560" i="1"/>
  <c r="AV560" i="1"/>
  <c r="AV561" i="1" s="1"/>
  <c r="AS561" i="1"/>
  <c r="AG560" i="1"/>
  <c r="AJ560" i="1"/>
  <c r="AM560" i="1"/>
  <c r="AM561" i="1" s="1"/>
  <c r="AP560" i="1"/>
  <c r="AP561" i="1" s="1"/>
  <c r="AG561" i="1"/>
  <c r="AJ561" i="1"/>
  <c r="AA560" i="1"/>
  <c r="AA561" i="1" s="1"/>
  <c r="AD560" i="1"/>
  <c r="AD561" i="1" s="1"/>
  <c r="O560" i="1"/>
  <c r="R560" i="1"/>
  <c r="R561" i="1" s="1"/>
  <c r="R562" i="1" s="1"/>
  <c r="U560" i="1"/>
  <c r="U561" i="1" s="1"/>
  <c r="U562" i="1" s="1"/>
  <c r="X560" i="1"/>
  <c r="X561" i="1" s="1"/>
  <c r="O561" i="1"/>
  <c r="L560" i="1"/>
  <c r="L561" i="1" s="1"/>
  <c r="L562" i="1" s="1"/>
  <c r="O562" i="1"/>
  <c r="AG562" i="1"/>
  <c r="AJ562" i="1"/>
  <c r="AM562" i="1"/>
  <c r="AY481" i="1"/>
  <c r="L14" i="5" l="1"/>
  <c r="H14" i="5"/>
  <c r="J14" i="5"/>
  <c r="AZ286" i="1"/>
  <c r="G10" i="5" s="1"/>
  <c r="J10" i="5" s="1"/>
  <c r="H10" i="5"/>
  <c r="L10" i="5"/>
  <c r="J7" i="5"/>
  <c r="I16" i="5"/>
  <c r="I22" i="5" s="1"/>
  <c r="L7" i="5"/>
  <c r="H7" i="5"/>
  <c r="BA576" i="1"/>
  <c r="L13" i="5"/>
  <c r="J13" i="5"/>
  <c r="H13" i="5"/>
  <c r="L9" i="5"/>
  <c r="H9" i="5"/>
  <c r="G16" i="5"/>
  <c r="J9" i="5"/>
  <c r="BA618" i="1"/>
  <c r="BA619" i="1" s="1"/>
  <c r="BA648" i="1" s="1"/>
  <c r="AZ618" i="1"/>
  <c r="AZ619" i="1" s="1"/>
  <c r="AZ648" i="1" s="1"/>
  <c r="AZ576" i="1"/>
  <c r="BA649" i="1" l="1"/>
  <c r="G22" i="5"/>
  <c r="J22" i="5" s="1"/>
  <c r="H16" i="5"/>
  <c r="L16" i="5"/>
  <c r="J16" i="5"/>
  <c r="C33" i="5"/>
  <c r="AZ649" i="1"/>
  <c r="AP139" i="1"/>
  <c r="AP134" i="1"/>
  <c r="C32" i="5" l="1"/>
  <c r="H22" i="5"/>
  <c r="L22" i="5"/>
  <c r="AP346" i="1"/>
  <c r="AP345" i="1"/>
  <c r="AP344" i="1"/>
  <c r="AP327" i="1"/>
  <c r="AP326" i="1"/>
  <c r="AP328" i="1"/>
  <c r="AP325" i="1"/>
  <c r="D32" i="5" l="1"/>
  <c r="D34" i="5"/>
  <c r="D33" i="5"/>
  <c r="AA535" i="1"/>
  <c r="AA525" i="1"/>
  <c r="AP571" i="1" l="1"/>
  <c r="AP570" i="1"/>
  <c r="AM648" i="1" l="1"/>
  <c r="AJ648" i="1"/>
  <c r="AG648" i="1"/>
  <c r="AD648" i="1"/>
  <c r="AA648" i="1"/>
  <c r="X648" i="1"/>
  <c r="U648" i="1"/>
  <c r="R648" i="1"/>
  <c r="O648" i="1"/>
  <c r="AS644" i="1"/>
  <c r="AS645" i="1" s="1"/>
  <c r="AS646" i="1" s="1"/>
  <c r="AS647" i="1" s="1"/>
  <c r="AP644" i="1"/>
  <c r="AP645" i="1" s="1"/>
  <c r="AP646" i="1" s="1"/>
  <c r="AP647" i="1" s="1"/>
  <c r="AY643" i="1"/>
  <c r="AY642" i="1"/>
  <c r="AS633" i="1"/>
  <c r="L632" i="1"/>
  <c r="AY631" i="1"/>
  <c r="AY630" i="1"/>
  <c r="AY629" i="1"/>
  <c r="AS626" i="1"/>
  <c r="AY625" i="1"/>
  <c r="AY626" i="1" s="1"/>
  <c r="AV616" i="1"/>
  <c r="AV617" i="1" s="1"/>
  <c r="AV618" i="1" s="1"/>
  <c r="AV619" i="1" s="1"/>
  <c r="AV648" i="1" s="1"/>
  <c r="AS616" i="1"/>
  <c r="AS617" i="1" s="1"/>
  <c r="AP616" i="1"/>
  <c r="AP617" i="1" s="1"/>
  <c r="AY615" i="1"/>
  <c r="AY616" i="1" s="1"/>
  <c r="AY617" i="1" s="1"/>
  <c r="AP610" i="1"/>
  <c r="AS609" i="1"/>
  <c r="AY609" i="1" s="1"/>
  <c r="AY610" i="1" s="1"/>
  <c r="AP606" i="1"/>
  <c r="AS605" i="1"/>
  <c r="AY604" i="1"/>
  <c r="AY603" i="1"/>
  <c r="AP598" i="1"/>
  <c r="AY597" i="1"/>
  <c r="AS596" i="1"/>
  <c r="AS598" i="1" s="1"/>
  <c r="AY595" i="1"/>
  <c r="AS592" i="1"/>
  <c r="AP592" i="1"/>
  <c r="AY591" i="1"/>
  <c r="AY592" i="1" s="1"/>
  <c r="AS588" i="1"/>
  <c r="AP588" i="1"/>
  <c r="AY587" i="1"/>
  <c r="AY588" i="1" s="1"/>
  <c r="AP584" i="1"/>
  <c r="K584" i="1"/>
  <c r="AY583" i="1"/>
  <c r="AS582" i="1"/>
  <c r="AV572" i="1"/>
  <c r="AV573" i="1" s="1"/>
  <c r="AV574" i="1" s="1"/>
  <c r="AV575" i="1" s="1"/>
  <c r="AS572" i="1"/>
  <c r="AS573" i="1" s="1"/>
  <c r="AS574" i="1" s="1"/>
  <c r="AS575" i="1" s="1"/>
  <c r="AM572" i="1"/>
  <c r="AM573" i="1" s="1"/>
  <c r="AM574" i="1" s="1"/>
  <c r="AM575" i="1" s="1"/>
  <c r="AJ572" i="1"/>
  <c r="AJ573" i="1" s="1"/>
  <c r="AJ574" i="1" s="1"/>
  <c r="AJ575" i="1" s="1"/>
  <c r="AG572" i="1"/>
  <c r="AG573" i="1" s="1"/>
  <c r="AG574" i="1" s="1"/>
  <c r="AG575" i="1" s="1"/>
  <c r="AD572" i="1"/>
  <c r="AD573" i="1" s="1"/>
  <c r="AD574" i="1" s="1"/>
  <c r="AD575" i="1" s="1"/>
  <c r="AA572" i="1"/>
  <c r="AA573" i="1" s="1"/>
  <c r="AA574" i="1" s="1"/>
  <c r="AA575" i="1" s="1"/>
  <c r="X572" i="1"/>
  <c r="X573" i="1" s="1"/>
  <c r="X574" i="1" s="1"/>
  <c r="X575" i="1" s="1"/>
  <c r="U572" i="1"/>
  <c r="U573" i="1" s="1"/>
  <c r="U574" i="1" s="1"/>
  <c r="U575" i="1" s="1"/>
  <c r="R572" i="1"/>
  <c r="R573" i="1" s="1"/>
  <c r="R574" i="1" s="1"/>
  <c r="R575" i="1" s="1"/>
  <c r="O572" i="1"/>
  <c r="O573" i="1" s="1"/>
  <c r="O574" i="1" s="1"/>
  <c r="O575" i="1" s="1"/>
  <c r="L572" i="1"/>
  <c r="L573" i="1" s="1"/>
  <c r="L574" i="1" s="1"/>
  <c r="L575" i="1" s="1"/>
  <c r="AY571" i="1"/>
  <c r="AY570" i="1"/>
  <c r="AP569" i="1"/>
  <c r="AY569" i="1" s="1"/>
  <c r="AY559" i="1"/>
  <c r="AY560" i="1" s="1"/>
  <c r="AV554" i="1"/>
  <c r="AS554" i="1"/>
  <c r="AA554" i="1"/>
  <c r="X554" i="1"/>
  <c r="X555" i="1" s="1"/>
  <c r="AP553" i="1"/>
  <c r="AY553" i="1" s="1"/>
  <c r="AP552" i="1"/>
  <c r="AY552" i="1" s="1"/>
  <c r="AV549" i="1"/>
  <c r="AS549" i="1"/>
  <c r="AP548" i="1"/>
  <c r="AY548" i="1" s="1"/>
  <c r="AP547" i="1"/>
  <c r="AY547" i="1" s="1"/>
  <c r="AV544" i="1"/>
  <c r="AS544" i="1"/>
  <c r="AP543" i="1"/>
  <c r="AY543" i="1" s="1"/>
  <c r="AY544" i="1" s="1"/>
  <c r="AV540" i="1"/>
  <c r="AS540" i="1"/>
  <c r="AP539" i="1"/>
  <c r="AY539" i="1" s="1"/>
  <c r="AY540" i="1" s="1"/>
  <c r="AV536" i="1"/>
  <c r="AA536" i="1"/>
  <c r="X535" i="1"/>
  <c r="X536" i="1" s="1"/>
  <c r="AV530" i="1"/>
  <c r="AS530" i="1"/>
  <c r="AA530" i="1"/>
  <c r="AP529" i="1"/>
  <c r="AY529" i="1" s="1"/>
  <c r="AY525" i="1"/>
  <c r="AV522" i="1"/>
  <c r="AS522" i="1"/>
  <c r="AP521" i="1"/>
  <c r="AP522" i="1" s="1"/>
  <c r="AV516" i="1"/>
  <c r="AS516" i="1"/>
  <c r="AD516" i="1"/>
  <c r="AA516" i="1"/>
  <c r="X516" i="1"/>
  <c r="AY515" i="1"/>
  <c r="AY514" i="1"/>
  <c r="AP513" i="1"/>
  <c r="AY513" i="1" s="1"/>
  <c r="X509" i="1"/>
  <c r="AA506" i="1"/>
  <c r="X506" i="1"/>
  <c r="AY505" i="1"/>
  <c r="AY504" i="1"/>
  <c r="AY503" i="1"/>
  <c r="AY502" i="1"/>
  <c r="AV499" i="1"/>
  <c r="AS499" i="1"/>
  <c r="AD499" i="1"/>
  <c r="X499" i="1"/>
  <c r="AA498" i="1"/>
  <c r="AY498" i="1" s="1"/>
  <c r="AY497" i="1"/>
  <c r="AP496" i="1"/>
  <c r="AA493" i="1"/>
  <c r="X493" i="1"/>
  <c r="AY492" i="1"/>
  <c r="AY491" i="1"/>
  <c r="X488" i="1"/>
  <c r="AY487" i="1"/>
  <c r="AY486" i="1"/>
  <c r="AV483" i="1"/>
  <c r="AS483" i="1"/>
  <c r="AA483" i="1"/>
  <c r="X483" i="1"/>
  <c r="AY482" i="1"/>
  <c r="AY480" i="1"/>
  <c r="AP479" i="1"/>
  <c r="AY479" i="1" s="1"/>
  <c r="AY477" i="1"/>
  <c r="X474" i="1"/>
  <c r="AY473" i="1"/>
  <c r="AY472" i="1"/>
  <c r="AY471" i="1"/>
  <c r="X468" i="1"/>
  <c r="AY467" i="1"/>
  <c r="AY466" i="1"/>
  <c r="AY465" i="1"/>
  <c r="AA462" i="1"/>
  <c r="X462" i="1"/>
  <c r="AY461" i="1"/>
  <c r="AY460" i="1"/>
  <c r="AY459" i="1"/>
  <c r="AY458" i="1"/>
  <c r="AA455" i="1"/>
  <c r="X455" i="1"/>
  <c r="AY454" i="1"/>
  <c r="AY453" i="1"/>
  <c r="AA448" i="1"/>
  <c r="AA449" i="1" s="1"/>
  <c r="X448" i="1"/>
  <c r="X449" i="1" s="1"/>
  <c r="AY447" i="1"/>
  <c r="AY446" i="1"/>
  <c r="AY445" i="1"/>
  <c r="AV436" i="1"/>
  <c r="AV437" i="1" s="1"/>
  <c r="AS436" i="1"/>
  <c r="AS437" i="1" s="1"/>
  <c r="AP436" i="1"/>
  <c r="AP437" i="1" s="1"/>
  <c r="L436" i="1"/>
  <c r="L437" i="1" s="1"/>
  <c r="L438" i="1" s="1"/>
  <c r="L439" i="1" s="1"/>
  <c r="AY435" i="1"/>
  <c r="AY434" i="1"/>
  <c r="AY433" i="1"/>
  <c r="AY432" i="1"/>
  <c r="AV427" i="1"/>
  <c r="AS427" i="1"/>
  <c r="AP427" i="1"/>
  <c r="AY426" i="1"/>
  <c r="AY427" i="1" s="1"/>
  <c r="AV423" i="1"/>
  <c r="AS423" i="1"/>
  <c r="AP423" i="1"/>
  <c r="AY422" i="1"/>
  <c r="AY423" i="1" s="1"/>
  <c r="AV419" i="1"/>
  <c r="AS419" i="1"/>
  <c r="AP419" i="1"/>
  <c r="AY418" i="1"/>
  <c r="AY419" i="1" s="1"/>
  <c r="AV415" i="1"/>
  <c r="AS415" i="1"/>
  <c r="AP415" i="1"/>
  <c r="AY414" i="1"/>
  <c r="AY413" i="1"/>
  <c r="AV410" i="1"/>
  <c r="AS410" i="1"/>
  <c r="AY409" i="1"/>
  <c r="AP408" i="1"/>
  <c r="AY408" i="1" s="1"/>
  <c r="AV403" i="1"/>
  <c r="AS403" i="1"/>
  <c r="AP403" i="1"/>
  <c r="AY402" i="1"/>
  <c r="AY403" i="1" s="1"/>
  <c r="AV399" i="1"/>
  <c r="AS399" i="1"/>
  <c r="AP398" i="1"/>
  <c r="AV395" i="1"/>
  <c r="AS395" i="1"/>
  <c r="AP394" i="1"/>
  <c r="AV391" i="1"/>
  <c r="AS391" i="1"/>
  <c r="AP391" i="1"/>
  <c r="AY390" i="1"/>
  <c r="AY391" i="1" s="1"/>
  <c r="AV385" i="1"/>
  <c r="AV386" i="1" s="1"/>
  <c r="AS385" i="1"/>
  <c r="AS386" i="1" s="1"/>
  <c r="AP385" i="1"/>
  <c r="AP386" i="1" s="1"/>
  <c r="AY384" i="1"/>
  <c r="AY383" i="1"/>
  <c r="AV374" i="1"/>
  <c r="AV375" i="1" s="1"/>
  <c r="AS374" i="1"/>
  <c r="AS375" i="1" s="1"/>
  <c r="AM374" i="1"/>
  <c r="AM375" i="1" s="1"/>
  <c r="AJ374" i="1"/>
  <c r="AJ375" i="1" s="1"/>
  <c r="AG374" i="1"/>
  <c r="AG375" i="1" s="1"/>
  <c r="AD374" i="1"/>
  <c r="AD375" i="1" s="1"/>
  <c r="U374" i="1"/>
  <c r="U375" i="1" s="1"/>
  <c r="AP373" i="1"/>
  <c r="AP374" i="1" s="1"/>
  <c r="AP375" i="1" s="1"/>
  <c r="AV368" i="1"/>
  <c r="AS368" i="1"/>
  <c r="AJ368" i="1"/>
  <c r="AJ369" i="1" s="1"/>
  <c r="AG368" i="1"/>
  <c r="AG369" i="1" s="1"/>
  <c r="AD368" i="1"/>
  <c r="U368" i="1"/>
  <c r="U369" i="1" s="1"/>
  <c r="AP367" i="1"/>
  <c r="AY367" i="1" s="1"/>
  <c r="AP366" i="1"/>
  <c r="AY366" i="1" s="1"/>
  <c r="AD363" i="1"/>
  <c r="AY362" i="1"/>
  <c r="AY363" i="1" s="1"/>
  <c r="AV359" i="1"/>
  <c r="AS359" i="1"/>
  <c r="AD359" i="1"/>
  <c r="AP358" i="1"/>
  <c r="AY358" i="1" s="1"/>
  <c r="AY359" i="1" s="1"/>
  <c r="AV355" i="1"/>
  <c r="AS355" i="1"/>
  <c r="AP354" i="1"/>
  <c r="AP355" i="1" s="1"/>
  <c r="AY353" i="1"/>
  <c r="AV348" i="1"/>
  <c r="AV349" i="1" s="1"/>
  <c r="AS348" i="1"/>
  <c r="AJ348" i="1"/>
  <c r="AJ349" i="1" s="1"/>
  <c r="AG348" i="1"/>
  <c r="AG349" i="1" s="1"/>
  <c r="AD348" i="1"/>
  <c r="AD349" i="1" s="1"/>
  <c r="U348" i="1"/>
  <c r="U349" i="1" s="1"/>
  <c r="AP347" i="1"/>
  <c r="AY347" i="1" s="1"/>
  <c r="AY346" i="1"/>
  <c r="AY345" i="1"/>
  <c r="AY344" i="1"/>
  <c r="AS341" i="1"/>
  <c r="AP340" i="1"/>
  <c r="AY340" i="1" s="1"/>
  <c r="AY341" i="1" s="1"/>
  <c r="AM336" i="1"/>
  <c r="AA336" i="1"/>
  <c r="X336" i="1"/>
  <c r="R336" i="1"/>
  <c r="O336" i="1"/>
  <c r="L336" i="1"/>
  <c r="AV335" i="1"/>
  <c r="AS335" i="1"/>
  <c r="AJ335" i="1"/>
  <c r="AJ336" i="1" s="1"/>
  <c r="AG335" i="1"/>
  <c r="AG336" i="1" s="1"/>
  <c r="AD335" i="1"/>
  <c r="U335" i="1"/>
  <c r="U336" i="1" s="1"/>
  <c r="AP334" i="1"/>
  <c r="AP335" i="1" s="1"/>
  <c r="AV331" i="1"/>
  <c r="AS331" i="1"/>
  <c r="AD330" i="1"/>
  <c r="AP329" i="1"/>
  <c r="AY329" i="1" s="1"/>
  <c r="AY328" i="1"/>
  <c r="AY327" i="1"/>
  <c r="AY326" i="1"/>
  <c r="AY325" i="1"/>
  <c r="AV320" i="1"/>
  <c r="AS320" i="1"/>
  <c r="AP320" i="1"/>
  <c r="AJ320" i="1"/>
  <c r="U320" i="1"/>
  <c r="AG319" i="1"/>
  <c r="AG320" i="1" s="1"/>
  <c r="AG321" i="1" s="1"/>
  <c r="AD319" i="1"/>
  <c r="AV316" i="1"/>
  <c r="AS316" i="1"/>
  <c r="AP316" i="1"/>
  <c r="AD316" i="1"/>
  <c r="AY315" i="1"/>
  <c r="AY314" i="1"/>
  <c r="AV311" i="1"/>
  <c r="AS311" i="1"/>
  <c r="AJ311" i="1"/>
  <c r="U311" i="1"/>
  <c r="AP310" i="1"/>
  <c r="AY310" i="1" s="1"/>
  <c r="AY309" i="1"/>
  <c r="AP308" i="1"/>
  <c r="AV299" i="1"/>
  <c r="AV300" i="1" s="1"/>
  <c r="AS299" i="1"/>
  <c r="AS300" i="1" s="1"/>
  <c r="AP298" i="1"/>
  <c r="AP299" i="1" s="1"/>
  <c r="AP300" i="1" s="1"/>
  <c r="AV293" i="1"/>
  <c r="AV294" i="1" s="1"/>
  <c r="AS293" i="1"/>
  <c r="AS294" i="1" s="1"/>
  <c r="AP292" i="1"/>
  <c r="AP293" i="1" s="1"/>
  <c r="AP294" i="1" s="1"/>
  <c r="AS283" i="1"/>
  <c r="AS284" i="1" s="1"/>
  <c r="AS285" i="1" s="1"/>
  <c r="AP282" i="1"/>
  <c r="AY282" i="1" s="1"/>
  <c r="AP281" i="1"/>
  <c r="AV274" i="1"/>
  <c r="AS274" i="1"/>
  <c r="AP274" i="1"/>
  <c r="AY273" i="1"/>
  <c r="AY272" i="1"/>
  <c r="AV269" i="1"/>
  <c r="AS269" i="1"/>
  <c r="AP268" i="1"/>
  <c r="AY268" i="1" s="1"/>
  <c r="AY269" i="1" s="1"/>
  <c r="AV265" i="1"/>
  <c r="AS265" i="1"/>
  <c r="AP265" i="1"/>
  <c r="AY264" i="1"/>
  <c r="AY263" i="1"/>
  <c r="AY262" i="1"/>
  <c r="AY261" i="1"/>
  <c r="AV258" i="1"/>
  <c r="AS258" i="1"/>
  <c r="AP257" i="1"/>
  <c r="AY257" i="1" s="1"/>
  <c r="AP256" i="1"/>
  <c r="AY256" i="1" s="1"/>
  <c r="AP255" i="1"/>
  <c r="AP248" i="1"/>
  <c r="AY247" i="1"/>
  <c r="AY246" i="1"/>
  <c r="AY245" i="1"/>
  <c r="AY244" i="1"/>
  <c r="AV241" i="1"/>
  <c r="AS241" i="1"/>
  <c r="AP241" i="1"/>
  <c r="AY240" i="1"/>
  <c r="AY241" i="1" s="1"/>
  <c r="AV237" i="1"/>
  <c r="AS237" i="1"/>
  <c r="AY236" i="1"/>
  <c r="AP235" i="1"/>
  <c r="AY235" i="1" s="1"/>
  <c r="AY234" i="1"/>
  <c r="AV225" i="1"/>
  <c r="AS225" i="1"/>
  <c r="AP225" i="1"/>
  <c r="AY224" i="1"/>
  <c r="AY225" i="1" s="1"/>
  <c r="AV221" i="1"/>
  <c r="AS221" i="1"/>
  <c r="AP220" i="1"/>
  <c r="AV215" i="1"/>
  <c r="AS215" i="1"/>
  <c r="AP215" i="1"/>
  <c r="AY214" i="1"/>
  <c r="AY213" i="1"/>
  <c r="AV210" i="1"/>
  <c r="AS210" i="1"/>
  <c r="AY209" i="1"/>
  <c r="AY208" i="1"/>
  <c r="AP207" i="1"/>
  <c r="AP210" i="1" s="1"/>
  <c r="AV204" i="1"/>
  <c r="AS204" i="1"/>
  <c r="AP203" i="1"/>
  <c r="AY202" i="1"/>
  <c r="AV193" i="1"/>
  <c r="AS193" i="1"/>
  <c r="AP193" i="1"/>
  <c r="O193" i="1"/>
  <c r="O194" i="1" s="1"/>
  <c r="O195" i="1" s="1"/>
  <c r="O196" i="1" s="1"/>
  <c r="L193" i="1"/>
  <c r="L194" i="1" s="1"/>
  <c r="AY192" i="1"/>
  <c r="AY191" i="1"/>
  <c r="AV188" i="1"/>
  <c r="AS188" i="1"/>
  <c r="AP188" i="1"/>
  <c r="AY187" i="1"/>
  <c r="AY188" i="1" s="1"/>
  <c r="L182" i="1"/>
  <c r="AY181" i="1"/>
  <c r="AY182" i="1" s="1"/>
  <c r="AV178" i="1"/>
  <c r="AS178" i="1"/>
  <c r="AP178" i="1"/>
  <c r="AY177" i="1"/>
  <c r="AY178" i="1" s="1"/>
  <c r="AV174" i="1"/>
  <c r="AS174" i="1"/>
  <c r="L174" i="1"/>
  <c r="AY173" i="1"/>
  <c r="AY172" i="1"/>
  <c r="AP171" i="1"/>
  <c r="AP174" i="1" s="1"/>
  <c r="AY170" i="1"/>
  <c r="AV161" i="1"/>
  <c r="AS161" i="1"/>
  <c r="O161" i="1"/>
  <c r="O162" i="1" s="1"/>
  <c r="O163" i="1" s="1"/>
  <c r="AP160" i="1"/>
  <c r="AV157" i="1"/>
  <c r="AS157" i="1"/>
  <c r="AP156" i="1"/>
  <c r="AY156" i="1" s="1"/>
  <c r="AP155" i="1"/>
  <c r="AY155" i="1" s="1"/>
  <c r="AP154" i="1"/>
  <c r="AY154" i="1" s="1"/>
  <c r="AP153" i="1"/>
  <c r="AV148" i="1"/>
  <c r="AV149" i="1" s="1"/>
  <c r="AS148" i="1"/>
  <c r="AS149" i="1" s="1"/>
  <c r="AP147" i="1"/>
  <c r="AY147" i="1" s="1"/>
  <c r="AY148" i="1" s="1"/>
  <c r="AY149" i="1" s="1"/>
  <c r="A147" i="1"/>
  <c r="AV140" i="1"/>
  <c r="AS140" i="1"/>
  <c r="O140" i="1"/>
  <c r="O141" i="1" s="1"/>
  <c r="AV136" i="1"/>
  <c r="AS136" i="1"/>
  <c r="AY135" i="1"/>
  <c r="AY134" i="1"/>
  <c r="AY133" i="1"/>
  <c r="AY132" i="1"/>
  <c r="O128" i="1"/>
  <c r="AV127" i="1"/>
  <c r="AV128" i="1" s="1"/>
  <c r="AS127" i="1"/>
  <c r="AS128" i="1" s="1"/>
  <c r="AY126" i="1"/>
  <c r="AP125" i="1"/>
  <c r="AY121" i="1"/>
  <c r="AP120" i="1"/>
  <c r="AP122" i="1" s="1"/>
  <c r="AY119" i="1"/>
  <c r="AY118" i="1"/>
  <c r="AY117" i="1"/>
  <c r="AV112" i="1"/>
  <c r="AV113" i="1" s="1"/>
  <c r="AS112" i="1"/>
  <c r="AS113" i="1" s="1"/>
  <c r="U112" i="1"/>
  <c r="U113" i="1" s="1"/>
  <c r="R112" i="1"/>
  <c r="R113" i="1" s="1"/>
  <c r="O112" i="1"/>
  <c r="AP111" i="1"/>
  <c r="AY111" i="1" s="1"/>
  <c r="AP110" i="1"/>
  <c r="O106" i="1"/>
  <c r="AP105" i="1"/>
  <c r="AY105" i="1" s="1"/>
  <c r="AP104" i="1"/>
  <c r="AV95" i="1"/>
  <c r="AV96" i="1" s="1"/>
  <c r="AV97" i="1" s="1"/>
  <c r="AS95" i="1"/>
  <c r="AS96" i="1" s="1"/>
  <c r="AS97" i="1" s="1"/>
  <c r="AP95" i="1"/>
  <c r="AP96" i="1" s="1"/>
  <c r="AP97" i="1" s="1"/>
  <c r="AM95" i="1"/>
  <c r="AM96" i="1" s="1"/>
  <c r="AM97" i="1" s="1"/>
  <c r="AJ95" i="1"/>
  <c r="AJ96" i="1" s="1"/>
  <c r="AJ97" i="1" s="1"/>
  <c r="AG95" i="1"/>
  <c r="AG96" i="1" s="1"/>
  <c r="AG97" i="1" s="1"/>
  <c r="AD95" i="1"/>
  <c r="AD96" i="1" s="1"/>
  <c r="AD97" i="1" s="1"/>
  <c r="AA95" i="1"/>
  <c r="AA96" i="1" s="1"/>
  <c r="AA97" i="1" s="1"/>
  <c r="X95" i="1"/>
  <c r="X96" i="1" s="1"/>
  <c r="X97" i="1" s="1"/>
  <c r="U95" i="1"/>
  <c r="U96" i="1" s="1"/>
  <c r="U97" i="1" s="1"/>
  <c r="R95" i="1"/>
  <c r="R96" i="1" s="1"/>
  <c r="R97" i="1" s="1"/>
  <c r="O95" i="1"/>
  <c r="O96" i="1" s="1"/>
  <c r="O97" i="1" s="1"/>
  <c r="L95" i="1"/>
  <c r="L96" i="1" s="1"/>
  <c r="L97" i="1" s="1"/>
  <c r="AY94" i="1"/>
  <c r="AY93" i="1"/>
  <c r="AY92" i="1"/>
  <c r="AY91" i="1"/>
  <c r="AY90" i="1"/>
  <c r="AY89" i="1"/>
  <c r="AV82" i="1"/>
  <c r="AS82" i="1"/>
  <c r="AM82" i="1"/>
  <c r="AJ82" i="1"/>
  <c r="AG82" i="1"/>
  <c r="AD82" i="1"/>
  <c r="AA82" i="1"/>
  <c r="X82" i="1"/>
  <c r="U82" i="1"/>
  <c r="R82" i="1"/>
  <c r="O82" i="1"/>
  <c r="O83" i="1" s="1"/>
  <c r="O84" i="1" s="1"/>
  <c r="L81" i="1"/>
  <c r="AP80" i="1"/>
  <c r="AP82" i="1" s="1"/>
  <c r="AY79" i="1"/>
  <c r="AY78" i="1"/>
  <c r="AV75" i="1"/>
  <c r="AS75" i="1"/>
  <c r="AM75" i="1"/>
  <c r="AJ75" i="1"/>
  <c r="AG75" i="1"/>
  <c r="AD75" i="1"/>
  <c r="AA75" i="1"/>
  <c r="X75" i="1"/>
  <c r="U75" i="1"/>
  <c r="R75" i="1"/>
  <c r="AP74" i="1"/>
  <c r="AP75" i="1" s="1"/>
  <c r="AV65" i="1"/>
  <c r="AV66" i="1" s="1"/>
  <c r="AV67" i="1" s="1"/>
  <c r="AV68" i="1" s="1"/>
  <c r="AS65" i="1"/>
  <c r="AS66" i="1" s="1"/>
  <c r="AS67" i="1" s="1"/>
  <c r="AS68" i="1" s="1"/>
  <c r="AP64" i="1"/>
  <c r="AY64" i="1" s="1"/>
  <c r="AY63" i="1"/>
  <c r="AP62" i="1"/>
  <c r="AY61" i="1"/>
  <c r="AV52" i="1"/>
  <c r="AV53" i="1" s="1"/>
  <c r="AS52" i="1"/>
  <c r="AS53" i="1" s="1"/>
  <c r="AP51" i="1"/>
  <c r="AY51" i="1" s="1"/>
  <c r="AP50" i="1"/>
  <c r="AY50" i="1" s="1"/>
  <c r="AY49" i="1"/>
  <c r="AY48" i="1"/>
  <c r="AY47" i="1"/>
  <c r="AY46" i="1"/>
  <c r="AY45" i="1"/>
  <c r="AY44" i="1"/>
  <c r="AY43" i="1"/>
  <c r="AY42" i="1"/>
  <c r="AY41" i="1"/>
  <c r="AY40" i="1"/>
  <c r="AP39" i="1"/>
  <c r="AY39" i="1" s="1"/>
  <c r="AP33" i="1"/>
  <c r="AY33" i="1" s="1"/>
  <c r="AP28" i="1"/>
  <c r="AY27" i="1"/>
  <c r="AP24" i="1"/>
  <c r="AY23" i="1"/>
  <c r="AV14" i="1"/>
  <c r="AV15" i="1" s="1"/>
  <c r="AV16" i="1" s="1"/>
  <c r="AV17" i="1" s="1"/>
  <c r="AY13" i="1"/>
  <c r="AY12" i="1"/>
  <c r="AP11" i="1"/>
  <c r="AY11" i="1" s="1"/>
  <c r="AY526" i="1" l="1"/>
  <c r="AY561" i="1"/>
  <c r="AY530" i="1"/>
  <c r="AP311" i="1"/>
  <c r="AP321" i="1" s="1"/>
  <c r="AP107" i="1"/>
  <c r="AP483" i="1"/>
  <c r="AS517" i="1"/>
  <c r="AG563" i="1"/>
  <c r="AV83" i="1"/>
  <c r="AV84" i="1" s="1"/>
  <c r="AV98" i="1" s="1"/>
  <c r="AV141" i="1"/>
  <c r="AV142" i="1" s="1"/>
  <c r="AY410" i="1"/>
  <c r="AY14" i="1"/>
  <c r="AY15" i="1" s="1"/>
  <c r="AY16" i="1" s="1"/>
  <c r="AY17" i="1" s="1"/>
  <c r="AY24" i="1"/>
  <c r="AY28" i="1"/>
  <c r="AY34" i="1"/>
  <c r="AY35" i="1" s="1"/>
  <c r="L82" i="1"/>
  <c r="L83" i="1" s="1"/>
  <c r="L84" i="1" s="1"/>
  <c r="AY81" i="1"/>
  <c r="O107" i="1"/>
  <c r="O113" i="1" s="1"/>
  <c r="O142" i="1" s="1"/>
  <c r="O164" i="1" s="1"/>
  <c r="AY106" i="1"/>
  <c r="AS194" i="1"/>
  <c r="AS226" i="1"/>
  <c r="AY316" i="1"/>
  <c r="AY368" i="1"/>
  <c r="AM376" i="1"/>
  <c r="AM377" i="1" s="1"/>
  <c r="AY385" i="1"/>
  <c r="AY386" i="1" s="1"/>
  <c r="AY488" i="1"/>
  <c r="AY496" i="1"/>
  <c r="AP499" i="1"/>
  <c r="AY509" i="1"/>
  <c r="AY510" i="1" s="1"/>
  <c r="X510" i="1"/>
  <c r="X517" i="1" s="1"/>
  <c r="AD517" i="1"/>
  <c r="AD562" i="1" s="1"/>
  <c r="AD563" i="1" s="1"/>
  <c r="AS531" i="1"/>
  <c r="AS584" i="1"/>
  <c r="AY582" i="1"/>
  <c r="AY644" i="1"/>
  <c r="AY645" i="1" s="1"/>
  <c r="AY646" i="1" s="1"/>
  <c r="AY647" i="1" s="1"/>
  <c r="AP29" i="1"/>
  <c r="AP83" i="1"/>
  <c r="AP84" i="1" s="1"/>
  <c r="AP98" i="1" s="1"/>
  <c r="X83" i="1"/>
  <c r="X84" i="1" s="1"/>
  <c r="X98" i="1" s="1"/>
  <c r="AJ83" i="1"/>
  <c r="AJ84" i="1" s="1"/>
  <c r="AJ98" i="1" s="1"/>
  <c r="L183" i="1"/>
  <c r="L195" i="1" s="1"/>
  <c r="L196" i="1" s="1"/>
  <c r="U321" i="1"/>
  <c r="U376" i="1" s="1"/>
  <c r="U377" i="1" s="1"/>
  <c r="AP530" i="1"/>
  <c r="AP531" i="1" s="1"/>
  <c r="AV531" i="1"/>
  <c r="AV555" i="1"/>
  <c r="AY74" i="1"/>
  <c r="AA83" i="1"/>
  <c r="AA84" i="1" s="1"/>
  <c r="AA98" i="1" s="1"/>
  <c r="AM83" i="1"/>
  <c r="AM84" i="1" s="1"/>
  <c r="AM98" i="1" s="1"/>
  <c r="AY95" i="1"/>
  <c r="AY96" i="1" s="1"/>
  <c r="AY97" i="1" s="1"/>
  <c r="AY104" i="1"/>
  <c r="AY120" i="1"/>
  <c r="AP157" i="1"/>
  <c r="AY193" i="1"/>
  <c r="AP194" i="1"/>
  <c r="AV194" i="1"/>
  <c r="AV216" i="1"/>
  <c r="AP237" i="1"/>
  <c r="AP258" i="1"/>
  <c r="AP269" i="1"/>
  <c r="AY274" i="1"/>
  <c r="AP283" i="1"/>
  <c r="AP284" i="1" s="1"/>
  <c r="AP285" i="1" s="1"/>
  <c r="AY292" i="1"/>
  <c r="AY293" i="1" s="1"/>
  <c r="AY294" i="1" s="1"/>
  <c r="AY298" i="1"/>
  <c r="AY299" i="1" s="1"/>
  <c r="AY300" i="1" s="1"/>
  <c r="AV301" i="1"/>
  <c r="AV302" i="1" s="1"/>
  <c r="AY308" i="1"/>
  <c r="AY334" i="1"/>
  <c r="AY335" i="1" s="1"/>
  <c r="AP341" i="1"/>
  <c r="AY354" i="1"/>
  <c r="AD369" i="1"/>
  <c r="AS369" i="1"/>
  <c r="AY455" i="1"/>
  <c r="AY478" i="1"/>
  <c r="AY506" i="1"/>
  <c r="AY516" i="1"/>
  <c r="AP516" i="1"/>
  <c r="AS634" i="1"/>
  <c r="AS635" i="1" s="1"/>
  <c r="AS636" i="1" s="1"/>
  <c r="AY572" i="1"/>
  <c r="AY573" i="1" s="1"/>
  <c r="AY574" i="1" s="1"/>
  <c r="AY575" i="1" s="1"/>
  <c r="AY52" i="1"/>
  <c r="AY53" i="1" s="1"/>
  <c r="AY207" i="1"/>
  <c r="AY248" i="1"/>
  <c r="AS349" i="1"/>
  <c r="AP359" i="1"/>
  <c r="AY373" i="1"/>
  <c r="AY374" i="1" s="1"/>
  <c r="AY375" i="1" s="1"/>
  <c r="AP410" i="1"/>
  <c r="AP428" i="1" s="1"/>
  <c r="AY448" i="1"/>
  <c r="AA499" i="1"/>
  <c r="AA517" i="1" s="1"/>
  <c r="AA526" i="1"/>
  <c r="AA531" i="1" s="1"/>
  <c r="AP549" i="1"/>
  <c r="AP572" i="1"/>
  <c r="AP573" i="1" s="1"/>
  <c r="AP574" i="1" s="1"/>
  <c r="AP575" i="1" s="1"/>
  <c r="AP599" i="1"/>
  <c r="AP611" i="1"/>
  <c r="AS610" i="1"/>
  <c r="AV183" i="1"/>
  <c r="AV336" i="1"/>
  <c r="AY80" i="1"/>
  <c r="AD83" i="1"/>
  <c r="AD84" i="1" s="1"/>
  <c r="AD98" i="1" s="1"/>
  <c r="AS141" i="1"/>
  <c r="AS142" i="1" s="1"/>
  <c r="AY153" i="1"/>
  <c r="AV162" i="1"/>
  <c r="AV163" i="1" s="1"/>
  <c r="AY215" i="1"/>
  <c r="AY255" i="1"/>
  <c r="AY265" i="1"/>
  <c r="AY281" i="1"/>
  <c r="AV321" i="1"/>
  <c r="AP368" i="1"/>
  <c r="AS428" i="1"/>
  <c r="AY521" i="1"/>
  <c r="AY596" i="1"/>
  <c r="U83" i="1"/>
  <c r="U84" i="1" s="1"/>
  <c r="U98" i="1" s="1"/>
  <c r="AG83" i="1"/>
  <c r="AG84" i="1" s="1"/>
  <c r="AG98" i="1" s="1"/>
  <c r="AS83" i="1"/>
  <c r="AS84" i="1" s="1"/>
  <c r="AS98" i="1" s="1"/>
  <c r="AY171" i="1"/>
  <c r="AS275" i="1"/>
  <c r="AS276" i="1" s="1"/>
  <c r="AS286" i="1" s="1"/>
  <c r="AY348" i="1"/>
  <c r="AY349" i="1" s="1"/>
  <c r="AP348" i="1"/>
  <c r="AV369" i="1"/>
  <c r="AS404" i="1"/>
  <c r="AY415" i="1"/>
  <c r="AY468" i="1"/>
  <c r="AV517" i="1"/>
  <c r="AP540" i="1"/>
  <c r="AP544" i="1"/>
  <c r="AS555" i="1"/>
  <c r="AS599" i="1"/>
  <c r="O98" i="1"/>
  <c r="AP34" i="1"/>
  <c r="AP35" i="1" s="1"/>
  <c r="AP52" i="1"/>
  <c r="AP53" i="1" s="1"/>
  <c r="AP65" i="1"/>
  <c r="AP66" i="1" s="1"/>
  <c r="AP67" i="1" s="1"/>
  <c r="AP68" i="1" s="1"/>
  <c r="AY62" i="1"/>
  <c r="AP127" i="1"/>
  <c r="AP128" i="1" s="1"/>
  <c r="AY125" i="1"/>
  <c r="AY136" i="1"/>
  <c r="AP136" i="1"/>
  <c r="AS162" i="1"/>
  <c r="AS163" i="1" s="1"/>
  <c r="R83" i="1"/>
  <c r="R84" i="1" s="1"/>
  <c r="R98" i="1" s="1"/>
  <c r="R576" i="1" s="1"/>
  <c r="R649" i="1" s="1"/>
  <c r="L98" i="1"/>
  <c r="AP183" i="1"/>
  <c r="AP221" i="1"/>
  <c r="AP226" i="1" s="1"/>
  <c r="AY220" i="1"/>
  <c r="AY221" i="1" s="1"/>
  <c r="AY226" i="1" s="1"/>
  <c r="AP249" i="1"/>
  <c r="AP250" i="1" s="1"/>
  <c r="AV275" i="1"/>
  <c r="AV276" i="1" s="1"/>
  <c r="AS321" i="1"/>
  <c r="AY394" i="1"/>
  <c r="AY395" i="1" s="1"/>
  <c r="AP395" i="1"/>
  <c r="AP14" i="1"/>
  <c r="AP15" i="1" s="1"/>
  <c r="AP16" i="1" s="1"/>
  <c r="AP17" i="1" s="1"/>
  <c r="AY110" i="1"/>
  <c r="AP112" i="1"/>
  <c r="AP161" i="1"/>
  <c r="AY160" i="1"/>
  <c r="AY161" i="1" s="1"/>
  <c r="AP331" i="1"/>
  <c r="AP336" i="1" s="1"/>
  <c r="AY139" i="1"/>
  <c r="AY140" i="1" s="1"/>
  <c r="AP140" i="1"/>
  <c r="AP148" i="1"/>
  <c r="AP149" i="1" s="1"/>
  <c r="AV226" i="1"/>
  <c r="AY319" i="1"/>
  <c r="AY320" i="1" s="1"/>
  <c r="AD320" i="1"/>
  <c r="AD321" i="1" s="1"/>
  <c r="AY632" i="1"/>
  <c r="L633" i="1"/>
  <c r="L634" i="1" s="1"/>
  <c r="L635" i="1" s="1"/>
  <c r="L636" i="1" s="1"/>
  <c r="L648" i="1" s="1"/>
  <c r="AS183" i="1"/>
  <c r="AY194" i="1"/>
  <c r="AY237" i="1"/>
  <c r="AP301" i="1"/>
  <c r="AP302" i="1" s="1"/>
  <c r="AJ321" i="1"/>
  <c r="AJ376" i="1" s="1"/>
  <c r="AJ377" i="1" s="1"/>
  <c r="AD331" i="1"/>
  <c r="AD336" i="1" s="1"/>
  <c r="AY330" i="1"/>
  <c r="AG376" i="1"/>
  <c r="AG377" i="1" s="1"/>
  <c r="AV404" i="1"/>
  <c r="AY554" i="1"/>
  <c r="AP554" i="1"/>
  <c r="AP204" i="1"/>
  <c r="AP216" i="1" s="1"/>
  <c r="AY203" i="1"/>
  <c r="AS216" i="1"/>
  <c r="AS301" i="1"/>
  <c r="AS302" i="1" s="1"/>
  <c r="AY398" i="1"/>
  <c r="AY399" i="1" s="1"/>
  <c r="AP399" i="1"/>
  <c r="AY474" i="1"/>
  <c r="AY493" i="1"/>
  <c r="AS336" i="1"/>
  <c r="AV428" i="1"/>
  <c r="AY436" i="1"/>
  <c r="AY437" i="1" s="1"/>
  <c r="AY462" i="1"/>
  <c r="AY535" i="1"/>
  <c r="AY536" i="1" s="1"/>
  <c r="AY549" i="1"/>
  <c r="AA555" i="1"/>
  <c r="AS606" i="1"/>
  <c r="AY605" i="1"/>
  <c r="AY210" i="1" l="1"/>
  <c r="AV195" i="1"/>
  <c r="AV196" i="1" s="1"/>
  <c r="AY499" i="1"/>
  <c r="AA562" i="1"/>
  <c r="AA563" i="1" s="1"/>
  <c r="AA576" i="1" s="1"/>
  <c r="AA649" i="1" s="1"/>
  <c r="AY428" i="1"/>
  <c r="AM576" i="1"/>
  <c r="AM649" i="1" s="1"/>
  <c r="AY483" i="1"/>
  <c r="AS562" i="1"/>
  <c r="AS563" i="1" s="1"/>
  <c r="AY522" i="1"/>
  <c r="AY531" i="1" s="1"/>
  <c r="AY449" i="1"/>
  <c r="AV562" i="1"/>
  <c r="X562" i="1"/>
  <c r="X563" i="1" s="1"/>
  <c r="X576" i="1" s="1"/>
  <c r="X649" i="1" s="1"/>
  <c r="AP141" i="1"/>
  <c r="AY29" i="1"/>
  <c r="AY54" i="1" s="1"/>
  <c r="AY55" i="1" s="1"/>
  <c r="AS227" i="1"/>
  <c r="AS228" i="1" s="1"/>
  <c r="AP113" i="1"/>
  <c r="AY122" i="1"/>
  <c r="AS164" i="1"/>
  <c r="AP349" i="1"/>
  <c r="AY311" i="1"/>
  <c r="AY321" i="1" s="1"/>
  <c r="AY107" i="1"/>
  <c r="AP275" i="1"/>
  <c r="AP276" i="1" s="1"/>
  <c r="AP286" i="1" s="1"/>
  <c r="AP517" i="1"/>
  <c r="AV227" i="1"/>
  <c r="AV228" i="1" s="1"/>
  <c r="AY157" i="1"/>
  <c r="AY162" i="1" s="1"/>
  <c r="AY163" i="1" s="1"/>
  <c r="L576" i="1"/>
  <c r="L649" i="1" s="1"/>
  <c r="AP369" i="1"/>
  <c r="AY404" i="1"/>
  <c r="AY438" i="1" s="1"/>
  <c r="AY439" i="1" s="1"/>
  <c r="AP555" i="1"/>
  <c r="AP195" i="1"/>
  <c r="AP196" i="1" s="1"/>
  <c r="AV376" i="1"/>
  <c r="AV377" i="1" s="1"/>
  <c r="AJ576" i="1"/>
  <c r="AJ649" i="1" s="1"/>
  <c r="AY249" i="1"/>
  <c r="AY250" i="1" s="1"/>
  <c r="AS195" i="1"/>
  <c r="AS196" i="1" s="1"/>
  <c r="AS438" i="1"/>
  <c r="AS439" i="1" s="1"/>
  <c r="AY606" i="1"/>
  <c r="AY611" i="1" s="1"/>
  <c r="AY204" i="1"/>
  <c r="AY331" i="1"/>
  <c r="AY336" i="1" s="1"/>
  <c r="AY633" i="1"/>
  <c r="AY634" i="1" s="1"/>
  <c r="AY635" i="1" s="1"/>
  <c r="AY636" i="1" s="1"/>
  <c r="AY112" i="1"/>
  <c r="AY127" i="1"/>
  <c r="AY65" i="1"/>
  <c r="AY66" i="1" s="1"/>
  <c r="AY67" i="1" s="1"/>
  <c r="AY68" i="1" s="1"/>
  <c r="AP54" i="1"/>
  <c r="AP55" i="1" s="1"/>
  <c r="AY174" i="1"/>
  <c r="AY183" i="1" s="1"/>
  <c r="AY195" i="1" s="1"/>
  <c r="AY196" i="1" s="1"/>
  <c r="AY598" i="1"/>
  <c r="AY283" i="1"/>
  <c r="AY284" i="1" s="1"/>
  <c r="AY285" i="1" s="1"/>
  <c r="AY258" i="1"/>
  <c r="AY275" i="1" s="1"/>
  <c r="AY276" i="1" s="1"/>
  <c r="AY82" i="1"/>
  <c r="AP618" i="1"/>
  <c r="AP619" i="1" s="1"/>
  <c r="AP648" i="1" s="1"/>
  <c r="AY517" i="1"/>
  <c r="AY562" i="1" s="1"/>
  <c r="AY355" i="1"/>
  <c r="AY369" i="1" s="1"/>
  <c r="AY75" i="1"/>
  <c r="AV563" i="1"/>
  <c r="AY584" i="1"/>
  <c r="AS611" i="1"/>
  <c r="AS618" i="1" s="1"/>
  <c r="AS619" i="1" s="1"/>
  <c r="AS648" i="1" s="1"/>
  <c r="AS376" i="1"/>
  <c r="AS377" i="1" s="1"/>
  <c r="AP404" i="1"/>
  <c r="AP438" i="1" s="1"/>
  <c r="AP439" i="1" s="1"/>
  <c r="AD376" i="1"/>
  <c r="AD377" i="1" s="1"/>
  <c r="AD576" i="1" s="1"/>
  <c r="AD649" i="1" s="1"/>
  <c r="AY141" i="1"/>
  <c r="AP162" i="1"/>
  <c r="AP163" i="1" s="1"/>
  <c r="AV164" i="1"/>
  <c r="O576" i="1"/>
  <c r="O649" i="1" s="1"/>
  <c r="AY301" i="1"/>
  <c r="AY302" i="1" s="1"/>
  <c r="AV438" i="1"/>
  <c r="AV439" i="1" s="1"/>
  <c r="U576" i="1"/>
  <c r="U649" i="1" s="1"/>
  <c r="AG576" i="1"/>
  <c r="AG649" i="1" s="1"/>
  <c r="AY216" i="1"/>
  <c r="AY227" i="1" s="1"/>
  <c r="AY228" i="1" s="1"/>
  <c r="AY555" i="1"/>
  <c r="AP227" i="1"/>
  <c r="AP228" i="1" s="1"/>
  <c r="AP142" i="1" l="1"/>
  <c r="AP562" i="1"/>
  <c r="AY113" i="1"/>
  <c r="AY128" i="1"/>
  <c r="AY142" i="1" s="1"/>
  <c r="AY164" i="1" s="1"/>
  <c r="AP164" i="1"/>
  <c r="AP563" i="1"/>
  <c r="AY83" i="1"/>
  <c r="AY84" i="1" s="1"/>
  <c r="AY98" i="1" s="1"/>
  <c r="AP376" i="1"/>
  <c r="AP377" i="1" s="1"/>
  <c r="AY286" i="1"/>
  <c r="AS576" i="1"/>
  <c r="AS649" i="1" s="1"/>
  <c r="AY376" i="1"/>
  <c r="AY377" i="1" s="1"/>
  <c r="AV576" i="1"/>
  <c r="AV649" i="1" s="1"/>
  <c r="AY599" i="1"/>
  <c r="AY618" i="1" s="1"/>
  <c r="AY619" i="1" s="1"/>
  <c r="AY563" i="1"/>
  <c r="AP576" i="1" l="1"/>
  <c r="AP649" i="1" s="1"/>
  <c r="AY648" i="1"/>
  <c r="AY576" i="1"/>
  <c r="AY649" i="1" l="1"/>
</calcChain>
</file>

<file path=xl/sharedStrings.xml><?xml version="1.0" encoding="utf-8"?>
<sst xmlns="http://schemas.openxmlformats.org/spreadsheetml/2006/main" count="1327" uniqueCount="766">
  <si>
    <t>ESTRATEGIA</t>
  </si>
  <si>
    <t>PROGRAMA</t>
  </si>
  <si>
    <t>SUB PROGRAMA</t>
  </si>
  <si>
    <t xml:space="preserve">NOMBRE DEL PROYECTO </t>
  </si>
  <si>
    <t>304 -Secretaría Administrativa</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</si>
  <si>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</si>
  <si>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</si>
  <si>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</si>
  <si>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Implementar un programa de actualización y registro de los bienes de propiedad del departamento</t>
  </si>
  <si>
    <t>201663000-0005</t>
  </si>
  <si>
    <t>Implementación de un programa  de  modernización de la gestión administrativa en el Departamento del Quindio</t>
  </si>
  <si>
    <t>Implementar un (1) programa de modernización de la gestión documental en el departamento</t>
  </si>
  <si>
    <t>305 Secretaría de Planeación</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</si>
  <si>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</si>
  <si>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</si>
  <si>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</si>
  <si>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 xml:space="preserve">Realizar  doce (12) procesos de Rendición Publica de Cuentas Departamentales en entes territoriales municipales. </t>
  </si>
  <si>
    <t>201663000-0015</t>
  </si>
  <si>
    <t xml:space="preserve">Fortalecer  técnica y logísticamente al  Consejo Territorial de Planeación  Departamental  </t>
  </si>
  <si>
    <t>Asistencia al Consejo Territorial de Planeación del Departamento del Quindío.</t>
  </si>
  <si>
    <t>Formular  e implementar el  Plan de Desarrollo Departamental</t>
  </si>
  <si>
    <t>201900363-0002</t>
  </si>
  <si>
    <t>Formulación  e implementación del  Plan de Desarrollo Departamental 2020-2023</t>
  </si>
  <si>
    <t>Diseñar e implementar el Plan de Ordenamiento del Departamento del Quindio.</t>
  </si>
  <si>
    <t>201663000-0009</t>
  </si>
  <si>
    <t>Diseño e implementación instrumentos de  planificación para el  ordenamiento  territorial, social y económico del  Departamento del Quindio</t>
  </si>
  <si>
    <t xml:space="preserve">Fortalecer el  Sistema de Información Geográfica del Departamento del Quindío  </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</si>
  <si>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</si>
  <si>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</si>
  <si>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</si>
  <si>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</si>
  <si>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</si>
  <si>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</si>
  <si>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</si>
  <si>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201663000-0012</t>
  </si>
  <si>
    <t xml:space="preserve"> Implementación Sistema de Cooperación Internacional y  de Gestión de proyectos  del Depratamento del Quindío - " Fabrica de Proyectos</t>
  </si>
  <si>
    <t>Implementar en doce (12) municipios del Departamento procesos de capacitación,   asistencia técnica,  seguimiento  y evaluación   de los    Planes  (Básicos y/o esquemas) Ordenamiento   Territorial</t>
  </si>
  <si>
    <t>201663000-0014</t>
  </si>
  <si>
    <t>Asistencia  técnica, seguimiento y evaluación  de la gestión  territorial en los  munipicios del Departamento del  Quindío.</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</si>
  <si>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</si>
  <si>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</si>
  <si>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</si>
  <si>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</si>
  <si>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</si>
  <si>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</si>
  <si>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307 Secretaría de Hacienda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</si>
  <si>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</si>
  <si>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</si>
  <si>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</si>
  <si>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</si>
  <si>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</si>
  <si>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 xml:space="preserve">Implementar un programa para el cumplimiento de las políticas y prácticas contables para la administración departamental         </t>
  </si>
  <si>
    <t>201663000-0017</t>
  </si>
  <si>
    <t xml:space="preserve">Implementación de un programa de gestión fianciera para la optimización de los procesos en el area de tesorería, presupuesto y contabilidad en el Departamento del Quindio </t>
  </si>
  <si>
    <t>Mantener, mejorar y/o rehabilitar ciento treinta (130) km de vías del Departamento para la implementación del Plan Vial Departamental.</t>
  </si>
  <si>
    <t>201663000-0019</t>
  </si>
  <si>
    <t>Mantener, mejorar, rehabilitar y/o atender las vías y sus emergencias, en cumplimiento del Plan Vial del Departamento del Quindío.</t>
  </si>
  <si>
    <t>Mantener, mejorar y/o rehabilitar la Infraestructura de cuarenta y ocho (48) instituciones educativas en el departamento del Quindío.</t>
  </si>
  <si>
    <t>201663000-0021</t>
  </si>
  <si>
    <t>Construir, mantener, mejorar y/o rehabilitar la infraestructura social del Departamento del Quindio</t>
  </si>
  <si>
    <t>Apoyar la construcción, mejoramiento y/o  rehabilitación de la infraestructura de doce (12) escenarios deportivos y/o recreativos en 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</si>
  <si>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</si>
  <si>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</si>
  <si>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Formular y ejecutar veinte (20) proyectos de infraestructura de agua potable y saneamiento básico</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</si>
  <si>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</si>
  <si>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</si>
  <si>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</si>
  <si>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</si>
  <si>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</si>
  <si>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</si>
  <si>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</si>
  <si>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</si>
  <si>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</si>
  <si>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</si>
  <si>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</si>
  <si>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</si>
  <si>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</si>
  <si>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</si>
  <si>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</si>
  <si>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</si>
  <si>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Apoyar la implementación de seis (6) programas de resocialización  en establecimientos carcelarios  del Departamento (sustento legal 1709 de 2014)</t>
  </si>
  <si>
    <t>201663000-0028</t>
  </si>
  <si>
    <t xml:space="preserve">Construcción integral de la seguridad humana en el Departamento de Quindio.  </t>
  </si>
  <si>
    <t>Fortalecer 10 programas de prevención y superación del Sistema de responsabilidad penal para adolescentes</t>
  </si>
  <si>
    <t>Dotar cinco (5) organismos de seguridad del departamento con elementos tecnológicos y logísticos que faciliten su operatividad y capacidad de respuesta</t>
  </si>
  <si>
    <t>Atencion integral de Barrios con situacion critica de convivencia en los 12 Municipios  del Departamento</t>
  </si>
  <si>
    <t>201663000-0029</t>
  </si>
  <si>
    <t>Apoyo a la convivencia, justicia y cultura de paz en el Departamento del  Quindio.</t>
  </si>
  <si>
    <t>Actualizar e implementar el Plan Integral de Seguridad y Convivencia Ciudadana (PISCC)</t>
  </si>
  <si>
    <t xml:space="preserve">Apoyar la articulación para la atención integral de las víctimas del conflicto por enfoque diferencial en  los 12 municipios del departamento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</si>
  <si>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</si>
  <si>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</si>
  <si>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</si>
  <si>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</si>
  <si>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</si>
  <si>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</si>
  <si>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</si>
  <si>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</si>
  <si>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</si>
  <si>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Actualizar e Implementar el plan lucha contra la trata de personas</t>
  </si>
  <si>
    <t xml:space="preserve">Realizar catorce (14) estudios de riesgo y análisis de vulnerabilidad en  los municipios del departamento </t>
  </si>
  <si>
    <t>201663000-0036</t>
  </si>
  <si>
    <t xml:space="preserve">Administración del  riesgo mediante el conocimiento, la reducción y el manejo del desastre  en el Departamento del Quindio.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</si>
  <si>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</si>
  <si>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</si>
  <si>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</si>
  <si>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Fortalecer  la dotación de la bodega estratégica de la Unidad Departamental de la Gestión del Riesgo de Desastres UDEGER</t>
  </si>
  <si>
    <t>201663000-0038</t>
  </si>
  <si>
    <t>Apoyo institucional en la gestión del riesgo  en el Departamento del Quindio</t>
  </si>
  <si>
    <t>Implementar un (1) programa de fortalecimiento de las veedurías ciudadanas del departamento</t>
  </si>
  <si>
    <t>201663000-0042</t>
  </si>
  <si>
    <t xml:space="preserve">Fortalecimiento de las veedurias ciudadanas en el Departamento del Quindio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</si>
  <si>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</si>
  <si>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</si>
  <si>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</si>
  <si>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</si>
  <si>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</si>
  <si>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</si>
  <si>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</si>
  <si>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</si>
  <si>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</si>
  <si>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</si>
  <si>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Apoyar  treinta (30) proyectos y/o actividades de formación, difusión, circulación, creación e investigación, planeación y de espacios para el disfrute de las artes</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</si>
  <si>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</si>
  <si>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</si>
  <si>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</si>
  <si>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</si>
  <si>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</si>
  <si>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</si>
  <si>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Fortalecer cinco (5) procesos de emprendimiento cultural y de desarrollo de industrias creativas</t>
  </si>
  <si>
    <t>201663000-0047</t>
  </si>
  <si>
    <t xml:space="preserve">Fortalecimiento y promoción del  emprendimiento cultural y las industrias creativas en el Departamento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</si>
  <si>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</si>
  <si>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</si>
  <si>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</si>
  <si>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</si>
  <si>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</si>
  <si>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</si>
  <si>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</si>
  <si>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</si>
  <si>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</si>
  <si>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</si>
  <si>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</si>
  <si>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 xml:space="preserve">Crear (1) y fortalecer (3) rutas competitivas </t>
  </si>
  <si>
    <t>201663000-0051</t>
  </si>
  <si>
    <t>Apoyo al mejoramiento de la competitividad a iniciativas  productivas en el  Departamento del Quindío</t>
  </si>
  <si>
    <t>Conformar e implementar (3) tres clúster priorizados en el Plan de Competitividad</t>
  </si>
  <si>
    <t>Apoyar a doce (12) unidades de emprendimiento para jóvenes emprendedores.</t>
  </si>
  <si>
    <t>201663000-0053</t>
  </si>
  <si>
    <t xml:space="preserve"> Apoyo al emprendimiento, empresarismo, asociatividad y generación de empleo en el departamento del Quindío.</t>
  </si>
  <si>
    <t>Apoyar   doce (12) Unidades de emprendimiento de grupos poblacionales con enfoque diferencial.</t>
  </si>
  <si>
    <t>Implementar un programa de gesiton financiera para el desarrollo de emprendimiento, empresarismo y asociatividad</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</si>
  <si>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</si>
  <si>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</si>
  <si>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</si>
  <si>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</si>
  <si>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 xml:space="preserve">Elaborar e implementar  un Plan de Calidad Turística del Destino </t>
  </si>
  <si>
    <t>201663000-0059</t>
  </si>
  <si>
    <t>Fortalecimiento de la oferta de prestadores de servicos, productos y atractivos turísticos en el Departamento del Quindío.</t>
  </si>
  <si>
    <t>Construcción del Plan de Mercadeo Turístico</t>
  </si>
  <si>
    <t>201663000-0062</t>
  </si>
  <si>
    <t>Apoyo a la promoción nacional e internacional como destino  turísmo del Departamento del Quindío.</t>
  </si>
  <si>
    <t>312 Secretaría de Agricultura, Desarrollo Rural y Medio Ambiente</t>
  </si>
  <si>
    <t xml:space="preserve">Implementar un (1)  Sistema de Gestión Ambiental Departamental SIGAD </t>
  </si>
  <si>
    <t>201663000-0064</t>
  </si>
  <si>
    <t>Generación de entornos favorables y sostenibilidad ambiental para el Departamento del Quindío</t>
  </si>
  <si>
    <t>Diseñay ejecutar una poliTica Departamental de uso racional de resiudos solidos y uso eficiente de energia</t>
  </si>
  <si>
    <t xml:space="preserve">Apoyar a los doce (12) municipios en las acciones de control y vigilancia de la explotación minera en coordinación con la autoridad ambiental </t>
  </si>
  <si>
    <t xml:space="preserve">Crear e implementar el Fondo del Agua del departamento del Quindío  </t>
  </si>
  <si>
    <t>201663000-0067</t>
  </si>
  <si>
    <t>Gestón integral de cuencas hirdográficas en el Departamento del Quindío</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</si>
  <si>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</si>
  <si>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</si>
  <si>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</si>
  <si>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</si>
  <si>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Restaurar con obras de bioingeniería veinte (20) Ha en áreas o zonas críticas de riesgo.</t>
  </si>
  <si>
    <t>201663000-0069</t>
  </si>
  <si>
    <t>Fortalecimiento  y potencialización de los servicios ecosistemicos en el Departamento del Quindío</t>
  </si>
  <si>
    <t>Desarrollar treinta y un (31) estrategias de educación ambiental  en los espacios participativos, comunitarios y educativos del departamento</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</si>
  <si>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</si>
  <si>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</si>
  <si>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</si>
  <si>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(1) portafolio de café origen Quindío a través de la valoración de 6000 predios</t>
  </si>
  <si>
    <t>Formalizar (1) un convenio interinstitucional para la inserción de los cafés de origen Quindío en los mercados nacionales e internacionales</t>
  </si>
  <si>
    <t>Crear e implementar seis (6) núcleos de asistencia técnica y transferencia de tecnología en el sector agropecuario</t>
  </si>
  <si>
    <t>201663000-0176</t>
  </si>
  <si>
    <t>Creacion e implementacion de los centros agroindustriales para  la paz CAPAZ en el Deparamento del Quindio</t>
  </si>
  <si>
    <t>Crear  seis (6) centros logísticos  para la transformación agroindustrial - CARPAZ</t>
  </si>
  <si>
    <t>Capacitar seis (6) unidades agro empresariales de jóvenes y mujeres rurales</t>
  </si>
  <si>
    <t>Reactivar un instrumento de prevención por eventos naturales para productos agrícolas.</t>
  </si>
  <si>
    <t>201663000-0175</t>
  </si>
  <si>
    <t>Implementacion de un instrumento para la Prevención de eventos naturales productos agricolas en e Departamento del Quindio</t>
  </si>
  <si>
    <t>Apoyar la formalización de empresas en cuatro (4)  sectores productivos agropecuarios del Departamento</t>
  </si>
  <si>
    <t>201663000-0075</t>
  </si>
  <si>
    <t xml:space="preserve">Fomento al emprendimiento y  al empleo rural en el Departamento del Quindío  </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</si>
  <si>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</si>
  <si>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</si>
  <si>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</si>
  <si>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</si>
  <si>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Apoyar la conformación de cuatro (4) alianzas para contratos de compra anticipada de productos de la agricultura familiar en el departamento del Quindío</t>
  </si>
  <si>
    <t>201663000-0079</t>
  </si>
  <si>
    <t>Fomento a la agricultura familiar , urbana y  mercados campesinos para la soberanía y  Seguridad alimentaria en el Departamento del Quindio.</t>
  </si>
  <si>
    <t>Sembrar quinientas (500) Ha de productos de la canasta básica familiar para aumentar la disponibilidad de alimentos</t>
  </si>
  <si>
    <t>313 Oficina Privada</t>
  </si>
  <si>
    <t xml:space="preserve">Realizar 40 eventos  de sensibilización en transparencia , participación, buen gobierno y valores éticos y morales  </t>
  </si>
  <si>
    <t>201663000-0082</t>
  </si>
  <si>
    <t>Desarrollar y fortalecer la cultura de la transparencia, participación, buen gobierno  y valores éticos y morales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</si>
  <si>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</si>
  <si>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</si>
  <si>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</si>
  <si>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Implementar un (1) plan, programa y/o proyecto para el acceso de niños, niñas y jóvenes en las instituciones educativas</t>
  </si>
  <si>
    <t>201663000-0084</t>
  </si>
  <si>
    <t xml:space="preserve"> Fortalecimiento de las estrategias para el acceso,  permanencia y seguridad  de los niños, niñas y jóvenes en el  sistema  educativo del Departamento del Quindio. </t>
  </si>
  <si>
    <t>Implementar el Programa de Alimentación Escolar (PAE) en el departamento del Quindío</t>
  </si>
  <si>
    <t>Implementar el programa de transporte escolar en el departamento del Quindío</t>
  </si>
  <si>
    <t>Atender  cuatrocientos cincuenta y cinco (455)  menores y/o adultos  que se encuentran en riesgo social    en conflicto con la ley penal,  iletrados, habitantes de frontera y/o menores  trabajadores.</t>
  </si>
  <si>
    <t>201663000-0086</t>
  </si>
  <si>
    <t>Implementación de estrategias de inclusión para garantizar la atención educativa a población vulnerable en el  Departamento del  Quindío.</t>
  </si>
  <si>
    <t>Diseñar e implementar un plan para la caracterización y atención de la población en condiciones especiales y excepcionales del departamento</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</si>
  <si>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</si>
  <si>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</si>
  <si>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</si>
  <si>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</si>
  <si>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</si>
  <si>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</si>
  <si>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Conformar y dotar   grupos culturales y artísticos en treinta (30)  instituciones educativas con  protagonismo en cada uno de los municipios</t>
  </si>
  <si>
    <t>Implementar el proyecto PRAE en treinta y seis (36)  instituciones educativas del departamento</t>
  </si>
  <si>
    <t>Realizar ocho (8) eventos académicos, investigativos y culturales</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</si>
  <si>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</si>
  <si>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</si>
  <si>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201663000-0093</t>
  </si>
  <si>
    <t>Mejoramiento de estrategias que permitan una mayor eficiencia en la gestion de procesos y proyectos de las instituciones educativas del Departamento del Quindio.</t>
  </si>
  <si>
    <t>Realizar siete (7)  concursos  para evaluar las competencias comunicativas en ingles de los estudiantes</t>
  </si>
  <si>
    <t>201663000-0094</t>
  </si>
  <si>
    <t>Implementación de estrategias para el mejoramiento de las competencias en lengua extranjera en estudiantes y docentes de las instituciones educativas del Departamento del Quindío</t>
  </si>
  <si>
    <t>Fortalecer cincuenta (50)   instituciones educativas en competencias básicas</t>
  </si>
  <si>
    <t>201663000-0095</t>
  </si>
  <si>
    <t xml:space="preserve">Fortalecimiento de los niveles de educación  básica y media para la articulación con la educación terciaria en el Departamento del Quindio </t>
  </si>
  <si>
    <t>Fortalecer cuarenta y siete (47) instituciones educativas con el programa de articulación con la educación superior y ETDH</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</si>
  <si>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</si>
  <si>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</si>
  <si>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</si>
  <si>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</si>
  <si>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</si>
  <si>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</si>
  <si>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</si>
  <si>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</si>
  <si>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</si>
  <si>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</si>
  <si>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</si>
  <si>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</si>
  <si>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</si>
  <si>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</si>
  <si>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</si>
  <si>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</si>
  <si>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</si>
  <si>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</si>
  <si>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Implementar  un (1)  programa de educación integral  a la primera infancia</t>
  </si>
  <si>
    <t>201663000-0101</t>
  </si>
  <si>
    <t xml:space="preserve">Implementación del modelo de atención integral de la educación inicial en el Departamento del  Quindio. </t>
  </si>
  <si>
    <t>316 Secretaría de Familia</t>
  </si>
  <si>
    <t>Implementar  un modelo intersectorial  de atención  integral  y entornos protectores (hogar,  educativo, salud, espacio público e institucionales)   implementado.</t>
  </si>
  <si>
    <t>201663000-0102</t>
  </si>
  <si>
    <t>Implementación de un modelo de atención integral a niños y niñas en entornos protectores en el Departamento del Quindìo</t>
  </si>
  <si>
    <t>Apoyar la creación y/o implementación de Rutas integrales de Atención a la primera infancia.</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</si>
  <si>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</si>
  <si>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</si>
  <si>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</si>
  <si>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Implementar la política pública de primera infancia, infancia y adolescencia</t>
  </si>
  <si>
    <t>201663000-0109</t>
  </si>
  <si>
    <t>Implementación de la  política de primera infancia, infancia y adolescencia en el Departamento del Quindio</t>
  </si>
  <si>
    <t>Revisar, ajustar e implementar la política pública de juventud del departamento</t>
  </si>
  <si>
    <t>201663000-0110</t>
  </si>
  <si>
    <t>Desarrollo de acciones encaminadas a la atención integral  de los adolescentes y jóvenes del Departamento del Quindio</t>
  </si>
  <si>
    <t>Revisar, ajustar  e implementar   la política pública departamental de discapacidad  "Capacidad sin limites",</t>
  </si>
  <si>
    <t>201663000-0114</t>
  </si>
  <si>
    <t>Actualización e implementación  de   la política pública departamental de discapacidad  "Capacidad sin limites" en el Quindio.</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</si>
  <si>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</si>
  <si>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</si>
  <si>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</si>
  <si>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</si>
  <si>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</si>
  <si>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</si>
  <si>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</si>
  <si>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</si>
  <si>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</si>
  <si>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</si>
  <si>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</si>
  <si>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</si>
  <si>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</si>
  <si>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</si>
  <si>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</si>
  <si>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Formular  la política pública departamental de diversidad sexual e identidad de género</t>
  </si>
  <si>
    <t>201663000-0125</t>
  </si>
  <si>
    <t>Fomulación e implementación de la politca pública  de diversidad sexual en el Departamento del Quindio</t>
  </si>
  <si>
    <t>Revisar, ajustar  e  implementar  la política publica de equidad de género para la  mujer del departamento</t>
  </si>
  <si>
    <t>201663000-0128</t>
  </si>
  <si>
    <t>Implementación de la polìtica pùblica de equidad de género para la mujer en el Departamento del Quindìo</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</si>
  <si>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</si>
  <si>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</si>
  <si>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</si>
  <si>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</si>
  <si>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</si>
  <si>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</si>
  <si>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Implementar una estrategia que determine de forma oportuna el  número de brotes de enfermedades transmitidas por alimentos (ETA) con agente etiológico identificado en alimentos de mayor consumo.</t>
  </si>
  <si>
    <t>201663000-0132</t>
  </si>
  <si>
    <t>Aprovechamiento biológico y consumo de  alimentos idóneos  en el Departamento del Quindio</t>
  </si>
  <si>
    <t xml:space="preserve">Ejecutar el plan decenal de lactancia materna </t>
  </si>
  <si>
    <t>Fortalecer la atención integral  en seis (6) poblaciones vulnerables (etnias)  en menores de cinco años con casos de desnutrición</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</si>
  <si>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</si>
  <si>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</si>
  <si>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</si>
  <si>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</si>
  <si>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</si>
  <si>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</si>
  <si>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</si>
  <si>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</si>
  <si>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</si>
  <si>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</si>
  <si>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</si>
  <si>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</si>
  <si>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</si>
  <si>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</si>
  <si>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</si>
  <si>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</si>
  <si>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</si>
  <si>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</si>
  <si>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Implementar una estrategia de ambientes libres de humo de tabaco en los  municipios.</t>
  </si>
  <si>
    <t>Implementar una estrategia para mantener la edad de inicio de consumo de tabaco en los adolescentes escolarizados.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</si>
  <si>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</si>
  <si>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</si>
  <si>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</si>
  <si>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Implementar una estrategia que permita garantizar el adecuado funcionamiento de la red de frío para el almacenamiento  de los biológicos del Programa ampliado de inmunización (PAI).</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</si>
  <si>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</si>
  <si>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</si>
  <si>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</si>
  <si>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 xml:space="preserve">Implementar la estrategia  para ampliar coberturas útiles de vacunación antirrábica en animales (perros y gatos). </t>
  </si>
  <si>
    <t>Implementar el plan estratégico hacia el fin de la tuberculosis</t>
  </si>
  <si>
    <t>201663000-0142</t>
  </si>
  <si>
    <t xml:space="preserve">Fortalecimiento de la inclusión social para la disminución de riesgos de contraer enfermedades transmisibles  en el Departamento del Quindio </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</si>
  <si>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</si>
  <si>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</si>
  <si>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</si>
  <si>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</si>
  <si>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</si>
  <si>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</si>
  <si>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</si>
  <si>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Implementación en las 14 empresas sociales del estado (ESE) departamentales y de primer nivel, el Sistema de Gestión de la Seguridad y Salud en el Trabajo</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</si>
  <si>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</si>
  <si>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</si>
  <si>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</si>
  <si>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</si>
  <si>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 xml:space="preserve">Consolidar y desarrollar  el sistema de inspección vigilancia y control (SIVC)  en 150 establecimientos farmacéuticos del departamento. </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</si>
  <si>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</si>
  <si>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</si>
  <si>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</si>
  <si>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</si>
  <si>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Fortalecimiento de  la estrategia AIEPI en los 12 municipios del Departamento</t>
  </si>
  <si>
    <t>Fortalecer en los doce (12) municipios del departamento los  comités municipales de discapacidad</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</si>
  <si>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</si>
  <si>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</si>
  <si>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</si>
  <si>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</si>
  <si>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</si>
  <si>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</si>
  <si>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</si>
  <si>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</si>
  <si>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</si>
  <si>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</si>
  <si>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</si>
  <si>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</si>
  <si>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</si>
  <si>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Cofinanciar la continuidad del  régimen subsidiado en salud en los 12 municipios del departamento, de conformidad con la directrices del Ministerio de Salud y Protección Social.</t>
  </si>
  <si>
    <t>Brindar asistencia técnica a 12 Municipios del departamento,  en los procesos del régimen subsidiado</t>
  </si>
  <si>
    <t>Mantener la contratación con la red pública y privada (15)  para la atención de la población no afiliada.</t>
  </si>
  <si>
    <t>201663000-0154</t>
  </si>
  <si>
    <t>Realizar asistencia Técnica  en los 12 municipios, en la capacidad de gestión en salud</t>
  </si>
  <si>
    <t>201663000-0155</t>
  </si>
  <si>
    <t xml:space="preserve">Asistencia técnica para el fortalecimiento de la gestión de las entidades territoriales del Departamento del Quindio </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</si>
  <si>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</si>
  <si>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</si>
  <si>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</si>
  <si>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</si>
  <si>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</si>
  <si>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</si>
  <si>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</si>
  <si>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</si>
  <si>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</si>
  <si>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</si>
  <si>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</si>
  <si>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apoyar y gestionar  3 procesos administrativos y misionales por parte de la Dirección estratégica.</t>
  </si>
  <si>
    <t>201663000-0160</t>
  </si>
  <si>
    <t>Apoyo Operativo a la inversión social en salud en el Departamento del Quindio</t>
  </si>
  <si>
    <t xml:space="preserve">324 Secretaría de Tecnologías de la Información y las Comunicaciones </t>
  </si>
  <si>
    <t>Virtualizar ocho (8) trámites de la administración departamental a través de Gobierno en Línea</t>
  </si>
  <si>
    <t>201663000-0001</t>
  </si>
  <si>
    <t>Apoyo a la estrategia de Gobierno en linea en el Departamento del Quindio</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</si>
  <si>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</si>
  <si>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</si>
  <si>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</si>
  <si>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</si>
  <si>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</si>
  <si>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</si>
  <si>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319 Indeportes Quindío</t>
  </si>
  <si>
    <t xml:space="preserve">Apoyar  y fortalecer veintitrés (23) ligas deportivas   </t>
  </si>
  <si>
    <t>201663000-0161</t>
  </si>
  <si>
    <t>Apoyo al deporte asociado en el Departamento del Quindio</t>
  </si>
  <si>
    <t>apoyar  a veinte  (20) deportistas en nivel de talento, de proyección y de altos logros con el programa de incentivos económicos a deportistas.</t>
  </si>
  <si>
    <t>Apoyar trece (13)  ligas en   los eventos deportivos de carácter federado  nacional y departamental.</t>
  </si>
  <si>
    <t>Desarrollar cuatro (4) juegos Intercolegiados  en sus diferentes fases.</t>
  </si>
  <si>
    <t>201663000-0162</t>
  </si>
  <si>
    <t>Apoyo a los juegos intercolegiados en el Deparrtamento del Quindìo</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</si>
  <si>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</si>
  <si>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</si>
  <si>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</si>
  <si>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</si>
  <si>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</si>
  <si>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</si>
  <si>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</si>
  <si>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</si>
  <si>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</si>
  <si>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</si>
  <si>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 xml:space="preserve">implementar un (1) programa que permita ejecutar proyectos  de actividad física para la promoción de hábitos y estilos de vida saludables </t>
  </si>
  <si>
    <t>201663000-0165</t>
  </si>
  <si>
    <t>Apoyo a la actividad fisica, salud y productividad en el Deptp del Quindio</t>
  </si>
  <si>
    <t>Apoyar doce (12) municipios en proyectos deportivos, recreactivos y de actividad fisica</t>
  </si>
  <si>
    <t>201663000-0166</t>
  </si>
  <si>
    <t>Apoyo a proyectos deportivos, recreativos y de actividad fisica, en el Departamento del Quindìo</t>
  </si>
  <si>
    <t>320 Promotora de Vivienda</t>
  </si>
  <si>
    <t>201663000-0171</t>
  </si>
  <si>
    <t xml:space="preserve">Apoyo en la formulación y ejecucion de proyectos de vivienda, infraestructura y equipamientos colectivos y comunitarios en el Departamento del Quindio </t>
  </si>
  <si>
    <t>Apoyar la construcción, el mantenimiento, el mejoramiento y/o la rehabilitación de la infraestructura de dos (2) equipamientos públicos y colectivos del Departamento del Quindío.</t>
  </si>
  <si>
    <t xml:space="preserve">321 Instituto Departamental de Transito </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</si>
  <si>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</si>
  <si>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</si>
  <si>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</si>
  <si>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</si>
  <si>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CODIGO:  </t>
  </si>
  <si>
    <t xml:space="preserve">VERSIÓN: </t>
  </si>
  <si>
    <t xml:space="preserve">FECHA: </t>
  </si>
  <si>
    <t>Septiembre 11 de 2019</t>
  </si>
  <si>
    <t>PÁGINA:</t>
  </si>
  <si>
    <t>1 de 1</t>
  </si>
  <si>
    <t>META DE RESULTADO</t>
  </si>
  <si>
    <t>META PRODUCTO</t>
  </si>
  <si>
    <t xml:space="preserve">CÓDIGO SECTOR </t>
  </si>
  <si>
    <t>CÓDIGO</t>
  </si>
  <si>
    <t>TIPO DE META</t>
  </si>
  <si>
    <t xml:space="preserve">CONTRIBUCION ESPECIAL
(FONDO DE SEGURIDAD 5%) 
 </t>
  </si>
  <si>
    <t xml:space="preserve">SOBRETASA AL ACPM  
</t>
  </si>
  <si>
    <t xml:space="preserve">MONOPOLIO EDUCACIÓN  51% DESTINACION ESPECIFICA
 </t>
  </si>
  <si>
    <t xml:space="preserve">SGP SALÚD PUBLICA - PRESTACIÓN DE SERVICIOS
 </t>
  </si>
  <si>
    <t>FONDO LOCAL DE SALUD  - MONOPOLIO RENTAS CEDIDAS -LOTERIAS-RIFAS-PREMIO</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</si>
  <si>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</si>
  <si>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</si>
  <si>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</si>
  <si>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</si>
  <si>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</si>
  <si>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t>
  </si>
  <si>
    <t>NACIÓN  - COFINANCIACIÓN
CONV ANTICONTRABANDO</t>
  </si>
  <si>
    <t xml:space="preserve">TOTAL
</t>
  </si>
  <si>
    <t>BUEN GOBIERNO</t>
  </si>
  <si>
    <t>Gestión Territorial</t>
  </si>
  <si>
    <t>Modernización tecnológica y Administrativa</t>
  </si>
  <si>
    <t>Consolidar mecanismos de integración regional y municipal</t>
  </si>
  <si>
    <t xml:space="preserve">17. Fortalecimiento institucional </t>
  </si>
  <si>
    <t>M</t>
  </si>
  <si>
    <t>Quindío Transparente y Legal</t>
  </si>
  <si>
    <t>Quindío Ejemplar y Legal</t>
  </si>
  <si>
    <t>Elevar el promedio de la participación de la ciudadania en los procesos de elección popular en el cuatrenio</t>
  </si>
  <si>
    <t>Veedurías y Rendición de Cuentas</t>
  </si>
  <si>
    <t xml:space="preserve">Realización procesos de Rendición Publica de Cuentas Departamentales en los  entes territoriales municipales del Departamento del Quindio </t>
  </si>
  <si>
    <t>Poder Ciudadano</t>
  </si>
  <si>
    <t>Quindío Si, a la participación</t>
  </si>
  <si>
    <t xml:space="preserve">16. Desarrollo Comunitario </t>
  </si>
  <si>
    <t>201663000-0007</t>
  </si>
  <si>
    <t xml:space="preserve">Los instrumentos  de planificación como  ruta para el cumplimiento de la gestión pública  </t>
  </si>
  <si>
    <t>I</t>
  </si>
  <si>
    <t>13. Promoción del Desarrollo</t>
  </si>
  <si>
    <t>Gestión Tributaria y Financiera</t>
  </si>
  <si>
    <t xml:space="preserve">308 Secretaría de Aguas e Infraestructura </t>
  </si>
  <si>
    <t>PROSPERIDAD CON EQUIDAD</t>
  </si>
  <si>
    <t>Infraestructura Sostenible para la Paz</t>
  </si>
  <si>
    <t>Mejora de la Infraestructura Vial del Departamento del Quindío</t>
  </si>
  <si>
    <t>Msntener en buen estado las vias del Departamento</t>
  </si>
  <si>
    <t xml:space="preserve">9. Transporte </t>
  </si>
  <si>
    <t>Mejora de la Infraestructura  Social del Departamento del Quindío</t>
  </si>
  <si>
    <t xml:space="preserve"> Declarar al departamento libre de analfabetismo</t>
  </si>
  <si>
    <t>1. Educación</t>
  </si>
  <si>
    <t xml:space="preserve"> Aumentar la utilización de escnearios deportivos como coliseos y canchas de fútbol</t>
  </si>
  <si>
    <t xml:space="preserve">15. Equipamiento </t>
  </si>
  <si>
    <t>Disminuir incidencia de violencia intrafamiliar</t>
  </si>
  <si>
    <t>Reducir las proporcion de jóvenes en el sistema de responsabilidad penal con riesgo alto de reincidencia en las conductas delictivas</t>
  </si>
  <si>
    <t>7. Vivienda</t>
  </si>
  <si>
    <t>DESARROLLO SOSTENIBLE</t>
  </si>
  <si>
    <t>Quindío territorio vital</t>
  </si>
  <si>
    <t>Manejo integral del agua y saneamiento básico</t>
  </si>
  <si>
    <t xml:space="preserve">Dsiminuir la presión por cargas contaminantes medida por el indice de alteración potencial de la calidad del agua (IACAL), a categoria moderada </t>
  </si>
  <si>
    <t xml:space="preserve">3. Agua Potable y Saneamiento Básico </t>
  </si>
  <si>
    <t>Ejecución del plan de acompañamiento social a los proyectos y obras de infraestructura de agua potable y saneamiento básico en el Departamento del Quindio</t>
  </si>
  <si>
    <t xml:space="preserve"> </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</si>
  <si>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</si>
  <si>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</si>
  <si>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</si>
  <si>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</si>
  <si>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 xml:space="preserve">18. Justicia y seguridad </t>
  </si>
  <si>
    <t>Reducir la proporción de jóvenes en el sistema de responsabilidad penal con riesgo alto de reincidencia en las conductas delictivas</t>
  </si>
  <si>
    <t xml:space="preserve">Reducir los casos  de  hurto a residencias, comercio y personas </t>
  </si>
  <si>
    <t>Convivencia, Justicia  y Cultura de Paz</t>
  </si>
  <si>
    <t xml:space="preserve">18. Justicia y Seguridad </t>
  </si>
  <si>
    <t xml:space="preserve"> Mantener el porcentaje de cumplimiento de la Ley 1448 del 2011 de atención a víctimas</t>
  </si>
  <si>
    <t>Construcción de paz y reconciliación en el Quindío</t>
  </si>
  <si>
    <t>Plan de Acción Territorial para las Víctimas del Conflicto</t>
  </si>
  <si>
    <t xml:space="preserve">Aumentar el porcentaje de cumplimiento de la Ley 1448 del 2011 de atención a victimas </t>
  </si>
  <si>
    <t xml:space="preserve">14. Atención Grupos Vulnerables- Promoción Social </t>
  </si>
  <si>
    <t>Protección y Garantías de no Repetición</t>
  </si>
  <si>
    <t xml:space="preserve">El Quindío Departamento Resiliente </t>
  </si>
  <si>
    <t>Quindío protegiendo el futuro</t>
  </si>
  <si>
    <t xml:space="preserve">12. Prevención y Atención de Desastres </t>
  </si>
  <si>
    <t>Fortalecimiento Institucional para la Gestión del Riesgo de Desastres como una Estrategia de Desarrollo</t>
  </si>
  <si>
    <t>12. Prevención y Atención de Desastres</t>
  </si>
  <si>
    <t xml:space="preserve">Elevar el promedio de participación ciudadana en los procesos de elección popular en el cuatrenio </t>
  </si>
  <si>
    <t>|</t>
  </si>
  <si>
    <t>Comunales comprometidos con el Desarrollo</t>
  </si>
  <si>
    <t xml:space="preserve">Elevar el promedio de participación ciudadana en los procesos de leccón popular en el cuatrenio </t>
  </si>
  <si>
    <t>INCLUSION SOCIAL</t>
  </si>
  <si>
    <t>Cultura, Arte y educación para la Paz</t>
  </si>
  <si>
    <t>Arte para todos</t>
  </si>
  <si>
    <t xml:space="preserve">5. Cultura </t>
  </si>
  <si>
    <t>Reducir casos de hurto a residencias, comercio y personas</t>
  </si>
  <si>
    <t xml:space="preserve">Emprendimiento Cultural </t>
  </si>
  <si>
    <t>Igualar la tasa de desempleo del departamento al promedio nacional para 2019</t>
  </si>
  <si>
    <t>Lectura, escritura y bibliotecas</t>
  </si>
  <si>
    <t>Declarar al departamento libre de analfabetismo</t>
  </si>
  <si>
    <t>Patrimonio, paisaje cultural cafetero, ciudadanía y diversidad cultural</t>
  </si>
  <si>
    <t>Viviendo el patrimonio y el Paisaje Cultural Cafetero</t>
  </si>
  <si>
    <t>Equiparar el crecimiento del PIB del departamento del Quindío al PIB nacional</t>
  </si>
  <si>
    <t>Comunicación, ciudadanía y Sistema Departamental de Cultura</t>
  </si>
  <si>
    <t>Quindío rural, inteligente, competitivo y empresarial</t>
  </si>
  <si>
    <t>Quindío Prospero y productivo</t>
  </si>
  <si>
    <t xml:space="preserve">13. Promoción del Desarrollo </t>
  </si>
  <si>
    <t>Hacia el Emprendimiento, Empresarismo, asociatividad y generación de empleo en el Departamento del Quindío</t>
  </si>
  <si>
    <t>Igualar la tasa de desempleo del departamento al promedio nacional para el 2019</t>
  </si>
  <si>
    <t xml:space="preserve">Disminuir el Procentajes de personas en situción de pobreza </t>
  </si>
  <si>
    <t>Quindío Sin Fronteras</t>
  </si>
  <si>
    <t xml:space="preserve">Equiarar el crecimiento del PIB del departamento  del Quindio al PIB Nacional </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</si>
  <si>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</si>
  <si>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</si>
  <si>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</si>
  <si>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Promoción nacional e internacional del departamento como destino turístico</t>
  </si>
  <si>
    <t xml:space="preserve">                                                                                                                                                                                                                                  Aumentar el 20%, en pesos constantes, el valor de “hoteles, restaurantes, bares y similares” en el PIB.  </t>
  </si>
  <si>
    <t>Generación de entornos favorables y sostenibilidad ambiental</t>
  </si>
  <si>
    <t>Evitar que 15 mil toneladas de material recuperable llegue a los rellenos sanitarios en el departamento</t>
  </si>
  <si>
    <t xml:space="preserve">10. Ambiental </t>
  </si>
  <si>
    <t>Mantener la oferta hídrica promedio anual  de las Unidades de Manejo de Cuenca (UMC) del departamento del Quindío</t>
  </si>
  <si>
    <t xml:space="preserve">  10.  Ambiental </t>
  </si>
  <si>
    <t>Bienes y servicios ambientales para las nuevas generaciones</t>
  </si>
  <si>
    <t>Aumentar a 3000 hectareas el area recuperada  rehabilitada o restaurada  en el Departamento de acuerdo a las areas determinadas para tal efecto en el Plan Nacional de restauración.</t>
  </si>
  <si>
    <t>Innovación para una caficultura sostenible en el departamento del Quindío</t>
  </si>
  <si>
    <t>Igualar la tasa de desempleo del departamento al promedio nacional</t>
  </si>
  <si>
    <t xml:space="preserve">  Disminuir el porcentaje de personas en situación de pobreza</t>
  </si>
  <si>
    <t>Centros Agroindustriales Regionales para la Paz - CARPAZ</t>
  </si>
  <si>
    <t xml:space="preserve">Igualar la tasa de desempleo del departamento al promedio nacional; </t>
  </si>
  <si>
    <t xml:space="preserve"> Equiparar el crecimiento del PIB del departamento del Quindío al PIB nacional  </t>
  </si>
  <si>
    <t>5                  6                   7</t>
  </si>
  <si>
    <t xml:space="preserve">Igualar la tasa de desempleo del departamento al promedio nacional para el 2019                                                                                                                                                                                                                                                                         Equiparar el crecimiento del PIB del departamento  del Quindio al PIB Nacional .                                                                                                                                                                                                                                                                                            Disminuir el Procentajes de personas en situción de pobreza                                                                                                                                                       </t>
  </si>
  <si>
    <t>Emprendimiento y empleo rural</t>
  </si>
  <si>
    <t xml:space="preserve">Igualar la tasa de desempleo del departamento al promedio nacional para el 2019      </t>
  </si>
  <si>
    <t>Impulso a la competitividad productiva y empresarial del sector Rural</t>
  </si>
  <si>
    <t xml:space="preserve">Disminuir el Procentajes de personas en situción de pobreza                                                                                                                                                       </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</si>
  <si>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</si>
  <si>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</si>
  <si>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</si>
  <si>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</si>
  <si>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 xml:space="preserve">8. Agropecuario </t>
  </si>
  <si>
    <t xml:space="preserve">Elevar el promedio de participación de la ciudadania en los procesos de elección  popular en el cuatrenio </t>
  </si>
  <si>
    <t xml:space="preserve">17. Fortalecimiento Institucional </t>
  </si>
  <si>
    <t xml:space="preserve">314 Secretaría de Educación </t>
  </si>
  <si>
    <t>Cobertura Educativa</t>
  </si>
  <si>
    <t>Acceso y Permanencia</t>
  </si>
  <si>
    <t>Aumentar la cobertura neta en la educación secundaria en el departamento del Quindio</t>
  </si>
  <si>
    <t xml:space="preserve">1. Educación </t>
  </si>
  <si>
    <t>Educación inclusiva con acceso y permanencia para poblaciones vulnerables - diferenciales</t>
  </si>
  <si>
    <t xml:space="preserve">Funcionamiento y prestación del servicio educativo de las instituciones educativas </t>
  </si>
  <si>
    <t>Calidad Educativa</t>
  </si>
  <si>
    <t>Educación, Ambientes Escolares y Cultura para la Paz</t>
  </si>
  <si>
    <t>Disminuir la proporción de niños que desertan en educación básica secundaria</t>
  </si>
  <si>
    <t>Disminuir las instituciones de educación que fueron clasificadas en nivel C por resultados obtenidos en pruebas saber 11;</t>
  </si>
  <si>
    <t>Duplicar los programas en la educación superior acreditados con alta calidad;</t>
  </si>
  <si>
    <t xml:space="preserve">Disminuir la proporción de niños que desertan en educación básica secundaria y media </t>
  </si>
  <si>
    <t>Funcionamiento de las Instituciones Educativas</t>
  </si>
  <si>
    <t xml:space="preserve">16
</t>
  </si>
  <si>
    <t xml:space="preserve">Duplicar el número de instituciones educativas oficiales del departamento con el  índice sintético de calidad educativa (ISCE) en el nivel de básica primaria,  secundaria y media por encima del promedio nacional
</t>
  </si>
  <si>
    <t xml:space="preserve">Contar con cincuenta y dos (52) instituciones educativas con  mayor eficiencia en la gestión de sus procesos y proyectos  ante la entidad  territorial y la Secretaria de Educación Departamental.
</t>
  </si>
  <si>
    <t>Pertinencia e Innovación</t>
  </si>
  <si>
    <t>Quindío Bilingüe</t>
  </si>
  <si>
    <t>Fortalecimiento de la Media Técnica</t>
  </si>
  <si>
    <t xml:space="preserve"> Duplicar los programas en la educación superior acreditados en alta calidad.   </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</si>
  <si>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</si>
  <si>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</si>
  <si>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</si>
  <si>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Otros proyectos de conectividad</t>
  </si>
  <si>
    <t xml:space="preserve">Funcionamiento y prestación de servicios del sector educativo del nivel central </t>
  </si>
  <si>
    <t xml:space="preserve">Declarar al Departamento  libre de analfabetismo                                                                                                                                                                     </t>
  </si>
  <si>
    <t>Eficiencia administrativa y docente en la  gestión del bienestar laboral</t>
  </si>
  <si>
    <t>Atención Integral a la Primera Infancia</t>
  </si>
  <si>
    <t xml:space="preserve">Educación Inicial Integral </t>
  </si>
  <si>
    <t>Niños y Niñas en entornos Protectores-semillas infantiles-</t>
  </si>
  <si>
    <t>Disminuir o mantener mortalidad en menores de 1 año</t>
  </si>
  <si>
    <t xml:space="preserve">14. Atención a grupos vulnerables - Promoción Social </t>
  </si>
  <si>
    <t>Disminuir o mantener la mortalidad en menores de 5 años</t>
  </si>
  <si>
    <t>Promoción y  Protección  de la Familia</t>
  </si>
  <si>
    <t xml:space="preserve">Familias para la Construcción  del Quindío como  territorio de paz. </t>
  </si>
  <si>
    <t>    Disminuir incidencia de violencia intrafamiliar</t>
  </si>
  <si>
    <t xml:space="preserve">Quindío departamento de derechos  de niñas, niños y adolescentes </t>
  </si>
  <si>
    <t>Disminuir la incidencia de embarazo en adolescentes;</t>
  </si>
  <si>
    <t xml:space="preserve"> "Sí para ti" atención integral a adolescentes y jóvenes </t>
  </si>
  <si>
    <t>Reducir la proporcion de jovenes en el sistema de responsabilidad penal con riesgo alto de reincidencia en las conductas delictivas</t>
  </si>
  <si>
    <t xml:space="preserve">Capacidad sin limites. </t>
  </si>
  <si>
    <t xml:space="preserve"> Aumentar el % de personas discapacitadas atendidas</t>
  </si>
  <si>
    <t>Genero, Poblaciones vulnerables y con enfoque diferencial</t>
  </si>
  <si>
    <t>Prevención y Atención a la población en estado de vulnerabilidad  extrema y migrantes.</t>
  </si>
  <si>
    <t xml:space="preserve"> Incrementar cobertura de afiliación al sistema general de seguridad social en salud</t>
  </si>
  <si>
    <t xml:space="preserve">Pervivencia de los pueblos indígenas en el marco de la Paz </t>
  </si>
  <si>
    <t>Aumentar el porcentaje de cumplimiento de la Ley 1448 del 2011 de atención a víctimas</t>
  </si>
  <si>
    <t xml:space="preserve">Población afro descendiente por el camino de la paz </t>
  </si>
  <si>
    <t xml:space="preserve">Elevar el promedio de la participación de la ciudadanía en los procesos de elección popular en el cuatrienio </t>
  </si>
  <si>
    <t>Sí a la diversidad sexual e identidad de género y su familia.</t>
  </si>
  <si>
    <r>
      <t xml:space="preserve"> </t>
    </r>
    <r>
      <rPr>
        <sz val="7"/>
        <color theme="1"/>
        <rFont val="Times New Roman"/>
        <family val="1"/>
      </rPr>
      <t xml:space="preserve"> </t>
    </r>
    <r>
      <rPr>
        <sz val="11"/>
        <color theme="1"/>
        <rFont val="Calibri"/>
        <family val="2"/>
        <scheme val="minor"/>
      </rPr>
      <t xml:space="preserve">Disminuir el porcentaje de mujeres amenazadas por sus compañeros sentimentales                                                                                             </t>
    </r>
  </si>
  <si>
    <t>Mujeres constructoras de Familia y de paz.</t>
  </si>
  <si>
    <t>Atención integral al Adulto Mayor</t>
  </si>
  <si>
    <t xml:space="preserve">Quindío para todas las edades </t>
  </si>
  <si>
    <t>Aumentar la cobertura de adultos mayores atendidos</t>
  </si>
  <si>
    <t xml:space="preserve">318 Secretaría de Salud </t>
  </si>
  <si>
    <t xml:space="preserve">Fortalecimiento a la vigilancia en  la seguridad alimentaria y nutricional del Quindío. </t>
  </si>
  <si>
    <t xml:space="preserve"> Disminuir o mantener la proporción de niños menores de 5 años en riesgo de desnutrición moderada o severa aguda</t>
  </si>
  <si>
    <t xml:space="preserve">2. Salud </t>
  </si>
  <si>
    <t>Salud Pública para un Quindío saludable y posible</t>
  </si>
  <si>
    <t>Salud ambiental</t>
  </si>
  <si>
    <t>Disminuir la presión por cargas contaminantes, medida por el Índice de Alteración Potencial de la Calidad del Agua (IACAL), a categoría “moderada”</t>
  </si>
  <si>
    <t>Sexualidad, derechos sexuales y reproductivos</t>
  </si>
  <si>
    <t xml:space="preserve">Sostener la tasa de mortalidad maternidad por causas directas </t>
  </si>
  <si>
    <t>Sostener la tasa de Mortalidad Materna por causas directas.</t>
  </si>
  <si>
    <t xml:space="preserve"> Disminuir la incidencia de embarazo en adolescentes</t>
  </si>
  <si>
    <t>Convivencia social y salud mental</t>
  </si>
  <si>
    <t>Reducir la tasa de homicidios en el Quindío</t>
  </si>
  <si>
    <t>Reducir lesiones fatales en accidentes de transito</t>
  </si>
  <si>
    <t>Estilos de vida saludable y condiciones no-transmisibles</t>
  </si>
  <si>
    <t>Disminuir o mantener la proporción de niños menores de 5 años en riesgo de desnutrición moderada o severa aguda</t>
  </si>
  <si>
    <t>PTS</t>
  </si>
  <si>
    <t>Implementar una estrategia de ambiente libres de humo de tabaco en los municipios del Quindío</t>
  </si>
  <si>
    <t>Vida saludable y enfermedades transmisibles</t>
  </si>
  <si>
    <t>Reducir la mortalidad menores de 5 años por ERA</t>
  </si>
  <si>
    <t>Disminuir por debajo del 10% la Letalidad por dengue.</t>
  </si>
  <si>
    <t>Alcanzar coberturas útiles de vacunación para rabia en animales (perros y gatos)</t>
  </si>
  <si>
    <t>Incrementar  la proporción de personas curadas de tuberculosis pulmonar en un 5 %</t>
  </si>
  <si>
    <t>Salud publica en emergencias y desastres</t>
  </si>
  <si>
    <r>
      <rPr>
        <sz val="7"/>
        <color theme="1"/>
        <rFont val="Times New Roman"/>
        <family val="1"/>
      </rPr>
      <t xml:space="preserve"> </t>
    </r>
    <r>
      <rPr>
        <sz val="11"/>
        <color theme="1"/>
        <rFont val="Calibri"/>
        <family val="2"/>
        <scheme val="minor"/>
      </rPr>
      <t>Incrementar el % IPS con seguimiento por parte del departamento</t>
    </r>
  </si>
  <si>
    <t>Salud en el entorno laboral</t>
  </si>
  <si>
    <t>Mantener la tasa de accidentalidad en el trabajo</t>
  </si>
  <si>
    <t xml:space="preserve"> Incrementar el % IPS con seguimiento por parte del departamento</t>
  </si>
  <si>
    <t>Fortalecimiento de la autoridad sanitaria</t>
  </si>
  <si>
    <t>Consolidación y desarrollo del sistema de vigilancia en salud públicaintegrado al sistema de vigilancia de control sanitario e inspección vigilancia y control de S.G.S.S.S.</t>
  </si>
  <si>
    <t>Consolidación y desarrollo del Sistema de inspección vigilancia y control a los establecimientos farmacéuticos del departamento.</t>
  </si>
  <si>
    <t>Promoción social y gestión diferencial de poblaciones vulnerables.</t>
  </si>
  <si>
    <t xml:space="preserve"> Elevar el promedio de la participación de la ciudadanía en los procesos de elección popular en el cuatrienio </t>
  </si>
  <si>
    <r>
      <rPr>
        <sz val="7"/>
        <color theme="1"/>
        <rFont val="Times New Roman"/>
        <family val="1"/>
      </rPr>
      <t xml:space="preserve"> </t>
    </r>
    <r>
      <rPr>
        <sz val="11"/>
        <color theme="1"/>
        <rFont val="Calibri"/>
        <family val="2"/>
        <scheme val="minor"/>
      </rPr>
      <t>Aumentar el porcentaje de cumplimiento de la Ley 1448 del 2011 de atención a víctimas</t>
    </r>
  </si>
  <si>
    <t xml:space="preserve">
30</t>
  </si>
  <si>
    <t xml:space="preserve">                                                                                                                                                                                                                                                                                          Disminuir o mantener la mortalidad en menores de 5 años</t>
  </si>
  <si>
    <r>
      <rPr>
        <sz val="7"/>
        <color theme="1"/>
        <rFont val="Times New Roman"/>
        <family val="1"/>
      </rPr>
      <t xml:space="preserve">  </t>
    </r>
    <r>
      <rPr>
        <sz val="11"/>
        <color theme="1"/>
        <rFont val="Calibri"/>
        <family val="2"/>
        <scheme val="minor"/>
      </rPr>
      <t>Aumentar el % de personas discapacitadas atendidas</t>
    </r>
  </si>
  <si>
    <t>Plan de intervenciones colectivas en el modelo de APS</t>
  </si>
  <si>
    <t xml:space="preserve">Disminuir o mantener la proporción de niños menores de 5 años en riesgo de desnutrición moderada o severa aguda                                                                                                                                                                                                          </t>
  </si>
  <si>
    <t>Vigilancia en salud publica y del laboratorio departamental.</t>
  </si>
  <si>
    <t xml:space="preserve">Incidencia de  afectados  por Enfermedad Diarreica Aguda –EDA- </t>
  </si>
  <si>
    <t xml:space="preserve">
Mantener el número de UPGD que integra el sistema de vigilancia en salud pública                                                                                                                                                                          </t>
  </si>
  <si>
    <t>Universalidad  del aseguramiento en salud para un bien común</t>
  </si>
  <si>
    <t>Garantizar  la promoción de la afiliación al sistema de seguridad social</t>
  </si>
  <si>
    <t>Incrementar cobertura de afiliación al sistema general de seguridad social en salud</t>
  </si>
  <si>
    <t xml:space="preserve">Garantizar la cofinanciación para el régimen subsidiado en el departamento del Quindío </t>
  </si>
  <si>
    <t>Asistencia técnica  a los actores del sistema en el proceso de aseguramiento de la población</t>
  </si>
  <si>
    <t>Inclusión social en la prestación y desarrollo de servicios de salud</t>
  </si>
  <si>
    <t>Mejoramiento del Sistema de Calidad  de los Servicios y la Atención de los Usuarios</t>
  </si>
  <si>
    <t>Incrementar el % IPS con seguimiento por parte del departamento</t>
  </si>
  <si>
    <t xml:space="preserve">Prestación de Servicios a la Población no Afiliada al Sistema General de Seguridad Social en Salud  y en los no POS  a la Población Afiliada al Régimen Subsidiado.
</t>
  </si>
  <si>
    <t>Fortalecimiento de la  gestión de la entidad territorial municipal</t>
  </si>
  <si>
    <t>Incrementar la asistencia técnica de los municipios relacionada con la capacidad de gestión en salud.</t>
  </si>
  <si>
    <t>Garantizar red de servicios en eventos de emergencias</t>
  </si>
  <si>
    <t>Garantizar el Sistema Obligatorio de Garantía de Calidad SOGC en las IPS del departamento</t>
  </si>
  <si>
    <t>Fortalecimiento financiero de la red de servicios publica</t>
  </si>
  <si>
    <t>Gestión Posible</t>
  </si>
  <si>
    <t>Apoyo y Fortalecimiento Institucional</t>
  </si>
  <si>
    <t>Lograr que los procesos misionales y estratégicos de la Secretaría de Salud, que así lo requieran cuente con el apoyo y gestión de la Dirección Estratégica.</t>
  </si>
  <si>
    <t xml:space="preserve">
38</t>
  </si>
  <si>
    <t xml:space="preserve">Consolidar mecanismos de integración regional y municipal                                   </t>
  </si>
  <si>
    <t>TOTAL SECTOR ADMINISTRACIÓN CENTRAL</t>
  </si>
  <si>
    <t>Apoyo al deporte asociado</t>
  </si>
  <si>
    <t>Ligas deportivas del departamento del Quindío</t>
  </si>
  <si>
    <t xml:space="preserve"> Aumentar la utilización de escenarios deportivos como coliseos y canchas de fútbol</t>
  </si>
  <si>
    <t xml:space="preserve">4. Deporte </t>
  </si>
  <si>
    <t xml:space="preserve">Apoyo a eventos deportivos </t>
  </si>
  <si>
    <t xml:space="preserve">Juegos intercolegiados </t>
  </si>
  <si>
    <t>Deporte formativo, deporte social comunitario y juegos  tradicionales.</t>
  </si>
  <si>
    <t>Si Recreación y actividad física para ti</t>
  </si>
  <si>
    <t xml:space="preserve"> Recreación,  para el Bien Común</t>
  </si>
  <si>
    <t>.</t>
  </si>
  <si>
    <t>Actividad física, hábitos y estilos de vida saludables</t>
  </si>
  <si>
    <t>Deporte, recreación, actividad fisica en los municipios del departamento del Quindío</t>
  </si>
  <si>
    <t>Implementación y apoyo a los proyectos deportivos, recreativos y de actividad fisica en los municipios del Departamento del Quindío</t>
  </si>
  <si>
    <t>Mantener en buen estado las vías del departamento</t>
  </si>
  <si>
    <t>9. Transporte</t>
  </si>
  <si>
    <t>Aumentar la utilización de escenarios deportivos como coliseos y canchas de fútbol</t>
  </si>
  <si>
    <t xml:space="preserve"> SEGURIDAD HUMANA</t>
  </si>
  <si>
    <t>Fortalecimiento de la seguridad vial Departamental</t>
  </si>
  <si>
    <t xml:space="preserve"> Reducir lesiones fatales en accidente de tránsito</t>
  </si>
  <si>
    <t>TOTAL ENTIDADES DESCENTRALIZADAS</t>
  </si>
  <si>
    <t>TOTAL POAI 2020</t>
  </si>
  <si>
    <t>202000363-0001</t>
  </si>
  <si>
    <t>Tu y Yo Contra  - COVID</t>
  </si>
  <si>
    <t>F-PLA-43</t>
  </si>
  <si>
    <t>PRESUPUESTO</t>
  </si>
  <si>
    <t>COMPROMISOS</t>
  </si>
  <si>
    <t>OBLIGACION</t>
  </si>
  <si>
    <t>SEGUIMIENTO PLAN OPERATIVO ANUAL DE INVERSIONES -POAI-
 MARZO 31  DE 2020</t>
  </si>
  <si>
    <t xml:space="preserve">
EJECUCION GASTOS DE INVERSION POR UNIDAD EJECUTORA SECTOR CENTRAL
 MARZO 31 DE 2020</t>
  </si>
  <si>
    <t>UNIDAD EJECUTORA</t>
  </si>
  <si>
    <t>APROPIACION DEFINITIVA</t>
  </si>
  <si>
    <t>%</t>
  </si>
  <si>
    <t>CERTIFICADOS</t>
  </si>
  <si>
    <t>% CDP</t>
  </si>
  <si>
    <t>% RP</t>
  </si>
  <si>
    <t xml:space="preserve">OBLIGACIONES </t>
  </si>
  <si>
    <t>% OBLIG</t>
  </si>
  <si>
    <t>PAGOS</t>
  </si>
  <si>
    <t>% PAGOS</t>
  </si>
  <si>
    <t>SALDO DISPONIBLE</t>
  </si>
  <si>
    <t>% SALDO DISP.</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</si>
  <si>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</si>
  <si>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</si>
  <si>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</si>
  <si>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</si>
  <si>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</si>
  <si>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</si>
  <si>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</si>
  <si>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</si>
  <si>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</si>
  <si>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</si>
  <si>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</si>
  <si>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Salud</t>
  </si>
  <si>
    <t>Tecnología de la Información y las Comunicaciones</t>
  </si>
  <si>
    <t>Presupuesto</t>
  </si>
  <si>
    <t>Valor</t>
  </si>
  <si>
    <t>Definitivo</t>
  </si>
  <si>
    <t>Certificados</t>
  </si>
  <si>
    <t>Compromisos</t>
  </si>
  <si>
    <t>Obligaciones</t>
  </si>
  <si>
    <t>Pagos</t>
  </si>
  <si>
    <t>Disponible</t>
  </si>
  <si>
    <t>SUB TOTAL SECTOR CENTRAL</t>
  </si>
  <si>
    <t xml:space="preserve">SUBTOTAL SECTOR DESCENTRALIZADO </t>
  </si>
  <si>
    <t>EJECUCION GASTOS INVERSION MARZO  31 DE 2020 SECTOR CENTRAL</t>
  </si>
  <si>
    <t xml:space="preserve">ESTAMPILLAS 
PRO - CULTURA
PRO - ADULTO MAYOR
PRO - DESARROLLO </t>
  </si>
  <si>
    <t>Indeportes</t>
  </si>
  <si>
    <t>Promotora</t>
  </si>
  <si>
    <t>IDTQ</t>
  </si>
  <si>
    <t>TOTAL INVERSION</t>
  </si>
  <si>
    <t>% 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</si>
</sst>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_-* #,##0_-;\-* #,##0_-;_-* &quot;-&quot;??_-;_-@_-"/>
    <numFmt numFmtId="168" formatCode="&quot;$&quot;\ #,##0.00"/>
    <numFmt numFmtId="169" formatCode="_-&quot;$&quot;\ * #,##0.00_-;\-&quot;$&quot;\ * #,##0.00_-;_-&quot;$&quot;\ * &quot;-&quot;??_-;_-@_-"/>
    <numFmt numFmtId="170" formatCode="_-* #,##0.00\ &quot;€&quot;_-;\-* #,##0.00\ &quot;€&quot;_-;_-* &quot;-&quot;??\ &quot;€&quot;_-;_-@_-"/>
    <numFmt numFmtId="171" formatCode="_-* #,##0.00\ _€_-;\-* #,##0.00\ _€_-;_-* &quot;-&quot;??\ _€_-;_-@_-"/>
    <numFmt numFmtId="172" formatCode="_(&quot;$&quot;\ * #,##0.00_);_(&quot;$&quot;\ * \(#,##0.00\);_(&quot;$&quot;\ * &quot;-&quot;??_);_(@_)"/>
    <numFmt numFmtId="173" formatCode="_ [$€-2]\ * #,##0.00_ ;_ [$€-2]\ * \-#,##0.00_ ;_ [$€-2]\ * &quot;-&quot;??_ "/>
    <numFmt numFmtId="174" formatCode="_(&quot;$&quot;\ * #,##0_);_(&quot;$&quot;\ * \(#,##0\);_(&quot;$&quot;\ *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4"/>
      <name val="Arial"/>
      <family val="2"/>
    </font>
    <font>
      <sz val="11"/>
      <name val="Arial"/>
      <family val="2"/>
    </font>
    <font>
      <b/>
      <sz val="12"/>
      <name val="Arial"/>
      <family val="2"/>
    </font>
    <font>
      <sz val="11"/>
      <name val="Calibri"/>
      <family val="2"/>
      <scheme val="minor"/>
    </font>
    <font>
      <b/>
      <sz val="11"/>
      <name val="Arial"/>
      <family val="2"/>
    </font>
    <font>
      <b/>
      <sz val="10"/>
      <name val="Arial"/>
      <family val="2"/>
    </font>
    <font>
      <sz val="11"/>
      <color indexed="8"/>
      <name val="Calibri"/>
      <family val="2"/>
    </font>
    <font>
      <b/>
      <sz val="11"/>
      <color theme="1"/>
      <name val="Arial"/>
      <family val="2"/>
    </font>
    <font>
      <b/>
      <sz val="16"/>
      <name val="Arial"/>
      <family val="2"/>
    </font>
    <font>
      <sz val="12"/>
      <name val="Arial"/>
      <family val="2"/>
    </font>
    <font>
      <sz val="12"/>
      <color rgb="FFFF0000"/>
      <name val="Arial"/>
      <family val="2"/>
    </font>
    <font>
      <sz val="11"/>
      <color theme="1"/>
      <name val="Arial"/>
      <family val="2"/>
    </font>
    <font>
      <sz val="10"/>
      <name val="Arial"/>
      <family val="2"/>
    </font>
    <font>
      <sz val="10"/>
      <color theme="1"/>
      <name val="Arial"/>
      <family val="2"/>
    </font>
    <font>
      <sz val="11"/>
      <color indexed="8"/>
      <name val="Arial"/>
      <family val="2"/>
    </font>
    <font>
      <sz val="11"/>
      <color rgb="FFFF0000"/>
      <name val="Arial"/>
      <family val="2"/>
    </font>
    <font>
      <sz val="12"/>
      <color theme="1"/>
      <name val="Arial"/>
      <family val="2"/>
    </font>
    <font>
      <sz val="7"/>
      <color theme="1"/>
      <name val="Times New Roman"/>
      <family val="1"/>
    </font>
    <font>
      <sz val="10"/>
      <name val="Arial"/>
      <family val="1"/>
    </font>
    <font>
      <b/>
      <sz val="18"/>
      <name val="Arial"/>
      <family val="2"/>
    </font>
    <font>
      <sz val="12"/>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0"/>
      <color theme="1"/>
      <name val="Arial"/>
      <family val="2"/>
    </font>
    <font>
      <sz val="10"/>
      <color theme="0"/>
      <name val="Arial"/>
      <family val="2"/>
    </font>
    <font>
      <b/>
      <sz val="12"/>
      <color theme="0"/>
      <name val="Arial"/>
      <family val="2"/>
    </font>
    <font>
      <sz val="12"/>
      <color theme="0"/>
      <name val="Arial"/>
      <family val="2"/>
    </font>
    <font>
      <sz val="10"/>
      <color indexed="8"/>
      <name val="MS Sans Serif"/>
      <family val="2"/>
    </font>
    <font>
      <sz val="10"/>
      <color indexed="8"/>
      <name val="MS Sans Serif"/>
    </font>
  </fonts>
  <fills count="1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rgb="FF00B0F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indexed="3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49998474074526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diagonal/>
    </border>
    <border>
      <left style="thin">
        <color auto="1"/>
      </left>
      <right style="thin">
        <color auto="1"/>
      </right>
      <top style="thin">
        <color auto="1"/>
      </top>
      <bottom/>
      <diagonal/>
    </border>
    <border>
      <left/>
      <right style="thin">
        <color auto="1"/>
      </right>
      <top style="thin">
        <color indexed="64"/>
      </top>
      <bottom/>
      <diagonal/>
    </border>
    <border>
      <left/>
      <right style="thin">
        <color auto="1"/>
      </right>
      <top/>
      <bottom style="thin">
        <color auto="1"/>
      </bottom>
      <diagonal/>
    </border>
    <border>
      <left style="medium">
        <color indexed="64"/>
      </left>
      <right/>
      <top style="thin">
        <color indexed="64"/>
      </top>
      <bottom style="thin">
        <color indexed="64"/>
      </bottom>
      <diagonal/>
    </border>
  </borders>
  <cellStyleXfs count="45">
    <xf numFmtId="0" fontId="0" fillId="0" borderId="0"/>
    <xf numFmtId="164" fontId="1"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2" fontId="1" fillId="0" borderId="0" applyFont="0" applyFill="0" applyBorder="0" applyAlignment="0" applyProtection="0"/>
    <xf numFmtId="0" fontId="1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3" fontId="1" fillId="0" borderId="0"/>
    <xf numFmtId="0" fontId="15" fillId="0" borderId="0"/>
    <xf numFmtId="0" fontId="15" fillId="0" borderId="0"/>
    <xf numFmtId="0" fontId="15" fillId="0" borderId="0"/>
    <xf numFmtId="44" fontId="1" fillId="0" borderId="0" applyFont="0" applyFill="0" applyBorder="0" applyAlignment="0" applyProtection="0"/>
    <xf numFmtId="9"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174" fontId="1" fillId="0" borderId="0" applyFont="0" applyFill="0" applyBorder="0" applyAlignment="0" applyProtection="0"/>
    <xf numFmtId="0" fontId="31" fillId="0" borderId="0"/>
    <xf numFmtId="170"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0" fontId="1" fillId="0" borderId="0"/>
    <xf numFmtId="0" fontId="15" fillId="0" borderId="0"/>
    <xf numFmtId="42" fontId="15" fillId="0" borderId="0" applyFont="0" applyFill="0" applyBorder="0" applyAlignment="0" applyProtection="0"/>
    <xf numFmtId="41" fontId="1" fillId="0" borderId="0" applyFont="0" applyFill="0" applyBorder="0" applyAlignment="0" applyProtection="0"/>
    <xf numFmtId="43" fontId="9" fillId="0" borderId="0" applyFont="0" applyFill="0" applyBorder="0" applyAlignment="0" applyProtection="0"/>
    <xf numFmtId="173" fontId="1" fillId="0" borderId="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32" fillId="0" borderId="0"/>
    <xf numFmtId="0" fontId="1" fillId="0" borderId="0"/>
  </cellStyleXfs>
  <cellXfs count="904">
    <xf numFmtId="0" fontId="0" fillId="0" borderId="0" xfId="0"/>
    <xf numFmtId="0" fontId="5" fillId="0" borderId="3" xfId="0" applyFont="1" applyBorder="1" applyAlignment="1">
      <alignment vertical="center"/>
    </xf>
    <xf numFmtId="0" fontId="6" fillId="0" borderId="0" xfId="0" applyFont="1" applyFill="1" applyBorder="1"/>
    <xf numFmtId="0" fontId="5" fillId="0" borderId="3" xfId="0" applyFont="1" applyBorder="1" applyAlignment="1">
      <alignment horizontal="left" vertical="center"/>
    </xf>
    <xf numFmtId="0" fontId="7" fillId="3" borderId="7" xfId="0" applyFont="1" applyFill="1" applyBorder="1" applyAlignment="1">
      <alignment horizontal="left" vertical="center" wrapText="1"/>
    </xf>
    <xf numFmtId="166" fontId="7" fillId="5" borderId="3" xfId="2"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11" fillId="7" borderId="7" xfId="0" applyFont="1" applyFill="1" applyBorder="1" applyAlignment="1">
      <alignment horizontal="left" vertical="center"/>
    </xf>
    <xf numFmtId="0" fontId="11" fillId="7" borderId="8" xfId="0" applyFont="1" applyFill="1" applyBorder="1" applyAlignment="1">
      <alignment horizontal="left" vertical="center"/>
    </xf>
    <xf numFmtId="0" fontId="11" fillId="7" borderId="8" xfId="0" applyFont="1" applyFill="1" applyBorder="1" applyAlignment="1">
      <alignment horizontal="center" vertical="center"/>
    </xf>
    <xf numFmtId="0" fontId="7" fillId="7" borderId="8" xfId="0" applyFont="1" applyFill="1" applyBorder="1" applyAlignment="1">
      <alignment horizontal="center" vertical="center"/>
    </xf>
    <xf numFmtId="166" fontId="7" fillId="7" borderId="9" xfId="0" applyNumberFormat="1" applyFont="1" applyFill="1" applyBorder="1" applyAlignment="1">
      <alignment horizontal="left" vertical="center"/>
    </xf>
    <xf numFmtId="0" fontId="11" fillId="0" borderId="0" xfId="0"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center" vertical="center"/>
    </xf>
    <xf numFmtId="0" fontId="7" fillId="3" borderId="9" xfId="0" applyFont="1" applyFill="1" applyBorder="1" applyAlignment="1">
      <alignment vertical="center"/>
    </xf>
    <xf numFmtId="0" fontId="7" fillId="0" borderId="1" xfId="0" applyFont="1" applyBorder="1" applyAlignment="1">
      <alignment vertical="center" wrapText="1"/>
    </xf>
    <xf numFmtId="0" fontId="7" fillId="4" borderId="8" xfId="0" applyFont="1" applyFill="1" applyBorder="1" applyAlignment="1">
      <alignment vertical="center"/>
    </xf>
    <xf numFmtId="0" fontId="7" fillId="4" borderId="9" xfId="0" applyFont="1" applyFill="1" applyBorder="1" applyAlignment="1">
      <alignment vertical="center"/>
    </xf>
    <xf numFmtId="0" fontId="7" fillId="0" borderId="4" xfId="0" applyFont="1" applyBorder="1" applyAlignment="1">
      <alignment vertical="center" wrapText="1"/>
    </xf>
    <xf numFmtId="0" fontId="7" fillId="0" borderId="7" xfId="0" applyFont="1" applyBorder="1" applyAlignment="1">
      <alignment horizontal="left" vertical="center"/>
    </xf>
    <xf numFmtId="0" fontId="7" fillId="0" borderId="8" xfId="0" applyFont="1" applyBorder="1" applyAlignment="1">
      <alignment horizontal="center" vertical="center"/>
    </xf>
    <xf numFmtId="0" fontId="7" fillId="0" borderId="8" xfId="0" applyFont="1" applyBorder="1" applyAlignment="1">
      <alignment vertical="center"/>
    </xf>
    <xf numFmtId="0" fontId="7" fillId="6" borderId="3" xfId="0" applyFont="1" applyFill="1" applyBorder="1" applyAlignment="1">
      <alignment horizontal="left" vertical="center" wrapText="1"/>
    </xf>
    <xf numFmtId="0" fontId="7" fillId="6" borderId="7" xfId="0" applyFont="1" applyFill="1" applyBorder="1" applyAlignment="1">
      <alignment vertical="center"/>
    </xf>
    <xf numFmtId="0" fontId="7" fillId="6" borderId="8" xfId="0" applyFont="1" applyFill="1" applyBorder="1" applyAlignment="1">
      <alignment vertical="center"/>
    </xf>
    <xf numFmtId="0" fontId="7" fillId="6" borderId="9" xfId="0" applyFont="1" applyFill="1" applyBorder="1" applyAlignment="1">
      <alignment vertical="center"/>
    </xf>
    <xf numFmtId="0" fontId="7" fillId="0" borderId="10" xfId="0" applyFont="1" applyBorder="1" applyAlignment="1">
      <alignment vertical="center" wrapText="1"/>
    </xf>
    <xf numFmtId="0" fontId="4" fillId="0" borderId="9"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0"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xf>
    <xf numFmtId="164" fontId="4" fillId="0" borderId="3" xfId="2" applyFont="1" applyBorder="1" applyAlignment="1">
      <alignment horizontal="justify" vertical="center"/>
    </xf>
    <xf numFmtId="17" fontId="4" fillId="0" borderId="3" xfId="2" applyNumberFormat="1" applyFont="1" applyBorder="1" applyAlignment="1">
      <alignment horizontal="justify" vertical="center"/>
    </xf>
    <xf numFmtId="164" fontId="4" fillId="0" borderId="7" xfId="1" applyNumberFormat="1" applyFont="1" applyBorder="1" applyAlignment="1">
      <alignment horizontal="right" vertical="center" wrapText="1"/>
    </xf>
    <xf numFmtId="164" fontId="4" fillId="0" borderId="7" xfId="2" applyFont="1" applyBorder="1" applyAlignment="1">
      <alignment horizontal="justify" vertical="center"/>
    </xf>
    <xf numFmtId="164" fontId="6" fillId="0" borderId="3" xfId="0" applyNumberFormat="1" applyFont="1" applyBorder="1" applyAlignment="1">
      <alignment vertical="center"/>
    </xf>
    <xf numFmtId="0" fontId="4" fillId="0" borderId="11" xfId="0" applyFont="1" applyBorder="1" applyAlignment="1">
      <alignment vertical="center" wrapText="1"/>
    </xf>
    <xf numFmtId="0" fontId="7" fillId="0" borderId="11" xfId="0" applyFont="1" applyBorder="1" applyAlignment="1">
      <alignment vertical="center" wrapText="1"/>
    </xf>
    <xf numFmtId="0" fontId="4" fillId="8" borderId="3" xfId="0" applyFont="1" applyFill="1" applyBorder="1" applyAlignment="1">
      <alignment horizontal="justify" vertical="center" wrapText="1"/>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164" fontId="4" fillId="8" borderId="3" xfId="2" applyFont="1" applyFill="1" applyBorder="1" applyAlignment="1">
      <alignment horizontal="justify" vertical="center"/>
    </xf>
    <xf numFmtId="0" fontId="7" fillId="0" borderId="5" xfId="0" applyFont="1" applyBorder="1" applyAlignment="1">
      <alignment vertical="center" wrapText="1"/>
    </xf>
    <xf numFmtId="0" fontId="4" fillId="4"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164" fontId="4" fillId="4" borderId="3" xfId="2" applyFont="1" applyFill="1" applyBorder="1" applyAlignment="1">
      <alignment horizontal="justify" vertical="center"/>
    </xf>
    <xf numFmtId="0" fontId="4" fillId="3" borderId="3" xfId="0" applyFont="1" applyFill="1" applyBorder="1" applyAlignment="1">
      <alignment horizontal="justify"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164" fontId="4" fillId="3" borderId="3" xfId="2" applyFont="1" applyFill="1" applyBorder="1" applyAlignment="1">
      <alignment horizontal="justify" vertical="center"/>
    </xf>
    <xf numFmtId="0" fontId="4" fillId="9" borderId="3" xfId="0" applyFont="1" applyFill="1" applyBorder="1" applyAlignment="1">
      <alignment horizontal="justify" vertical="center" wrapText="1"/>
    </xf>
    <xf numFmtId="0" fontId="4" fillId="9" borderId="3" xfId="0" applyFont="1" applyFill="1" applyBorder="1" applyAlignment="1">
      <alignment horizontal="center" vertical="center" wrapText="1"/>
    </xf>
    <xf numFmtId="0" fontId="4" fillId="9" borderId="3" xfId="0" applyFont="1" applyFill="1" applyBorder="1" applyAlignment="1">
      <alignment horizontal="center" vertical="center"/>
    </xf>
    <xf numFmtId="164" fontId="4" fillId="9" borderId="3" xfId="2" applyFont="1" applyFill="1" applyBorder="1" applyAlignment="1">
      <alignment horizontal="justify" vertical="center"/>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8" xfId="0" applyFont="1" applyBorder="1" applyAlignment="1">
      <alignment horizontal="center" vertical="center"/>
    </xf>
    <xf numFmtId="164" fontId="4" fillId="0" borderId="8" xfId="2" applyFont="1" applyBorder="1" applyAlignment="1">
      <alignment horizontal="justify" vertical="center"/>
    </xf>
    <xf numFmtId="164" fontId="4" fillId="10" borderId="8" xfId="2" applyFont="1" applyFill="1" applyBorder="1" applyAlignment="1">
      <alignment horizontal="justify" vertical="center"/>
    </xf>
    <xf numFmtId="164" fontId="5" fillId="0" borderId="8" xfId="1" applyNumberFormat="1" applyFont="1" applyBorder="1" applyAlignment="1">
      <alignment horizontal="center" vertical="center"/>
    </xf>
    <xf numFmtId="164" fontId="4" fillId="10" borderId="0" xfId="2" applyFont="1" applyFill="1" applyBorder="1" applyAlignment="1">
      <alignment horizontal="justify" vertical="center"/>
    </xf>
    <xf numFmtId="0" fontId="6" fillId="10" borderId="12" xfId="0" applyFont="1" applyFill="1" applyBorder="1"/>
    <xf numFmtId="164" fontId="7" fillId="7" borderId="8" xfId="0" applyNumberFormat="1" applyFont="1" applyFill="1" applyBorder="1" applyAlignment="1">
      <alignment horizontal="left" vertical="center"/>
    </xf>
    <xf numFmtId="164" fontId="7" fillId="7" borderId="8" xfId="1" applyNumberFormat="1" applyFont="1" applyFill="1" applyBorder="1" applyAlignment="1">
      <alignment horizontal="center" vertical="center"/>
    </xf>
    <xf numFmtId="164" fontId="7" fillId="7" borderId="9" xfId="0" applyNumberFormat="1" applyFont="1" applyFill="1" applyBorder="1" applyAlignment="1">
      <alignment horizontal="left" vertical="center"/>
    </xf>
    <xf numFmtId="164" fontId="7" fillId="3" borderId="8" xfId="0" applyNumberFormat="1" applyFont="1" applyFill="1" applyBorder="1" applyAlignment="1">
      <alignment vertical="center"/>
    </xf>
    <xf numFmtId="164" fontId="7" fillId="3" borderId="8" xfId="1" applyNumberFormat="1" applyFont="1" applyFill="1" applyBorder="1" applyAlignment="1">
      <alignment horizontal="center" vertical="center"/>
    </xf>
    <xf numFmtId="164" fontId="7" fillId="3" borderId="9" xfId="0" applyNumberFormat="1" applyFont="1" applyFill="1" applyBorder="1" applyAlignment="1">
      <alignment vertical="center"/>
    </xf>
    <xf numFmtId="0" fontId="7" fillId="0" borderId="13" xfId="0" applyFont="1" applyBorder="1" applyAlignment="1">
      <alignment vertical="center" wrapText="1"/>
    </xf>
    <xf numFmtId="164" fontId="7" fillId="4" borderId="8" xfId="0" applyNumberFormat="1" applyFont="1" applyFill="1" applyBorder="1" applyAlignment="1">
      <alignment vertical="center"/>
    </xf>
    <xf numFmtId="164" fontId="7" fillId="4" borderId="8" xfId="1" applyNumberFormat="1" applyFont="1" applyFill="1" applyBorder="1" applyAlignment="1">
      <alignment horizontal="center" vertical="center"/>
    </xf>
    <xf numFmtId="164" fontId="7" fillId="4" borderId="9" xfId="0" applyNumberFormat="1" applyFont="1" applyFill="1" applyBorder="1" applyAlignment="1">
      <alignment vertical="center"/>
    </xf>
    <xf numFmtId="0" fontId="7" fillId="0" borderId="8" xfId="0" applyFont="1" applyBorder="1" applyAlignment="1">
      <alignment vertical="center" wrapText="1"/>
    </xf>
    <xf numFmtId="0" fontId="7" fillId="8" borderId="7" xfId="0" applyFont="1" applyFill="1" applyBorder="1" applyAlignment="1">
      <alignment horizontal="justify" vertical="center" wrapText="1"/>
    </xf>
    <xf numFmtId="0" fontId="7" fillId="8" borderId="8" xfId="0" applyFont="1" applyFill="1" applyBorder="1" applyAlignment="1">
      <alignment horizontal="left" vertical="center"/>
    </xf>
    <xf numFmtId="0" fontId="7" fillId="8" borderId="8" xfId="0" applyFont="1" applyFill="1" applyBorder="1" applyAlignment="1">
      <alignment vertical="center"/>
    </xf>
    <xf numFmtId="164" fontId="7" fillId="8" borderId="8" xfId="0" applyNumberFormat="1" applyFont="1" applyFill="1" applyBorder="1" applyAlignment="1">
      <alignment vertical="center"/>
    </xf>
    <xf numFmtId="164" fontId="7" fillId="8" borderId="8" xfId="1" applyNumberFormat="1" applyFont="1" applyFill="1" applyBorder="1" applyAlignment="1">
      <alignment horizontal="center" vertical="center"/>
    </xf>
    <xf numFmtId="164" fontId="7" fillId="8" borderId="9" xfId="0" applyNumberFormat="1" applyFont="1" applyFill="1" applyBorder="1" applyAlignment="1">
      <alignment vertical="center"/>
    </xf>
    <xf numFmtId="0" fontId="4" fillId="0" borderId="9" xfId="0" applyFont="1" applyBorder="1" applyAlignment="1">
      <alignment horizontal="justify" vertical="center" wrapText="1"/>
    </xf>
    <xf numFmtId="0" fontId="4" fillId="11" borderId="7" xfId="0" applyFont="1" applyFill="1" applyBorder="1" applyAlignment="1">
      <alignment horizontal="justify" vertical="center" wrapText="1"/>
    </xf>
    <xf numFmtId="0" fontId="4" fillId="11" borderId="8" xfId="0" applyFont="1" applyFill="1" applyBorder="1" applyAlignment="1">
      <alignment horizontal="center" vertical="center" wrapText="1"/>
    </xf>
    <xf numFmtId="0" fontId="4" fillId="11" borderId="8" xfId="0" applyFont="1" applyFill="1" applyBorder="1" applyAlignment="1">
      <alignment horizontal="justify" vertical="center" wrapText="1"/>
    </xf>
    <xf numFmtId="0" fontId="4" fillId="11" borderId="8" xfId="0" applyFont="1" applyFill="1" applyBorder="1" applyAlignment="1">
      <alignment horizontal="justify" vertical="center"/>
    </xf>
    <xf numFmtId="164" fontId="4" fillId="11" borderId="3" xfId="2" applyFont="1" applyFill="1" applyBorder="1" applyAlignment="1">
      <alignment horizontal="justify" vertical="center"/>
    </xf>
    <xf numFmtId="164" fontId="4" fillId="0" borderId="8" xfId="1" applyNumberFormat="1" applyFont="1" applyBorder="1" applyAlignment="1">
      <alignment horizontal="center" vertical="center"/>
    </xf>
    <xf numFmtId="0" fontId="7" fillId="11" borderId="8" xfId="0" applyFont="1" applyFill="1" applyBorder="1" applyAlignment="1">
      <alignment horizontal="justify" vertical="center" wrapText="1"/>
    </xf>
    <xf numFmtId="0" fontId="7" fillId="11" borderId="8" xfId="0" applyFont="1" applyFill="1" applyBorder="1" applyAlignment="1">
      <alignment horizontal="left" vertical="center"/>
    </xf>
    <xf numFmtId="0" fontId="7" fillId="11" borderId="8" xfId="0" applyFont="1" applyFill="1" applyBorder="1" applyAlignment="1">
      <alignment vertical="center"/>
    </xf>
    <xf numFmtId="164" fontId="7" fillId="11" borderId="8" xfId="0" applyNumberFormat="1" applyFont="1" applyFill="1" applyBorder="1" applyAlignment="1">
      <alignment vertical="center"/>
    </xf>
    <xf numFmtId="164" fontId="7" fillId="11" borderId="8" xfId="1" applyNumberFormat="1" applyFont="1" applyFill="1" applyBorder="1" applyAlignment="1">
      <alignment horizontal="center" vertical="center"/>
    </xf>
    <xf numFmtId="164" fontId="7" fillId="11" borderId="9" xfId="0" applyNumberFormat="1" applyFont="1" applyFill="1" applyBorder="1" applyAlignment="1">
      <alignment vertical="center"/>
    </xf>
    <xf numFmtId="0" fontId="4" fillId="4" borderId="8"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4" fillId="4" borderId="8" xfId="0" applyFont="1" applyFill="1" applyBorder="1" applyAlignment="1">
      <alignment horizontal="justify" vertical="center"/>
    </xf>
    <xf numFmtId="164" fontId="4" fillId="4" borderId="8" xfId="2" applyFont="1" applyFill="1" applyBorder="1" applyAlignment="1">
      <alignment horizontal="justify" vertical="center"/>
    </xf>
    <xf numFmtId="0" fontId="4" fillId="0" borderId="8" xfId="0" applyFont="1" applyBorder="1" applyAlignment="1">
      <alignment horizontal="justify" vertical="center"/>
    </xf>
    <xf numFmtId="0" fontId="4" fillId="0" borderId="13" xfId="0" applyFont="1" applyBorder="1" applyAlignment="1">
      <alignment vertical="center" wrapText="1"/>
    </xf>
    <xf numFmtId="0" fontId="4" fillId="0" borderId="8" xfId="0" applyFont="1" applyBorder="1" applyAlignment="1">
      <alignment vertical="center" wrapText="1"/>
    </xf>
    <xf numFmtId="0" fontId="4" fillId="8" borderId="13" xfId="0" applyFont="1" applyFill="1" applyBorder="1" applyAlignment="1">
      <alignment horizontal="justify" vertical="center" wrapText="1"/>
    </xf>
    <xf numFmtId="0" fontId="4" fillId="8" borderId="13" xfId="0" applyFont="1" applyFill="1" applyBorder="1" applyAlignment="1">
      <alignment horizontal="center" vertical="center" wrapText="1"/>
    </xf>
    <xf numFmtId="0" fontId="4" fillId="4" borderId="9" xfId="0" applyFont="1" applyFill="1" applyBorder="1" applyAlignment="1">
      <alignment horizontal="justify" vertical="center" wrapText="1"/>
    </xf>
    <xf numFmtId="0" fontId="4" fillId="4" borderId="7" xfId="0" applyFont="1" applyFill="1" applyBorder="1" applyAlignment="1">
      <alignment horizontal="center" vertical="center" wrapText="1"/>
    </xf>
    <xf numFmtId="0" fontId="4" fillId="4" borderId="13" xfId="0" applyFont="1" applyFill="1" applyBorder="1" applyAlignment="1">
      <alignment horizontal="justify" vertical="center" wrapText="1"/>
    </xf>
    <xf numFmtId="0" fontId="4" fillId="4" borderId="13"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164" fontId="4" fillId="0" borderId="9" xfId="2" applyFont="1" applyBorder="1" applyAlignment="1">
      <alignment horizontal="justify" vertical="center"/>
    </xf>
    <xf numFmtId="0" fontId="7" fillId="4" borderId="3" xfId="0" applyFont="1" applyFill="1" applyBorder="1" applyAlignment="1">
      <alignment horizontal="justify" vertical="center" wrapText="1"/>
    </xf>
    <xf numFmtId="0" fontId="4" fillId="0" borderId="14" xfId="0" applyFont="1" applyBorder="1" applyAlignment="1">
      <alignment vertical="center" wrapText="1"/>
    </xf>
    <xf numFmtId="0" fontId="7" fillId="6" borderId="3" xfId="0" applyFont="1" applyFill="1" applyBorder="1" applyAlignment="1">
      <alignment horizontal="justify" vertical="center" wrapText="1"/>
    </xf>
    <xf numFmtId="0" fontId="7" fillId="6" borderId="1" xfId="0" applyFont="1" applyFill="1" applyBorder="1" applyAlignment="1">
      <alignment horizontal="left" vertical="center"/>
    </xf>
    <xf numFmtId="0" fontId="7" fillId="6" borderId="2" xfId="0" applyFont="1" applyFill="1" applyBorder="1" applyAlignment="1">
      <alignment vertical="center"/>
    </xf>
    <xf numFmtId="164" fontId="7" fillId="6" borderId="2" xfId="0" applyNumberFormat="1" applyFont="1" applyFill="1" applyBorder="1" applyAlignment="1">
      <alignment vertical="center"/>
    </xf>
    <xf numFmtId="164" fontId="7" fillId="6" borderId="2" xfId="1" applyNumberFormat="1" applyFont="1" applyFill="1" applyBorder="1" applyAlignment="1">
      <alignment horizontal="center" vertical="center"/>
    </xf>
    <xf numFmtId="164" fontId="7" fillId="6" borderId="14" xfId="0" applyNumberFormat="1" applyFont="1" applyFill="1" applyBorder="1" applyAlignment="1">
      <alignment vertical="center"/>
    </xf>
    <xf numFmtId="0" fontId="7" fillId="10" borderId="4" xfId="0" applyFont="1" applyFill="1" applyBorder="1" applyAlignment="1">
      <alignment vertical="center" wrapText="1"/>
    </xf>
    <xf numFmtId="0" fontId="4" fillId="10" borderId="10" xfId="0" applyFont="1" applyFill="1" applyBorder="1" applyAlignment="1">
      <alignment vertical="center" wrapText="1"/>
    </xf>
    <xf numFmtId="0" fontId="7" fillId="10" borderId="0" xfId="0" applyFont="1" applyFill="1" applyBorder="1" applyAlignment="1">
      <alignment horizontal="justify" vertical="center" wrapText="1"/>
    </xf>
    <xf numFmtId="0" fontId="4" fillId="10" borderId="3" xfId="0" applyFont="1" applyFill="1" applyBorder="1" applyAlignment="1">
      <alignment horizontal="center" vertical="center" wrapText="1"/>
    </xf>
    <xf numFmtId="0" fontId="12" fillId="0" borderId="3" xfId="0" applyFont="1" applyBorder="1" applyAlignment="1">
      <alignment horizontal="justify" vertical="center" wrapText="1"/>
    </xf>
    <xf numFmtId="0" fontId="4" fillId="10" borderId="3" xfId="0" applyFont="1" applyFill="1" applyBorder="1" applyAlignment="1">
      <alignment vertical="center" wrapText="1"/>
    </xf>
    <xf numFmtId="0" fontId="7" fillId="10" borderId="3" xfId="0" applyFont="1" applyFill="1" applyBorder="1" applyAlignment="1">
      <alignment horizontal="center" vertical="center"/>
    </xf>
    <xf numFmtId="164" fontId="7" fillId="10" borderId="3" xfId="0" applyNumberFormat="1" applyFont="1" applyFill="1" applyBorder="1" applyAlignment="1">
      <alignment vertical="center"/>
    </xf>
    <xf numFmtId="164" fontId="4" fillId="0" borderId="3" xfId="1" applyNumberFormat="1" applyFont="1" applyBorder="1" applyAlignment="1">
      <alignment horizontal="center" vertical="center"/>
    </xf>
    <xf numFmtId="0" fontId="14" fillId="0" borderId="10" xfId="0" applyFont="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horizontal="justify" vertical="center" wrapText="1"/>
    </xf>
    <xf numFmtId="166" fontId="14" fillId="0" borderId="11" xfId="2" applyNumberFormat="1" applyFont="1" applyBorder="1" applyAlignment="1">
      <alignment horizontal="center" vertical="center" wrapText="1"/>
    </xf>
    <xf numFmtId="164" fontId="14" fillId="0" borderId="11" xfId="2" applyFont="1" applyBorder="1" applyAlignment="1">
      <alignment horizontal="justify" vertical="center"/>
    </xf>
    <xf numFmtId="164" fontId="14" fillId="0" borderId="5" xfId="1" applyNumberFormat="1" applyFont="1" applyBorder="1" applyAlignment="1">
      <alignment horizontal="right" vertical="center" wrapText="1"/>
    </xf>
    <xf numFmtId="164" fontId="14" fillId="0" borderId="5" xfId="2" applyFont="1" applyBorder="1" applyAlignment="1">
      <alignment horizontal="justify" vertical="center"/>
    </xf>
    <xf numFmtId="0" fontId="0" fillId="0" borderId="0" xfId="0" applyFill="1" applyBorder="1"/>
    <xf numFmtId="166" fontId="4" fillId="0" borderId="3" xfId="2" applyNumberFormat="1" applyFont="1" applyBorder="1" applyAlignment="1">
      <alignment horizontal="center" vertical="center" wrapText="1"/>
    </xf>
    <xf numFmtId="0" fontId="4" fillId="0" borderId="0" xfId="0" applyFont="1" applyBorder="1" applyAlignment="1">
      <alignment vertical="center" wrapText="1"/>
    </xf>
    <xf numFmtId="0" fontId="4" fillId="8" borderId="13" xfId="0" applyFont="1" applyFill="1" applyBorder="1" applyAlignment="1">
      <alignment horizontal="center" vertical="center"/>
    </xf>
    <xf numFmtId="164" fontId="4" fillId="8" borderId="13" xfId="2" applyFont="1" applyFill="1" applyBorder="1" applyAlignment="1">
      <alignment horizontal="justify" vertical="center"/>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wrapText="1"/>
    </xf>
    <xf numFmtId="164" fontId="4" fillId="0" borderId="0" xfId="2" applyFont="1" applyBorder="1" applyAlignment="1">
      <alignment horizontal="justify" vertical="center"/>
    </xf>
    <xf numFmtId="164" fontId="5" fillId="0" borderId="0" xfId="1" applyNumberFormat="1" applyFont="1" applyBorder="1" applyAlignment="1">
      <alignment horizontal="center" vertical="center"/>
    </xf>
    <xf numFmtId="0" fontId="11" fillId="10" borderId="12" xfId="0" applyFont="1" applyFill="1" applyBorder="1" applyAlignment="1">
      <alignment vertical="center"/>
    </xf>
    <xf numFmtId="0" fontId="11" fillId="7" borderId="1" xfId="0" applyFont="1" applyFill="1" applyBorder="1" applyAlignment="1">
      <alignment horizontal="left" vertical="center"/>
    </xf>
    <xf numFmtId="0" fontId="11" fillId="7" borderId="2" xfId="0" applyFont="1" applyFill="1" applyBorder="1" applyAlignment="1">
      <alignment horizontal="left" vertical="center"/>
    </xf>
    <xf numFmtId="0" fontId="11" fillId="7" borderId="2" xfId="0" applyFont="1" applyFill="1" applyBorder="1" applyAlignment="1">
      <alignment horizontal="center" vertical="center"/>
    </xf>
    <xf numFmtId="164" fontId="7" fillId="7" borderId="2" xfId="0" applyNumberFormat="1" applyFont="1" applyFill="1" applyBorder="1" applyAlignment="1">
      <alignment horizontal="left" vertical="center"/>
    </xf>
    <xf numFmtId="164" fontId="7" fillId="7" borderId="2" xfId="1" applyNumberFormat="1" applyFont="1" applyFill="1" applyBorder="1" applyAlignment="1">
      <alignment horizontal="center" vertical="center"/>
    </xf>
    <xf numFmtId="164" fontId="7" fillId="7" borderId="14" xfId="0" applyNumberFormat="1" applyFont="1" applyFill="1" applyBorder="1" applyAlignment="1">
      <alignment horizontal="left" vertical="center"/>
    </xf>
    <xf numFmtId="0" fontId="7" fillId="4" borderId="8" xfId="0" applyFont="1" applyFill="1" applyBorder="1" applyAlignment="1">
      <alignment horizontal="justify" vertical="center" wrapText="1"/>
    </xf>
    <xf numFmtId="0" fontId="7" fillId="0" borderId="14" xfId="0" applyFont="1" applyBorder="1" applyAlignment="1">
      <alignment vertical="center" wrapText="1"/>
    </xf>
    <xf numFmtId="0" fontId="7" fillId="0" borderId="8" xfId="0" applyFont="1" applyBorder="1" applyAlignment="1">
      <alignment horizontal="center" vertical="center" wrapText="1"/>
    </xf>
    <xf numFmtId="0" fontId="7" fillId="0" borderId="12" xfId="0" applyFont="1" applyBorder="1" applyAlignment="1">
      <alignment vertical="center" wrapText="1"/>
    </xf>
    <xf numFmtId="0" fontId="4" fillId="0" borderId="3" xfId="0" applyFont="1" applyBorder="1" applyAlignment="1">
      <alignment vertical="center" wrapText="1"/>
    </xf>
    <xf numFmtId="164" fontId="7" fillId="0" borderId="3" xfId="0" applyNumberFormat="1" applyFont="1" applyBorder="1" applyAlignment="1">
      <alignment horizontal="left" vertical="center"/>
    </xf>
    <xf numFmtId="164" fontId="7" fillId="0" borderId="11" xfId="0" applyNumberFormat="1" applyFont="1" applyBorder="1" applyAlignment="1">
      <alignment horizontal="left" vertical="center"/>
    </xf>
    <xf numFmtId="164" fontId="4" fillId="0" borderId="11" xfId="2" applyFont="1" applyBorder="1" applyAlignment="1">
      <alignment horizontal="justify" vertical="center"/>
    </xf>
    <xf numFmtId="164" fontId="4" fillId="0" borderId="3" xfId="1" applyNumberFormat="1" applyFont="1" applyBorder="1" applyAlignment="1">
      <alignment horizontal="right" vertical="center" wrapText="1"/>
    </xf>
    <xf numFmtId="164" fontId="7" fillId="0" borderId="7" xfId="0" applyNumberFormat="1" applyFont="1" applyBorder="1" applyAlignment="1">
      <alignment horizontal="left" vertical="center"/>
    </xf>
    <xf numFmtId="0" fontId="7" fillId="10" borderId="10" xfId="0" applyFont="1" applyFill="1" applyBorder="1" applyAlignment="1">
      <alignment vertical="center" wrapText="1"/>
    </xf>
    <xf numFmtId="0" fontId="7" fillId="10" borderId="12" xfId="0" applyFont="1" applyFill="1" applyBorder="1" applyAlignment="1">
      <alignment vertical="center" wrapText="1"/>
    </xf>
    <xf numFmtId="0" fontId="4" fillId="10" borderId="11" xfId="0" applyFont="1" applyFill="1" applyBorder="1" applyAlignment="1">
      <alignment horizontal="center" vertical="center" wrapText="1"/>
    </xf>
    <xf numFmtId="0" fontId="4" fillId="10" borderId="3" xfId="0" applyFont="1" applyFill="1" applyBorder="1" applyAlignment="1">
      <alignment horizontal="justify" vertical="center" wrapText="1"/>
    </xf>
    <xf numFmtId="164" fontId="7" fillId="10" borderId="3" xfId="0" applyNumberFormat="1" applyFont="1" applyFill="1" applyBorder="1" applyAlignment="1">
      <alignment horizontal="left" vertical="center"/>
    </xf>
    <xf numFmtId="164" fontId="7" fillId="10" borderId="11" xfId="0" applyNumberFormat="1" applyFont="1" applyFill="1" applyBorder="1" applyAlignment="1">
      <alignment horizontal="left" vertical="center"/>
    </xf>
    <xf numFmtId="164" fontId="4" fillId="10" borderId="7" xfId="1" applyNumberFormat="1" applyFont="1" applyFill="1" applyBorder="1" applyAlignment="1">
      <alignment horizontal="right" vertical="center" wrapText="1"/>
    </xf>
    <xf numFmtId="164" fontId="4" fillId="10" borderId="7" xfId="2" applyFont="1" applyFill="1" applyBorder="1" applyAlignment="1">
      <alignment horizontal="justify" vertical="center"/>
    </xf>
    <xf numFmtId="0" fontId="7" fillId="0" borderId="15" xfId="0" applyFont="1" applyBorder="1" applyAlignment="1">
      <alignment vertical="center" wrapText="1"/>
    </xf>
    <xf numFmtId="164" fontId="4" fillId="8" borderId="3" xfId="1" applyNumberFormat="1" applyFont="1" applyFill="1" applyBorder="1" applyAlignment="1">
      <alignment horizontal="center" vertical="center"/>
    </xf>
    <xf numFmtId="164" fontId="4" fillId="4" borderId="3" xfId="1" applyNumberFormat="1" applyFont="1" applyFill="1" applyBorder="1" applyAlignment="1">
      <alignment horizontal="center" vertical="center"/>
    </xf>
    <xf numFmtId="164" fontId="4" fillId="3" borderId="3" xfId="1" applyNumberFormat="1" applyFont="1" applyFill="1" applyBorder="1" applyAlignment="1">
      <alignment horizontal="center" vertical="center"/>
    </xf>
    <xf numFmtId="164" fontId="4" fillId="9" borderId="3" xfId="1" applyNumberFormat="1" applyFont="1" applyFill="1" applyBorder="1" applyAlignment="1">
      <alignment horizontal="center" vertical="center"/>
    </xf>
    <xf numFmtId="0" fontId="7" fillId="0" borderId="2" xfId="0" applyFont="1" applyBorder="1" applyAlignment="1">
      <alignment vertical="center" wrapText="1"/>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4" fillId="0" borderId="10" xfId="0" applyFont="1" applyFill="1" applyBorder="1" applyAlignment="1">
      <alignment vertical="center" wrapText="1"/>
    </xf>
    <xf numFmtId="0" fontId="4" fillId="0" borderId="3"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2" applyFont="1" applyFill="1" applyBorder="1" applyAlignment="1">
      <alignment horizontal="justify" vertical="center"/>
    </xf>
    <xf numFmtId="164" fontId="4" fillId="0" borderId="3" xfId="1" applyNumberFormat="1" applyFont="1" applyFill="1" applyBorder="1" applyAlignment="1">
      <alignment horizontal="center" vertical="center" wrapText="1"/>
    </xf>
    <xf numFmtId="164" fontId="4" fillId="0" borderId="7" xfId="1" applyNumberFormat="1" applyFont="1" applyFill="1" applyBorder="1" applyAlignment="1">
      <alignment horizontal="right" vertical="center" wrapText="1"/>
    </xf>
    <xf numFmtId="164" fontId="4" fillId="0" borderId="7" xfId="2" applyFont="1" applyFill="1" applyBorder="1" applyAlignment="1">
      <alignment horizontal="justify" vertical="center"/>
    </xf>
    <xf numFmtId="0" fontId="7" fillId="0" borderId="0" xfId="0" applyFont="1" applyBorder="1" applyAlignment="1">
      <alignment vertical="center" wrapText="1"/>
    </xf>
    <xf numFmtId="164" fontId="4" fillId="10" borderId="3" xfId="2" applyFont="1" applyFill="1" applyBorder="1" applyAlignment="1">
      <alignment horizontal="justify" vertical="center"/>
    </xf>
    <xf numFmtId="164" fontId="4" fillId="0" borderId="7" xfId="1" applyNumberFormat="1" applyFont="1" applyBorder="1" applyAlignment="1">
      <alignment horizontal="center" vertical="center"/>
    </xf>
    <xf numFmtId="0" fontId="4" fillId="0" borderId="7" xfId="0" applyFont="1" applyBorder="1" applyAlignment="1">
      <alignment horizontal="center" vertical="center" wrapText="1"/>
    </xf>
    <xf numFmtId="0" fontId="7" fillId="8" borderId="3" xfId="0" applyFont="1" applyFill="1" applyBorder="1" applyAlignment="1">
      <alignment horizontal="justify" vertical="center" wrapText="1"/>
    </xf>
    <xf numFmtId="0" fontId="7" fillId="8" borderId="7" xfId="0" applyFont="1" applyFill="1" applyBorder="1" applyAlignment="1">
      <alignment horizontal="left" vertical="center"/>
    </xf>
    <xf numFmtId="0" fontId="7" fillId="8" borderId="8" xfId="0" applyFont="1" applyFill="1" applyBorder="1" applyAlignment="1">
      <alignment horizontal="justify" vertical="center"/>
    </xf>
    <xf numFmtId="0" fontId="4" fillId="0" borderId="13" xfId="0" applyFont="1" applyFill="1" applyBorder="1" applyAlignment="1">
      <alignment vertical="center" wrapText="1"/>
    </xf>
    <xf numFmtId="43" fontId="6" fillId="0" borderId="3" xfId="0" applyNumberFormat="1" applyFont="1" applyFill="1" applyBorder="1" applyAlignment="1">
      <alignment vertical="center"/>
    </xf>
    <xf numFmtId="164" fontId="4" fillId="0" borderId="7" xfId="2" applyFont="1" applyFill="1" applyBorder="1"/>
    <xf numFmtId="0" fontId="4" fillId="0" borderId="3" xfId="0" applyFont="1" applyFill="1" applyBorder="1" applyAlignment="1">
      <alignment vertical="center" wrapText="1"/>
    </xf>
    <xf numFmtId="164" fontId="4" fillId="0" borderId="3" xfId="1" applyNumberFormat="1" applyFont="1" applyFill="1" applyBorder="1" applyAlignment="1">
      <alignment horizontal="right" vertical="center" wrapText="1"/>
    </xf>
    <xf numFmtId="0" fontId="4" fillId="10" borderId="3" xfId="0" applyFont="1" applyFill="1" applyBorder="1" applyAlignment="1">
      <alignment horizontal="center" vertical="center"/>
    </xf>
    <xf numFmtId="0" fontId="7" fillId="0" borderId="6" xfId="0" applyFont="1" applyBorder="1" applyAlignment="1">
      <alignment vertical="center" wrapText="1"/>
    </xf>
    <xf numFmtId="166" fontId="4" fillId="8" borderId="3" xfId="0" applyNumberFormat="1" applyFont="1" applyFill="1" applyBorder="1" applyAlignment="1">
      <alignment horizontal="justify" vertical="center" wrapText="1"/>
    </xf>
    <xf numFmtId="166" fontId="4" fillId="8" borderId="3" xfId="0" applyNumberFormat="1" applyFont="1" applyFill="1" applyBorder="1" applyAlignment="1">
      <alignment horizontal="center" vertical="center" wrapText="1"/>
    </xf>
    <xf numFmtId="0" fontId="4" fillId="3" borderId="9" xfId="0" applyFont="1" applyFill="1" applyBorder="1" applyAlignment="1">
      <alignment horizontal="justify" vertical="center" wrapText="1"/>
    </xf>
    <xf numFmtId="0" fontId="4" fillId="0" borderId="9" xfId="0" applyFont="1" applyFill="1" applyBorder="1" applyAlignment="1">
      <alignment horizontal="center" vertical="center" wrapText="1"/>
    </xf>
    <xf numFmtId="164" fontId="4" fillId="0" borderId="3" xfId="0" applyNumberFormat="1" applyFont="1" applyFill="1" applyBorder="1" applyAlignment="1">
      <alignment horizontal="right" vertical="center" wrapText="1"/>
    </xf>
    <xf numFmtId="164" fontId="4" fillId="0" borderId="7" xfId="1" applyNumberFormat="1" applyFont="1" applyFill="1" applyBorder="1" applyAlignment="1">
      <alignment horizontal="center" vertical="center" wrapText="1"/>
    </xf>
    <xf numFmtId="0" fontId="15" fillId="0" borderId="3" xfId="0" applyFont="1" applyFill="1" applyBorder="1" applyAlignment="1">
      <alignment horizontal="justify" vertical="center" wrapText="1"/>
    </xf>
    <xf numFmtId="0" fontId="4" fillId="4" borderId="9" xfId="0" applyFont="1" applyFill="1" applyBorder="1" applyAlignment="1">
      <alignment horizontal="center" vertical="center" wrapText="1"/>
    </xf>
    <xf numFmtId="3" fontId="4" fillId="0" borderId="3" xfId="0" applyNumberFormat="1" applyFont="1" applyBorder="1" applyAlignment="1">
      <alignment horizontal="center" vertical="center" wrapText="1"/>
    </xf>
    <xf numFmtId="164" fontId="4" fillId="0" borderId="11" xfId="0" applyNumberFormat="1" applyFont="1" applyBorder="1" applyAlignment="1">
      <alignment vertical="center"/>
    </xf>
    <xf numFmtId="164" fontId="4" fillId="0" borderId="7" xfId="2" applyFont="1" applyBorder="1" applyAlignment="1">
      <alignment vertical="center"/>
    </xf>
    <xf numFmtId="3" fontId="4" fillId="0" borderId="13" xfId="0" applyNumberFormat="1" applyFont="1" applyFill="1" applyBorder="1" applyAlignment="1">
      <alignment horizontal="center" vertical="center" wrapText="1"/>
    </xf>
    <xf numFmtId="164" fontId="4" fillId="0" borderId="13" xfId="1" applyNumberFormat="1" applyFont="1" applyFill="1" applyBorder="1" applyAlignment="1">
      <alignment vertical="center"/>
    </xf>
    <xf numFmtId="0" fontId="4" fillId="0" borderId="12"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7" fillId="8" borderId="2" xfId="0" applyFont="1" applyFill="1" applyBorder="1" applyAlignment="1">
      <alignment vertical="center"/>
    </xf>
    <xf numFmtId="164" fontId="4" fillId="0" borderId="3" xfId="1" applyNumberFormat="1" applyFont="1" applyFill="1" applyBorder="1" applyAlignment="1">
      <alignment horizontal="center" vertical="center"/>
    </xf>
    <xf numFmtId="0" fontId="4" fillId="10" borderId="11" xfId="0" applyFont="1" applyFill="1" applyBorder="1" applyAlignment="1">
      <alignment horizontal="center" vertical="center"/>
    </xf>
    <xf numFmtId="0" fontId="4" fillId="0" borderId="11" xfId="0" applyFont="1" applyFill="1" applyBorder="1" applyAlignment="1">
      <alignment vertical="center" wrapText="1"/>
    </xf>
    <xf numFmtId="0" fontId="7" fillId="8" borderId="7" xfId="0" applyFont="1" applyFill="1" applyBorder="1" applyAlignment="1">
      <alignment vertical="center"/>
    </xf>
    <xf numFmtId="0" fontId="7" fillId="8" borderId="8" xfId="0" applyFont="1" applyFill="1" applyBorder="1" applyAlignment="1">
      <alignment horizontal="center" vertical="center"/>
    </xf>
    <xf numFmtId="164" fontId="7" fillId="8" borderId="8" xfId="0" applyNumberFormat="1" applyFont="1" applyFill="1" applyBorder="1" applyAlignment="1">
      <alignment vertical="center" wrapText="1"/>
    </xf>
    <xf numFmtId="164" fontId="4" fillId="8" borderId="8" xfId="0" applyNumberFormat="1" applyFont="1" applyFill="1" applyBorder="1" applyAlignment="1">
      <alignment vertical="center" wrapText="1"/>
    </xf>
    <xf numFmtId="164" fontId="4" fillId="8" borderId="9" xfId="0" applyNumberFormat="1" applyFont="1" applyFill="1" applyBorder="1" applyAlignment="1">
      <alignment vertical="center" wrapText="1"/>
    </xf>
    <xf numFmtId="0" fontId="4" fillId="0" borderId="8" xfId="0" applyFont="1" applyBorder="1" applyAlignment="1">
      <alignment horizontal="left" vertical="center" wrapText="1"/>
    </xf>
    <xf numFmtId="0" fontId="7" fillId="6" borderId="8" xfId="0" applyFont="1" applyFill="1" applyBorder="1" applyAlignment="1">
      <alignment horizontal="left" vertical="center" wrapText="1"/>
    </xf>
    <xf numFmtId="164" fontId="7" fillId="6" borderId="8" xfId="0" applyNumberFormat="1" applyFont="1" applyFill="1" applyBorder="1" applyAlignment="1">
      <alignment vertical="center"/>
    </xf>
    <xf numFmtId="164" fontId="7" fillId="6" borderId="8" xfId="1" applyNumberFormat="1" applyFont="1" applyFill="1" applyBorder="1" applyAlignment="1">
      <alignment horizontal="center" vertical="center"/>
    </xf>
    <xf numFmtId="164" fontId="7" fillId="6" borderId="9" xfId="0" applyNumberFormat="1" applyFont="1" applyFill="1" applyBorder="1" applyAlignment="1">
      <alignment vertical="center"/>
    </xf>
    <xf numFmtId="0" fontId="4" fillId="8" borderId="3" xfId="2" applyNumberFormat="1" applyFont="1" applyFill="1" applyBorder="1" applyAlignment="1">
      <alignment horizontal="center" vertical="center"/>
    </xf>
    <xf numFmtId="0" fontId="4" fillId="0" borderId="2" xfId="2" applyNumberFormat="1" applyFont="1" applyBorder="1" applyAlignment="1">
      <alignment horizontal="center" vertical="center"/>
    </xf>
    <xf numFmtId="164" fontId="4" fillId="0" borderId="6" xfId="2" applyFont="1" applyBorder="1" applyAlignment="1">
      <alignment horizontal="justify" vertical="center"/>
    </xf>
    <xf numFmtId="164" fontId="4" fillId="0" borderId="6" xfId="1" applyNumberFormat="1" applyFont="1" applyBorder="1" applyAlignment="1">
      <alignment horizontal="center" vertical="center"/>
    </xf>
    <xf numFmtId="164" fontId="7" fillId="8" borderId="2" xfId="0" applyNumberFormat="1" applyFont="1" applyFill="1" applyBorder="1" applyAlignment="1">
      <alignment vertical="center"/>
    </xf>
    <xf numFmtId="164" fontId="7" fillId="8" borderId="2" xfId="1"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7" fillId="4" borderId="2" xfId="0" applyFont="1" applyFill="1" applyBorder="1" applyAlignment="1">
      <alignment horizontal="left" vertical="center"/>
    </xf>
    <xf numFmtId="0" fontId="7" fillId="4" borderId="2" xfId="0" applyFont="1" applyFill="1" applyBorder="1" applyAlignment="1">
      <alignment vertical="center"/>
    </xf>
    <xf numFmtId="0" fontId="7" fillId="4" borderId="2" xfId="0" applyFont="1" applyFill="1" applyBorder="1" applyAlignment="1">
      <alignment horizontal="center" vertical="center"/>
    </xf>
    <xf numFmtId="164" fontId="7" fillId="4" borderId="2" xfId="0" applyNumberFormat="1" applyFont="1" applyFill="1" applyBorder="1" applyAlignment="1">
      <alignment vertical="center"/>
    </xf>
    <xf numFmtId="164" fontId="7" fillId="4" borderId="2" xfId="1" applyNumberFormat="1" applyFont="1" applyFill="1" applyBorder="1" applyAlignment="1">
      <alignment horizontal="center" vertical="center"/>
    </xf>
    <xf numFmtId="164" fontId="7" fillId="4" borderId="14" xfId="0" applyNumberFormat="1" applyFont="1" applyFill="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4" fillId="10" borderId="1" xfId="0" applyFont="1" applyFill="1" applyBorder="1" applyAlignment="1">
      <alignment horizontal="center" vertical="center"/>
    </xf>
    <xf numFmtId="0" fontId="4" fillId="10" borderId="1" xfId="0" applyFont="1" applyFill="1" applyBorder="1" applyAlignment="1">
      <alignment horizontal="justify" vertical="center" wrapText="1"/>
    </xf>
    <xf numFmtId="164" fontId="4" fillId="0" borderId="0" xfId="1" applyNumberFormat="1" applyFont="1" applyBorder="1" applyAlignment="1">
      <alignment horizontal="center" vertical="center"/>
    </xf>
    <xf numFmtId="0" fontId="4" fillId="3" borderId="13" xfId="0" applyFont="1" applyFill="1" applyBorder="1" applyAlignment="1">
      <alignment horizontal="justify" vertical="center" wrapText="1"/>
    </xf>
    <xf numFmtId="0" fontId="4" fillId="3" borderId="13" xfId="0" applyFont="1" applyFill="1" applyBorder="1" applyAlignment="1">
      <alignment horizontal="center" vertical="center" wrapText="1"/>
    </xf>
    <xf numFmtId="0" fontId="7" fillId="3" borderId="7" xfId="0" applyFont="1" applyFill="1" applyBorder="1" applyAlignment="1">
      <alignment horizontal="justify" vertical="center" wrapText="1"/>
    </xf>
    <xf numFmtId="0" fontId="4" fillId="0" borderId="3" xfId="0" applyFont="1" applyFill="1" applyBorder="1" applyAlignment="1">
      <alignment horizontal="justify" vertical="center"/>
    </xf>
    <xf numFmtId="0" fontId="4" fillId="0" borderId="6" xfId="0" applyFont="1" applyBorder="1" applyAlignment="1">
      <alignment horizontal="justify" vertical="center" wrapText="1"/>
    </xf>
    <xf numFmtId="0" fontId="4" fillId="0" borderId="6" xfId="0" applyFont="1" applyBorder="1" applyAlignment="1">
      <alignment horizontal="center" vertical="center"/>
    </xf>
    <xf numFmtId="164" fontId="4" fillId="10" borderId="6" xfId="2" applyFont="1" applyFill="1" applyBorder="1" applyAlignment="1">
      <alignment horizontal="justify" vertical="center"/>
    </xf>
    <xf numFmtId="0" fontId="6" fillId="10" borderId="15" xfId="0" applyFont="1" applyFill="1" applyBorder="1"/>
    <xf numFmtId="0" fontId="7" fillId="4" borderId="3" xfId="0" applyFont="1" applyFill="1" applyBorder="1" applyAlignment="1">
      <alignment horizontal="center" vertical="center" wrapText="1"/>
    </xf>
    <xf numFmtId="0" fontId="4" fillId="8" borderId="3" xfId="0" applyFont="1" applyFill="1" applyBorder="1" applyAlignment="1">
      <alignment horizontal="justify" vertical="center"/>
    </xf>
    <xf numFmtId="0" fontId="4" fillId="0" borderId="4" xfId="0" applyFont="1" applyBorder="1" applyAlignment="1">
      <alignment vertical="center" wrapText="1"/>
    </xf>
    <xf numFmtId="0" fontId="4" fillId="4" borderId="7"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1" xfId="0" applyFont="1" applyFill="1" applyBorder="1" applyAlignment="1">
      <alignment horizontal="center" vertical="center" wrapText="1"/>
    </xf>
    <xf numFmtId="0" fontId="4" fillId="0" borderId="1" xfId="0" applyFont="1" applyBorder="1" applyAlignment="1">
      <alignment horizontal="justify" vertical="center" wrapText="1"/>
    </xf>
    <xf numFmtId="164" fontId="4" fillId="0" borderId="2" xfId="2" applyFont="1" applyBorder="1" applyAlignment="1">
      <alignment horizontal="justify" vertical="center"/>
    </xf>
    <xf numFmtId="164" fontId="4" fillId="10" borderId="2" xfId="2" applyFont="1" applyFill="1" applyBorder="1" applyAlignment="1">
      <alignment horizontal="justify" vertical="center"/>
    </xf>
    <xf numFmtId="164" fontId="5" fillId="0" borderId="2" xfId="1" applyNumberFormat="1" applyFont="1" applyBorder="1" applyAlignment="1">
      <alignment horizontal="center" vertical="center"/>
    </xf>
    <xf numFmtId="0" fontId="7" fillId="4" borderId="8" xfId="0" applyFont="1" applyFill="1" applyBorder="1" applyAlignment="1">
      <alignment horizontal="center" vertical="center" wrapText="1"/>
    </xf>
    <xf numFmtId="164" fontId="4" fillId="0" borderId="11" xfId="1" applyNumberFormat="1" applyFont="1" applyBorder="1" applyAlignment="1">
      <alignment vertical="center"/>
    </xf>
    <xf numFmtId="164" fontId="4" fillId="0" borderId="5" xfId="1" applyNumberFormat="1" applyFont="1" applyBorder="1" applyAlignment="1">
      <alignment horizontal="right" vertical="center" wrapText="1"/>
    </xf>
    <xf numFmtId="164" fontId="7" fillId="0" borderId="5" xfId="0" applyNumberFormat="1" applyFont="1" applyBorder="1" applyAlignment="1">
      <alignment horizontal="left" vertical="center"/>
    </xf>
    <xf numFmtId="164" fontId="4" fillId="0" borderId="11" xfId="1" applyNumberFormat="1" applyFont="1" applyBorder="1" applyAlignment="1">
      <alignment horizontal="right" vertical="center"/>
    </xf>
    <xf numFmtId="164" fontId="4" fillId="0" borderId="5" xfId="2" applyFont="1" applyBorder="1" applyAlignment="1">
      <alignment horizontal="justify" vertical="center"/>
    </xf>
    <xf numFmtId="164" fontId="4" fillId="0" borderId="3" xfId="1" applyNumberFormat="1" applyFont="1" applyBorder="1" applyAlignment="1">
      <alignment vertical="center"/>
    </xf>
    <xf numFmtId="0" fontId="7" fillId="0" borderId="3" xfId="0" applyFont="1" applyBorder="1" applyAlignment="1">
      <alignment horizontal="justify" vertical="center"/>
    </xf>
    <xf numFmtId="0" fontId="7" fillId="0" borderId="6" xfId="0" applyFont="1" applyBorder="1" applyAlignment="1">
      <alignment horizontal="justify" vertical="center"/>
    </xf>
    <xf numFmtId="0" fontId="4" fillId="0" borderId="15" xfId="0" applyFont="1" applyBorder="1" applyAlignment="1">
      <alignment horizontal="center" vertical="center" wrapText="1"/>
    </xf>
    <xf numFmtId="0" fontId="7" fillId="0" borderId="11" xfId="0" applyFont="1" applyBorder="1" applyAlignment="1">
      <alignment horizontal="justify" vertical="center"/>
    </xf>
    <xf numFmtId="0" fontId="4" fillId="0" borderId="3" xfId="0" applyFont="1" applyBorder="1" applyAlignment="1">
      <alignment horizontal="center" vertical="center"/>
    </xf>
    <xf numFmtId="0" fontId="7" fillId="4" borderId="3" xfId="0" applyFont="1" applyFill="1" applyBorder="1" applyAlignment="1">
      <alignment horizontal="justify" vertical="center"/>
    </xf>
    <xf numFmtId="0" fontId="7" fillId="0" borderId="6" xfId="0" applyFont="1" applyBorder="1" applyAlignment="1">
      <alignment horizontal="left" vertical="center" wrapText="1"/>
    </xf>
    <xf numFmtId="0" fontId="7" fillId="6" borderId="7" xfId="0" applyFont="1" applyFill="1" applyBorder="1" applyAlignment="1">
      <alignment horizontal="left" vertical="center" wrapText="1"/>
    </xf>
    <xf numFmtId="0" fontId="4" fillId="10" borderId="13" xfId="0" applyFont="1" applyFill="1" applyBorder="1" applyAlignment="1">
      <alignment horizontal="center" vertical="center"/>
    </xf>
    <xf numFmtId="0" fontId="4" fillId="10" borderId="13" xfId="0" applyFont="1" applyFill="1" applyBorder="1" applyAlignment="1">
      <alignment horizontal="justify" vertical="center" wrapText="1"/>
    </xf>
    <xf numFmtId="0" fontId="7" fillId="3" borderId="3" xfId="0" applyFont="1" applyFill="1" applyBorder="1" applyAlignment="1">
      <alignment horizontal="justify" vertical="center"/>
    </xf>
    <xf numFmtId="0" fontId="7" fillId="9" borderId="3" xfId="0" applyFont="1" applyFill="1" applyBorder="1" applyAlignment="1">
      <alignment horizontal="justify" vertical="center"/>
    </xf>
    <xf numFmtId="0" fontId="7" fillId="0" borderId="8" xfId="0" applyFont="1" applyBorder="1" applyAlignment="1">
      <alignment horizontal="justify" vertical="center"/>
    </xf>
    <xf numFmtId="0" fontId="7" fillId="8" borderId="8" xfId="0" applyFont="1" applyFill="1" applyBorder="1" applyAlignment="1">
      <alignment horizontal="justify" vertical="center" wrapText="1"/>
    </xf>
    <xf numFmtId="164" fontId="4" fillId="0" borderId="13" xfId="2" applyFont="1" applyBorder="1" applyAlignment="1">
      <alignment horizontal="justify" vertical="center"/>
    </xf>
    <xf numFmtId="164" fontId="4" fillId="0" borderId="1" xfId="1" applyNumberFormat="1" applyFont="1" applyBorder="1" applyAlignment="1">
      <alignment horizontal="center" vertical="center"/>
    </xf>
    <xf numFmtId="0" fontId="4" fillId="0" borderId="5" xfId="0" applyFont="1" applyBorder="1" applyAlignment="1">
      <alignment horizontal="center" vertical="center" wrapText="1"/>
    </xf>
    <xf numFmtId="0" fontId="7" fillId="0" borderId="8" xfId="0" applyFont="1" applyBorder="1" applyAlignment="1">
      <alignment horizontal="left" vertical="center" wrapText="1"/>
    </xf>
    <xf numFmtId="0" fontId="11" fillId="0" borderId="0" xfId="0" applyFont="1" applyFill="1" applyBorder="1" applyAlignment="1">
      <alignment vertical="center" wrapText="1"/>
    </xf>
    <xf numFmtId="0" fontId="15" fillId="0" borderId="3" xfId="0" applyFont="1" applyBorder="1" applyAlignment="1">
      <alignment horizontal="justify" vertical="center" wrapText="1"/>
    </xf>
    <xf numFmtId="0" fontId="6" fillId="0" borderId="0" xfId="0" applyFont="1" applyFill="1" applyBorder="1" applyAlignment="1">
      <alignment vertical="center"/>
    </xf>
    <xf numFmtId="164" fontId="4" fillId="0" borderId="8" xfId="2" applyFont="1" applyBorder="1" applyAlignment="1">
      <alignment vertical="center"/>
    </xf>
    <xf numFmtId="0" fontId="11" fillId="7" borderId="8" xfId="0" applyFont="1" applyFill="1" applyBorder="1" applyAlignment="1">
      <alignment horizontal="left" vertical="center" wrapText="1"/>
    </xf>
    <xf numFmtId="0" fontId="11" fillId="7" borderId="8" xfId="0" applyFont="1" applyFill="1" applyBorder="1" applyAlignment="1">
      <alignment horizontal="center" vertical="center" wrapText="1"/>
    </xf>
    <xf numFmtId="164" fontId="7" fillId="7" borderId="8" xfId="0" applyNumberFormat="1" applyFont="1" applyFill="1" applyBorder="1" applyAlignment="1">
      <alignment horizontal="left" vertical="center" wrapText="1"/>
    </xf>
    <xf numFmtId="164" fontId="7" fillId="7" borderId="8" xfId="1" applyNumberFormat="1" applyFont="1" applyFill="1" applyBorder="1" applyAlignment="1">
      <alignment horizontal="center" vertical="center" wrapText="1"/>
    </xf>
    <xf numFmtId="164" fontId="7" fillId="7" borderId="9" xfId="0" applyNumberFormat="1" applyFont="1" applyFill="1" applyBorder="1" applyAlignment="1">
      <alignment horizontal="left" vertical="center" wrapText="1"/>
    </xf>
    <xf numFmtId="168" fontId="6" fillId="0" borderId="7" xfId="0" applyNumberFormat="1" applyFont="1" applyBorder="1" applyAlignment="1">
      <alignment vertical="center"/>
    </xf>
    <xf numFmtId="0" fontId="4" fillId="0" borderId="12" xfId="0" applyFont="1" applyBorder="1" applyAlignment="1">
      <alignment vertical="center" wrapText="1"/>
    </xf>
    <xf numFmtId="0" fontId="4" fillId="0" borderId="15" xfId="0" applyFont="1" applyBorder="1" applyAlignment="1">
      <alignment vertical="center" wrapText="1"/>
    </xf>
    <xf numFmtId="164" fontId="6" fillId="0" borderId="7" xfId="0" applyNumberFormat="1" applyFont="1" applyBorder="1" applyAlignment="1">
      <alignment vertical="center"/>
    </xf>
    <xf numFmtId="164" fontId="4" fillId="0" borderId="3" xfId="0" applyNumberFormat="1" applyFont="1" applyBorder="1" applyAlignment="1">
      <alignment horizontal="center" vertical="center"/>
    </xf>
    <xf numFmtId="164" fontId="4" fillId="8" borderId="3" xfId="0" applyNumberFormat="1" applyFont="1" applyFill="1" applyBorder="1" applyAlignment="1">
      <alignment horizontal="justify" vertical="center" wrapText="1"/>
    </xf>
    <xf numFmtId="164" fontId="4" fillId="0" borderId="8" xfId="0" applyNumberFormat="1" applyFont="1" applyBorder="1" applyAlignment="1">
      <alignment horizontal="justify" vertical="center" wrapText="1"/>
    </xf>
    <xf numFmtId="164" fontId="4" fillId="10" borderId="8" xfId="0" applyNumberFormat="1" applyFont="1" applyFill="1" applyBorder="1" applyAlignment="1">
      <alignment horizontal="justify" vertical="center" wrapText="1"/>
    </xf>
    <xf numFmtId="164" fontId="4" fillId="0" borderId="8" xfId="1" applyNumberFormat="1" applyFont="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justify" vertical="center" wrapText="1"/>
      <protection locked="0"/>
    </xf>
    <xf numFmtId="3" fontId="4" fillId="8" borderId="3" xfId="0" applyNumberFormat="1" applyFont="1" applyFill="1" applyBorder="1" applyAlignment="1">
      <alignment horizontal="justify" vertical="center" wrapText="1"/>
    </xf>
    <xf numFmtId="164" fontId="4" fillId="4" borderId="3" xfId="0" applyNumberFormat="1" applyFont="1" applyFill="1" applyBorder="1" applyAlignment="1">
      <alignment horizontal="justify"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164" fontId="4" fillId="3" borderId="3" xfId="0" applyNumberFormat="1" applyFont="1" applyFill="1" applyBorder="1" applyAlignment="1">
      <alignment vertical="center" wrapText="1"/>
    </xf>
    <xf numFmtId="164" fontId="4" fillId="8" borderId="3" xfId="1" applyFont="1" applyFill="1" applyBorder="1" applyAlignment="1">
      <alignment horizontal="justify" vertical="center" wrapText="1"/>
    </xf>
    <xf numFmtId="0" fontId="6" fillId="0" borderId="3" xfId="0" applyFont="1" applyBorder="1"/>
    <xf numFmtId="0" fontId="6" fillId="10" borderId="3" xfId="0" applyFont="1" applyFill="1" applyBorder="1"/>
    <xf numFmtId="0" fontId="6" fillId="0" borderId="13" xfId="0" applyFont="1" applyBorder="1"/>
    <xf numFmtId="164" fontId="4" fillId="0" borderId="1" xfId="2" applyFont="1" applyBorder="1" applyAlignment="1">
      <alignment horizontal="justify" vertical="center"/>
    </xf>
    <xf numFmtId="164" fontId="4" fillId="0" borderId="1" xfId="1" applyNumberFormat="1" applyFont="1" applyBorder="1" applyAlignment="1">
      <alignment horizontal="right" vertical="center" wrapText="1"/>
    </xf>
    <xf numFmtId="164" fontId="6" fillId="0" borderId="13" xfId="0" applyNumberFormat="1" applyFont="1" applyBorder="1" applyAlignment="1">
      <alignment vertical="center"/>
    </xf>
    <xf numFmtId="0" fontId="7" fillId="8" borderId="8" xfId="0" applyFont="1" applyFill="1" applyBorder="1" applyAlignment="1">
      <alignment horizontal="center" vertical="center" wrapText="1"/>
    </xf>
    <xf numFmtId="0" fontId="4" fillId="8" borderId="8" xfId="0" applyFont="1" applyFill="1" applyBorder="1" applyAlignment="1">
      <alignment horizontal="justify" vertical="center" wrapText="1"/>
    </xf>
    <xf numFmtId="0" fontId="4" fillId="8" borderId="8" xfId="0" applyFont="1" applyFill="1" applyBorder="1" applyAlignment="1">
      <alignment horizontal="center" vertical="center" wrapText="1"/>
    </xf>
    <xf numFmtId="164" fontId="4" fillId="8" borderId="8" xfId="2" applyFont="1" applyFill="1" applyBorder="1" applyAlignment="1">
      <alignment horizontal="justify" vertical="center"/>
    </xf>
    <xf numFmtId="0" fontId="7" fillId="0" borderId="8" xfId="0" applyFont="1" applyBorder="1" applyAlignment="1">
      <alignment horizontal="justify" vertical="center" wrapText="1"/>
    </xf>
    <xf numFmtId="0" fontId="4" fillId="0" borderId="10" xfId="0" applyFont="1" applyFill="1" applyBorder="1" applyAlignment="1">
      <alignment vertical="center"/>
    </xf>
    <xf numFmtId="0" fontId="4" fillId="0" borderId="3" xfId="0" applyFont="1" applyFill="1" applyBorder="1" applyAlignment="1">
      <alignment horizontal="center" vertical="center"/>
    </xf>
    <xf numFmtId="164" fontId="4" fillId="8" borderId="3" xfId="0" applyNumberFormat="1" applyFont="1" applyFill="1" applyBorder="1" applyAlignment="1">
      <alignment horizontal="justify" vertical="center"/>
    </xf>
    <xf numFmtId="164" fontId="4" fillId="0" borderId="8" xfId="0" applyNumberFormat="1" applyFont="1" applyBorder="1" applyAlignment="1">
      <alignment horizontal="justify" vertical="center"/>
    </xf>
    <xf numFmtId="164" fontId="4" fillId="10" borderId="8" xfId="0" applyNumberFormat="1" applyFont="1" applyFill="1" applyBorder="1" applyAlignment="1">
      <alignment horizontal="justify" vertical="center"/>
    </xf>
    <xf numFmtId="164" fontId="4" fillId="0" borderId="9" xfId="0" applyNumberFormat="1" applyFont="1" applyBorder="1" applyAlignment="1">
      <alignment horizontal="justify" vertical="center"/>
    </xf>
    <xf numFmtId="0" fontId="7" fillId="8" borderId="3" xfId="0" applyFont="1" applyFill="1" applyBorder="1" applyAlignment="1">
      <alignment horizontal="justify" vertical="center"/>
    </xf>
    <xf numFmtId="0" fontId="4" fillId="4" borderId="14" xfId="0" applyFont="1" applyFill="1" applyBorder="1" applyAlignment="1">
      <alignment horizontal="justify" vertical="center" wrapText="1"/>
    </xf>
    <xf numFmtId="164" fontId="4" fillId="4" borderId="13" xfId="2" applyFont="1" applyFill="1" applyBorder="1" applyAlignment="1">
      <alignment horizontal="justify" vertical="center"/>
    </xf>
    <xf numFmtId="0" fontId="4" fillId="0" borderId="5" xfId="0" applyFont="1" applyBorder="1" applyAlignment="1">
      <alignment horizontal="justify" vertical="center" wrapText="1"/>
    </xf>
    <xf numFmtId="0" fontId="7" fillId="0" borderId="7" xfId="0" applyFont="1" applyBorder="1" applyAlignment="1">
      <alignment vertical="center" wrapText="1"/>
    </xf>
    <xf numFmtId="0" fontId="7" fillId="0" borderId="4" xfId="0" applyFont="1" applyFill="1" applyBorder="1" applyAlignment="1">
      <alignment vertical="center" wrapText="1"/>
    </xf>
    <xf numFmtId="0" fontId="4" fillId="10" borderId="6" xfId="0" applyFont="1" applyFill="1" applyBorder="1" applyAlignment="1">
      <alignment horizontal="justify" vertical="center" wrapText="1"/>
    </xf>
    <xf numFmtId="0" fontId="4" fillId="0" borderId="7" xfId="0" applyFont="1" applyFill="1" applyBorder="1" applyAlignment="1">
      <alignment horizontal="center" vertical="center" wrapText="1"/>
    </xf>
    <xf numFmtId="164" fontId="4" fillId="0" borderId="13" xfId="2" applyFont="1" applyFill="1" applyBorder="1" applyAlignment="1">
      <alignment horizontal="justify" vertical="center"/>
    </xf>
    <xf numFmtId="164" fontId="4" fillId="0" borderId="1" xfId="2" applyFont="1" applyFill="1" applyBorder="1" applyAlignment="1">
      <alignment horizontal="justify" vertical="center"/>
    </xf>
    <xf numFmtId="164" fontId="4" fillId="0" borderId="1" xfId="1" applyNumberFormat="1" applyFont="1" applyFill="1" applyBorder="1" applyAlignment="1">
      <alignment horizontal="right" vertical="center" wrapText="1"/>
    </xf>
    <xf numFmtId="164" fontId="4" fillId="3" borderId="13" xfId="2" applyFont="1" applyFill="1" applyBorder="1" applyAlignment="1">
      <alignment horizontal="justify" vertical="center"/>
    </xf>
    <xf numFmtId="164" fontId="16" fillId="0" borderId="3" xfId="2" applyFont="1" applyFill="1" applyBorder="1" applyAlignment="1">
      <alignment horizontal="justify" vertical="center"/>
    </xf>
    <xf numFmtId="164" fontId="4" fillId="0" borderId="4" xfId="2" applyFont="1" applyFill="1" applyBorder="1" applyAlignment="1">
      <alignment horizontal="justify" vertical="center"/>
    </xf>
    <xf numFmtId="164" fontId="6" fillId="0" borderId="4" xfId="1" applyFont="1" applyFill="1" applyBorder="1" applyAlignment="1">
      <alignment horizontal="center" vertical="center"/>
    </xf>
    <xf numFmtId="164" fontId="7" fillId="0" borderId="7" xfId="2" applyFont="1" applyFill="1" applyBorder="1" applyAlignment="1">
      <alignment horizontal="justify" vertical="center"/>
    </xf>
    <xf numFmtId="164" fontId="15" fillId="0" borderId="7" xfId="2" applyFont="1" applyFill="1" applyBorder="1" applyAlignment="1">
      <alignment horizontal="justify" vertical="center"/>
    </xf>
    <xf numFmtId="164" fontId="6" fillId="0" borderId="7" xfId="1" applyFont="1" applyFill="1" applyBorder="1" applyAlignment="1">
      <alignment vertical="center"/>
    </xf>
    <xf numFmtId="3" fontId="4" fillId="8" borderId="3" xfId="0" applyNumberFormat="1" applyFont="1" applyFill="1" applyBorder="1" applyAlignment="1">
      <alignment horizontal="center" vertical="center" wrapText="1"/>
    </xf>
    <xf numFmtId="164" fontId="4" fillId="8" borderId="3" xfId="1" applyNumberFormat="1" applyFont="1" applyFill="1" applyBorder="1" applyAlignment="1">
      <alignment horizontal="center" vertical="center" wrapText="1"/>
    </xf>
    <xf numFmtId="164" fontId="7" fillId="8" borderId="3" xfId="2" applyFont="1" applyFill="1" applyBorder="1" applyAlignment="1">
      <alignment horizontal="justify" vertical="center"/>
    </xf>
    <xf numFmtId="3" fontId="4" fillId="0" borderId="2" xfId="0" applyNumberFormat="1" applyFont="1" applyBorder="1" applyAlignment="1">
      <alignment horizontal="center" vertical="center" wrapText="1"/>
    </xf>
    <xf numFmtId="164" fontId="17" fillId="10" borderId="0" xfId="0" applyNumberFormat="1" applyFont="1" applyFill="1" applyBorder="1"/>
    <xf numFmtId="164" fontId="7" fillId="8" borderId="8" xfId="1" applyNumberFormat="1" applyFont="1" applyFill="1" applyBorder="1" applyAlignment="1">
      <alignment vertical="center"/>
    </xf>
    <xf numFmtId="164" fontId="14" fillId="0" borderId="3" xfId="2" applyFont="1" applyFill="1" applyBorder="1" applyAlignment="1">
      <alignment horizontal="justify" vertical="center"/>
    </xf>
    <xf numFmtId="3" fontId="4" fillId="0" borderId="8" xfId="0" applyNumberFormat="1" applyFont="1" applyBorder="1" applyAlignment="1">
      <alignment horizontal="center" vertical="center" wrapText="1"/>
    </xf>
    <xf numFmtId="164" fontId="7" fillId="8" borderId="9" xfId="1" applyNumberFormat="1" applyFont="1" applyFill="1" applyBorder="1" applyAlignment="1">
      <alignment vertical="center"/>
    </xf>
    <xf numFmtId="3" fontId="4" fillId="0" borderId="3" xfId="0" applyNumberFormat="1" applyFont="1" applyBorder="1" applyAlignment="1">
      <alignment horizontal="left" vertical="center" wrapText="1"/>
    </xf>
    <xf numFmtId="3" fontId="4" fillId="4" borderId="3" xfId="0" applyNumberFormat="1" applyFont="1" applyFill="1" applyBorder="1" applyAlignment="1">
      <alignment horizontal="center" vertical="center" wrapText="1"/>
    </xf>
    <xf numFmtId="0" fontId="7" fillId="8" borderId="14" xfId="0" applyFont="1" applyFill="1" applyBorder="1" applyAlignment="1">
      <alignment horizontal="justify"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justify" vertical="center"/>
    </xf>
    <xf numFmtId="0" fontId="4" fillId="0" borderId="12" xfId="0" applyFont="1" applyFill="1" applyBorder="1" applyAlignment="1">
      <alignment vertical="center" wrapText="1"/>
    </xf>
    <xf numFmtId="164" fontId="14" fillId="0" borderId="3" xfId="0" applyNumberFormat="1" applyFont="1" applyFill="1" applyBorder="1" applyAlignment="1">
      <alignment vertical="center"/>
    </xf>
    <xf numFmtId="164" fontId="18" fillId="0" borderId="3" xfId="2" applyFont="1" applyBorder="1" applyAlignment="1">
      <alignment horizontal="justify" vertical="center"/>
    </xf>
    <xf numFmtId="0" fontId="4" fillId="8" borderId="9" xfId="0" applyFont="1" applyFill="1" applyBorder="1" applyAlignment="1">
      <alignment horizontal="justify" vertical="center" wrapText="1"/>
    </xf>
    <xf numFmtId="3" fontId="4" fillId="8" borderId="3" xfId="0" applyNumberFormat="1" applyFont="1" applyFill="1" applyBorder="1" applyAlignment="1">
      <alignment horizontal="center" vertical="center"/>
    </xf>
    <xf numFmtId="3" fontId="4" fillId="0" borderId="3" xfId="0" applyNumberFormat="1" applyFont="1" applyFill="1" applyBorder="1" applyAlignment="1">
      <alignment horizontal="left" vertical="center"/>
    </xf>
    <xf numFmtId="164" fontId="4" fillId="0" borderId="10" xfId="2" applyFont="1" applyFill="1" applyBorder="1" applyAlignment="1">
      <alignment horizontal="justify" vertical="center"/>
    </xf>
    <xf numFmtId="164" fontId="15" fillId="0" borderId="10" xfId="2" applyFont="1" applyFill="1" applyBorder="1" applyAlignment="1">
      <alignment horizontal="justify" vertical="center" wrapText="1"/>
    </xf>
    <xf numFmtId="3" fontId="4" fillId="0" borderId="0" xfId="0" applyNumberFormat="1" applyFont="1" applyBorder="1" applyAlignment="1">
      <alignment horizontal="center" vertical="center" wrapText="1"/>
    </xf>
    <xf numFmtId="3" fontId="4" fillId="0" borderId="11" xfId="0" applyNumberFormat="1" applyFont="1" applyFill="1" applyBorder="1" applyAlignment="1">
      <alignment horizontal="left" vertical="center"/>
    </xf>
    <xf numFmtId="164" fontId="4" fillId="0" borderId="7" xfId="1"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4" fillId="2" borderId="13" xfId="0" applyFont="1" applyFill="1" applyBorder="1" applyAlignment="1">
      <alignment horizontal="justify" vertical="center" wrapText="1"/>
    </xf>
    <xf numFmtId="0" fontId="6" fillId="0" borderId="0" xfId="0" applyFont="1" applyFill="1" applyBorder="1" applyAlignment="1">
      <alignment horizontal="left" vertical="center" wrapText="1"/>
    </xf>
    <xf numFmtId="164" fontId="4" fillId="0" borderId="13" xfId="1" applyNumberFormat="1" applyFont="1" applyFill="1" applyBorder="1" applyAlignment="1">
      <alignment horizontal="center" vertical="center"/>
    </xf>
    <xf numFmtId="3" fontId="4" fillId="0" borderId="3" xfId="0" applyNumberFormat="1" applyFont="1" applyFill="1" applyBorder="1" applyAlignment="1">
      <alignment vertical="center"/>
    </xf>
    <xf numFmtId="164" fontId="15" fillId="0" borderId="3" xfId="2" applyFont="1" applyFill="1" applyBorder="1" applyAlignment="1">
      <alignment horizontal="justify" vertical="center"/>
    </xf>
    <xf numFmtId="0" fontId="4" fillId="8" borderId="11" xfId="0" applyFont="1" applyFill="1" applyBorder="1" applyAlignment="1">
      <alignment horizontal="justify" vertical="center" wrapText="1"/>
    </xf>
    <xf numFmtId="0" fontId="4" fillId="8" borderId="11" xfId="0" applyFont="1" applyFill="1" applyBorder="1" applyAlignment="1">
      <alignment horizontal="center" vertical="center" wrapText="1"/>
    </xf>
    <xf numFmtId="3" fontId="4" fillId="8" borderId="11" xfId="0" applyNumberFormat="1" applyFont="1" applyFill="1" applyBorder="1" applyAlignment="1">
      <alignment horizontal="center" vertical="center"/>
    </xf>
    <xf numFmtId="164" fontId="4" fillId="8" borderId="11" xfId="2" applyFont="1" applyFill="1" applyBorder="1" applyAlignment="1">
      <alignment horizontal="justify" vertical="center"/>
    </xf>
    <xf numFmtId="0" fontId="4" fillId="4" borderId="15" xfId="0" applyFont="1" applyFill="1" applyBorder="1" applyAlignment="1">
      <alignment horizontal="justify" vertical="center" wrapText="1"/>
    </xf>
    <xf numFmtId="3" fontId="4" fillId="4" borderId="3" xfId="0" applyNumberFormat="1" applyFont="1" applyFill="1" applyBorder="1" applyAlignment="1">
      <alignment horizontal="center" vertical="center"/>
    </xf>
    <xf numFmtId="0" fontId="6" fillId="10" borderId="12" xfId="0" applyFont="1" applyFill="1" applyBorder="1" applyAlignment="1">
      <alignment horizontal="left" vertical="center" wrapText="1"/>
    </xf>
    <xf numFmtId="164" fontId="4" fillId="0" borderId="3" xfId="0" applyNumberFormat="1" applyFont="1" applyBorder="1" applyAlignment="1">
      <alignment horizontal="justify" vertical="center" wrapText="1"/>
    </xf>
    <xf numFmtId="164" fontId="4" fillId="0" borderId="7" xfId="0" applyNumberFormat="1" applyFont="1" applyBorder="1" applyAlignment="1">
      <alignment horizontal="justify" vertical="center" wrapText="1"/>
    </xf>
    <xf numFmtId="0" fontId="4" fillId="10" borderId="11" xfId="0" applyFont="1" applyFill="1" applyBorder="1" applyAlignment="1">
      <alignment vertical="center" wrapText="1"/>
    </xf>
    <xf numFmtId="164" fontId="4" fillId="10" borderId="3" xfId="0" applyNumberFormat="1" applyFont="1" applyFill="1" applyBorder="1" applyAlignment="1">
      <alignment horizontal="justify" vertical="center" wrapText="1"/>
    </xf>
    <xf numFmtId="164" fontId="4" fillId="10" borderId="7" xfId="0" applyNumberFormat="1" applyFont="1" applyFill="1" applyBorder="1" applyAlignment="1">
      <alignment horizontal="justify" vertical="center" wrapText="1"/>
    </xf>
    <xf numFmtId="164" fontId="4" fillId="8" borderId="3"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justify" vertical="center" wrapText="1"/>
    </xf>
    <xf numFmtId="3" fontId="4" fillId="0" borderId="3" xfId="0" applyNumberFormat="1" applyFont="1" applyFill="1" applyBorder="1" applyAlignment="1">
      <alignment horizontal="center" vertical="center"/>
    </xf>
    <xf numFmtId="164" fontId="4" fillId="0" borderId="3" xfId="0" applyNumberFormat="1" applyFont="1" applyFill="1" applyBorder="1" applyAlignment="1">
      <alignment horizontal="justify" vertical="center" wrapText="1"/>
    </xf>
    <xf numFmtId="164" fontId="4" fillId="0" borderId="3" xfId="2" applyFont="1" applyFill="1" applyBorder="1" applyAlignment="1">
      <alignment horizontal="justify" vertical="center" wrapText="1"/>
    </xf>
    <xf numFmtId="164" fontId="4" fillId="0" borderId="7" xfId="0" applyNumberFormat="1" applyFont="1" applyFill="1" applyBorder="1" applyAlignment="1">
      <alignment horizontal="justify" vertical="center" wrapText="1"/>
    </xf>
    <xf numFmtId="0" fontId="4" fillId="0" borderId="3" xfId="2"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164" fontId="4" fillId="0" borderId="3" xfId="0" applyNumberFormat="1" applyFont="1" applyFill="1" applyBorder="1" applyAlignment="1">
      <alignment horizontal="right" vertical="center"/>
    </xf>
    <xf numFmtId="9" fontId="4" fillId="8" borderId="3" xfId="3"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164" fontId="4" fillId="0" borderId="8" xfId="2" applyFont="1" applyFill="1" applyBorder="1" applyAlignment="1">
      <alignment horizontal="justify" vertical="center"/>
    </xf>
    <xf numFmtId="164" fontId="4" fillId="0" borderId="0" xfId="2" applyFont="1" applyFill="1" applyBorder="1" applyAlignment="1">
      <alignment horizontal="justify" vertical="center"/>
    </xf>
    <xf numFmtId="164" fontId="4" fillId="0" borderId="0" xfId="1" applyNumberFormat="1" applyFont="1" applyFill="1" applyBorder="1" applyAlignment="1">
      <alignment horizontal="center" vertical="center"/>
    </xf>
    <xf numFmtId="0" fontId="6" fillId="0" borderId="12" xfId="0" applyFont="1" applyFill="1" applyBorder="1"/>
    <xf numFmtId="164" fontId="4" fillId="0" borderId="3" xfId="0" applyNumberFormat="1" applyFont="1" applyFill="1" applyBorder="1"/>
    <xf numFmtId="164" fontId="14" fillId="0" borderId="3" xfId="0" applyNumberFormat="1" applyFont="1" applyFill="1" applyBorder="1" applyAlignment="1">
      <alignment horizontal="left" vertical="center" wrapText="1"/>
    </xf>
    <xf numFmtId="164" fontId="4" fillId="0" borderId="3" xfId="0" applyNumberFormat="1" applyFont="1" applyFill="1" applyBorder="1" applyAlignment="1">
      <alignment horizontal="left" vertical="center" wrapText="1"/>
    </xf>
    <xf numFmtId="0" fontId="7" fillId="0" borderId="10" xfId="0" applyFont="1" applyBorder="1" applyAlignment="1">
      <alignment horizontal="right" vertical="center" wrapText="1"/>
    </xf>
    <xf numFmtId="0" fontId="7" fillId="0" borderId="11" xfId="0" applyFont="1" applyBorder="1" applyAlignment="1">
      <alignment horizontal="right" vertical="center" wrapText="1"/>
    </xf>
    <xf numFmtId="0" fontId="4" fillId="0" borderId="3" xfId="0" applyFont="1" applyFill="1" applyBorder="1" applyAlignment="1">
      <alignment horizontal="right" vertical="center" wrapText="1"/>
    </xf>
    <xf numFmtId="0" fontId="4" fillId="8" borderId="3" xfId="0" applyFont="1" applyFill="1" applyBorder="1" applyAlignment="1">
      <alignment horizontal="right" vertical="center" wrapText="1"/>
    </xf>
    <xf numFmtId="3" fontId="4" fillId="8" borderId="3"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4" fillId="4" borderId="9" xfId="0" applyFont="1" applyFill="1" applyBorder="1" applyAlignment="1">
      <alignment horizontal="right" vertical="center" wrapText="1"/>
    </xf>
    <xf numFmtId="0" fontId="4" fillId="4" borderId="3" xfId="0" applyFont="1" applyFill="1" applyBorder="1" applyAlignment="1">
      <alignment horizontal="right" vertical="center" wrapText="1"/>
    </xf>
    <xf numFmtId="3" fontId="4" fillId="4" borderId="3" xfId="0" applyNumberFormat="1" applyFont="1" applyFill="1" applyBorder="1" applyAlignment="1">
      <alignment horizontal="right" vertical="center"/>
    </xf>
    <xf numFmtId="164" fontId="4" fillId="4" borderId="3" xfId="0" applyNumberFormat="1" applyFont="1" applyFill="1" applyBorder="1" applyAlignment="1">
      <alignment horizontal="right" vertical="center" wrapText="1"/>
    </xf>
    <xf numFmtId="0" fontId="6" fillId="0" borderId="0" xfId="0" applyFont="1" applyFill="1" applyBorder="1" applyAlignment="1">
      <alignment horizontal="right"/>
    </xf>
    <xf numFmtId="49" fontId="4" fillId="0" borderId="9" xfId="0" applyNumberFormat="1" applyFont="1" applyFill="1" applyBorder="1" applyAlignment="1">
      <alignment horizontal="center" vertical="center" wrapText="1"/>
    </xf>
    <xf numFmtId="49" fontId="4" fillId="0" borderId="3" xfId="0" applyNumberFormat="1" applyFont="1" applyFill="1" applyBorder="1" applyAlignment="1">
      <alignment horizontal="justify" vertical="center" wrapText="1"/>
    </xf>
    <xf numFmtId="49" fontId="4" fillId="4" borderId="9" xfId="0" applyNumberFormat="1" applyFont="1" applyFill="1" applyBorder="1" applyAlignment="1">
      <alignment horizontal="justify" vertical="center" wrapText="1"/>
    </xf>
    <xf numFmtId="49" fontId="4" fillId="4" borderId="3" xfId="0" applyNumberFormat="1" applyFont="1" applyFill="1" applyBorder="1" applyAlignment="1">
      <alignment horizontal="center" vertical="center" wrapText="1"/>
    </xf>
    <xf numFmtId="49" fontId="4" fillId="4" borderId="3" xfId="0" applyNumberFormat="1" applyFont="1" applyFill="1" applyBorder="1" applyAlignment="1">
      <alignment horizontal="justify" vertical="center" wrapText="1"/>
    </xf>
    <xf numFmtId="49" fontId="4" fillId="3" borderId="3" xfId="0" applyNumberFormat="1" applyFont="1" applyFill="1" applyBorder="1" applyAlignment="1">
      <alignment horizontal="justify" vertical="center" wrapText="1"/>
    </xf>
    <xf numFmtId="49"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164" fontId="19" fillId="0" borderId="8" xfId="2" applyFont="1" applyBorder="1" applyAlignment="1">
      <alignment horizontal="justify" vertical="center"/>
    </xf>
    <xf numFmtId="164" fontId="7" fillId="7" borderId="3" xfId="0" applyNumberFormat="1" applyFont="1" applyFill="1" applyBorder="1" applyAlignment="1">
      <alignment horizontal="left" vertical="center"/>
    </xf>
    <xf numFmtId="164" fontId="7" fillId="3" borderId="3" xfId="0" applyNumberFormat="1" applyFont="1" applyFill="1" applyBorder="1" applyAlignment="1">
      <alignment vertical="center"/>
    </xf>
    <xf numFmtId="164" fontId="7" fillId="4" borderId="3" xfId="0" applyNumberFormat="1" applyFont="1" applyFill="1" applyBorder="1" applyAlignment="1">
      <alignment vertical="center"/>
    </xf>
    <xf numFmtId="0" fontId="7" fillId="0" borderId="3" xfId="0" applyFont="1" applyBorder="1" applyAlignment="1">
      <alignment vertical="center" wrapText="1"/>
    </xf>
    <xf numFmtId="164" fontId="7" fillId="8" borderId="3" xfId="0" applyNumberFormat="1" applyFont="1" applyFill="1" applyBorder="1" applyAlignment="1">
      <alignment vertical="center"/>
    </xf>
    <xf numFmtId="0" fontId="4" fillId="10" borderId="10" xfId="0" applyFont="1" applyFill="1" applyBorder="1" applyAlignment="1">
      <alignment horizontal="center" vertical="center"/>
    </xf>
    <xf numFmtId="49" fontId="4" fillId="0" borderId="8" xfId="0" applyNumberFormat="1" applyFont="1" applyBorder="1" applyAlignment="1">
      <alignment horizontal="justify" vertical="center" wrapText="1"/>
    </xf>
    <xf numFmtId="49" fontId="4" fillId="0" borderId="8" xfId="0" applyNumberFormat="1" applyFont="1" applyBorder="1" applyAlignment="1">
      <alignment horizontal="center" vertical="center" wrapText="1"/>
    </xf>
    <xf numFmtId="49" fontId="4" fillId="2" borderId="13" xfId="0" applyNumberFormat="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164" fontId="7" fillId="8" borderId="8" xfId="0" applyNumberFormat="1" applyFont="1" applyFill="1" applyBorder="1" applyAlignment="1">
      <alignment horizontal="left" vertical="center"/>
    </xf>
    <xf numFmtId="0" fontId="4" fillId="10" borderId="10" xfId="0" applyFont="1" applyFill="1" applyBorder="1" applyAlignment="1">
      <alignment horizontal="justify" vertical="center" wrapText="1"/>
    </xf>
    <xf numFmtId="49" fontId="4" fillId="2" borderId="10" xfId="0" applyNumberFormat="1" applyFont="1" applyFill="1" applyBorder="1" applyAlignment="1">
      <alignment vertical="center" wrapText="1"/>
    </xf>
    <xf numFmtId="0" fontId="4" fillId="10" borderId="4" xfId="0" applyFont="1" applyFill="1" applyBorder="1" applyAlignment="1">
      <alignment horizontal="center" vertical="center"/>
    </xf>
    <xf numFmtId="0" fontId="4" fillId="10" borderId="4" xfId="0" applyFont="1" applyFill="1" applyBorder="1" applyAlignment="1">
      <alignment horizontal="justify" vertical="center" wrapText="1"/>
    </xf>
    <xf numFmtId="49" fontId="4" fillId="2" borderId="11" xfId="0" applyNumberFormat="1" applyFont="1" applyFill="1" applyBorder="1" applyAlignment="1">
      <alignment vertical="center" wrapText="1"/>
    </xf>
    <xf numFmtId="49" fontId="4" fillId="0" borderId="10" xfId="0" applyNumberFormat="1" applyFont="1" applyBorder="1" applyAlignment="1">
      <alignment vertical="center" wrapText="1"/>
    </xf>
    <xf numFmtId="0" fontId="4" fillId="10" borderId="3" xfId="0" applyFont="1" applyFill="1" applyBorder="1" applyAlignment="1">
      <alignment horizontal="justify" vertical="center"/>
    </xf>
    <xf numFmtId="0" fontId="4" fillId="10" borderId="9" xfId="0" applyFont="1" applyFill="1" applyBorder="1" applyAlignment="1">
      <alignment horizontal="center" vertical="center" wrapText="1"/>
    </xf>
    <xf numFmtId="0" fontId="4" fillId="10" borderId="14"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15" fillId="0" borderId="3" xfId="0" applyFont="1" applyBorder="1" applyAlignment="1">
      <alignment vertical="center" wrapText="1"/>
    </xf>
    <xf numFmtId="0" fontId="4" fillId="8" borderId="3" xfId="0" applyFont="1" applyFill="1" applyBorder="1" applyAlignment="1">
      <alignment vertical="center" wrapText="1"/>
    </xf>
    <xf numFmtId="0" fontId="4" fillId="4" borderId="3" xfId="0" applyFont="1" applyFill="1" applyBorder="1" applyAlignment="1">
      <alignment vertical="center" wrapText="1"/>
    </xf>
    <xf numFmtId="0" fontId="4" fillId="9" borderId="3" xfId="0" applyFont="1" applyFill="1" applyBorder="1" applyAlignment="1">
      <alignment horizontal="justify" vertical="center"/>
    </xf>
    <xf numFmtId="164" fontId="4" fillId="0" borderId="3" xfId="0" applyNumberFormat="1" applyFont="1" applyBorder="1" applyAlignment="1">
      <alignment horizontal="right" vertical="center" wrapText="1"/>
    </xf>
    <xf numFmtId="0" fontId="7" fillId="4" borderId="2" xfId="0" applyFont="1" applyFill="1" applyBorder="1" applyAlignment="1">
      <alignment horizontal="justify" vertical="center" wrapText="1"/>
    </xf>
    <xf numFmtId="164" fontId="4" fillId="10" borderId="3" xfId="2" applyFont="1" applyFill="1" applyBorder="1" applyAlignment="1">
      <alignment horizontal="right" vertical="center"/>
    </xf>
    <xf numFmtId="164" fontId="4" fillId="0" borderId="3" xfId="2" applyFont="1" applyBorder="1" applyAlignment="1">
      <alignment horizontal="right" vertical="center"/>
    </xf>
    <xf numFmtId="0" fontId="15" fillId="0" borderId="13" xfId="0" applyFont="1" applyBorder="1" applyAlignment="1">
      <alignment horizontal="justify" vertical="center" wrapText="1"/>
    </xf>
    <xf numFmtId="0" fontId="4" fillId="8" borderId="3" xfId="2" applyNumberFormat="1" applyFont="1" applyFill="1" applyBorder="1" applyAlignment="1">
      <alignment horizontal="center" vertical="center" wrapText="1"/>
    </xf>
    <xf numFmtId="0" fontId="15" fillId="0" borderId="13" xfId="0" applyFont="1" applyBorder="1" applyAlignment="1">
      <alignment vertical="center" wrapText="1"/>
    </xf>
    <xf numFmtId="0" fontId="4" fillId="0" borderId="13" xfId="0" applyFont="1" applyBorder="1" applyAlignment="1">
      <alignment vertical="center"/>
    </xf>
    <xf numFmtId="0" fontId="4" fillId="0" borderId="10" xfId="0" applyFont="1" applyBorder="1" applyAlignment="1">
      <alignment vertical="center"/>
    </xf>
    <xf numFmtId="0" fontId="15" fillId="0" borderId="3" xfId="0" applyFont="1" applyFill="1" applyBorder="1" applyAlignment="1">
      <alignment vertical="center" wrapText="1"/>
    </xf>
    <xf numFmtId="0" fontId="4" fillId="11" borderId="9" xfId="0" applyFont="1" applyFill="1" applyBorder="1" applyAlignment="1">
      <alignment horizontal="center" vertical="center" wrapText="1"/>
    </xf>
    <xf numFmtId="0" fontId="4" fillId="11" borderId="3" xfId="0" applyFont="1" applyFill="1" applyBorder="1" applyAlignment="1">
      <alignment horizontal="justify" vertical="center" wrapText="1"/>
    </xf>
    <xf numFmtId="0" fontId="21" fillId="0" borderId="3" xfId="0" applyFont="1" applyBorder="1" applyAlignment="1">
      <alignment horizontal="justify" vertical="center" wrapText="1"/>
    </xf>
    <xf numFmtId="0" fontId="4" fillId="0"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5" fillId="0" borderId="11" xfId="0" applyFont="1" applyBorder="1" applyAlignment="1">
      <alignment horizontal="justify" vertical="center" wrapText="1"/>
    </xf>
    <xf numFmtId="0" fontId="4" fillId="10" borderId="11" xfId="0" applyFont="1" applyFill="1" applyBorder="1" applyAlignment="1">
      <alignment horizontal="justify" vertical="center" wrapText="1"/>
    </xf>
    <xf numFmtId="0" fontId="15" fillId="0" borderId="14"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64" fontId="4" fillId="8" borderId="7" xfId="1" applyNumberFormat="1" applyFont="1" applyFill="1" applyBorder="1" applyAlignment="1">
      <alignment horizontal="center" vertical="center"/>
    </xf>
    <xf numFmtId="164" fontId="4" fillId="8" borderId="7" xfId="2" applyFont="1" applyFill="1" applyBorder="1" applyAlignment="1">
      <alignment horizontal="justify" vertical="center"/>
    </xf>
    <xf numFmtId="164" fontId="4" fillId="0" borderId="3" xfId="2" applyFont="1" applyFill="1" applyBorder="1" applyAlignment="1">
      <alignment horizontal="right" vertical="center"/>
    </xf>
    <xf numFmtId="164" fontId="4" fillId="0" borderId="12" xfId="1" applyNumberFormat="1" applyFont="1" applyBorder="1" applyAlignment="1">
      <alignment horizontal="center" vertical="center"/>
    </xf>
    <xf numFmtId="0" fontId="11" fillId="7" borderId="5" xfId="0" applyFont="1" applyFill="1" applyBorder="1" applyAlignment="1">
      <alignment horizontal="left" vertical="center"/>
    </xf>
    <xf numFmtId="0" fontId="11" fillId="7" borderId="6" xfId="0" applyFont="1" applyFill="1" applyBorder="1" applyAlignment="1">
      <alignment horizontal="left" vertical="center"/>
    </xf>
    <xf numFmtId="0" fontId="11" fillId="7" borderId="6" xfId="0" applyFont="1" applyFill="1" applyBorder="1" applyAlignment="1">
      <alignment horizontal="center" vertical="center"/>
    </xf>
    <xf numFmtId="0" fontId="7" fillId="7" borderId="6" xfId="0" applyFont="1" applyFill="1" applyBorder="1" applyAlignment="1">
      <alignment horizontal="center" vertical="center"/>
    </xf>
    <xf numFmtId="166" fontId="7" fillId="7" borderId="15" xfId="0" applyNumberFormat="1" applyFont="1" applyFill="1" applyBorder="1" applyAlignment="1">
      <alignment horizontal="left" vertical="center"/>
    </xf>
    <xf numFmtId="164" fontId="6" fillId="0" borderId="3" xfId="0" applyNumberFormat="1" applyFont="1" applyFill="1" applyBorder="1" applyAlignment="1">
      <alignment vertical="center"/>
    </xf>
    <xf numFmtId="0" fontId="7" fillId="12" borderId="8"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4" fillId="12" borderId="3" xfId="0" applyFont="1" applyFill="1" applyBorder="1" applyAlignment="1">
      <alignment horizontal="center" vertical="center" wrapText="1"/>
    </xf>
    <xf numFmtId="164" fontId="7" fillId="12" borderId="3" xfId="2" applyFont="1" applyFill="1" applyBorder="1" applyAlignment="1">
      <alignment horizontal="justify" vertical="center"/>
    </xf>
    <xf numFmtId="0" fontId="7" fillId="0" borderId="0" xfId="0" applyFont="1" applyBorder="1" applyAlignment="1">
      <alignment horizontal="center" vertical="center" wrapText="1"/>
    </xf>
    <xf numFmtId="164" fontId="7" fillId="0" borderId="0" xfId="2" applyFont="1" applyBorder="1" applyAlignment="1">
      <alignment horizontal="justify" vertical="center"/>
    </xf>
    <xf numFmtId="164" fontId="5" fillId="0" borderId="0" xfId="2" applyFont="1" applyBorder="1" applyAlignment="1">
      <alignment horizontal="justify" vertical="center"/>
    </xf>
    <xf numFmtId="164" fontId="6" fillId="10" borderId="12" xfId="0" applyNumberFormat="1" applyFont="1" applyFill="1" applyBorder="1"/>
    <xf numFmtId="0" fontId="22" fillId="7" borderId="7" xfId="0" applyFont="1" applyFill="1" applyBorder="1" applyAlignment="1">
      <alignment horizontal="left" vertical="center"/>
    </xf>
    <xf numFmtId="0" fontId="22" fillId="7" borderId="8" xfId="0" applyFont="1" applyFill="1" applyBorder="1" applyAlignment="1">
      <alignment horizontal="left" vertical="center"/>
    </xf>
    <xf numFmtId="0" fontId="22" fillId="7" borderId="8" xfId="0" applyFont="1" applyFill="1" applyBorder="1" applyAlignment="1">
      <alignment horizontal="center" vertical="center"/>
    </xf>
    <xf numFmtId="164" fontId="14" fillId="0" borderId="7" xfId="0" applyNumberFormat="1" applyFont="1" applyBorder="1" applyAlignment="1">
      <alignment horizontal="center" vertical="center" wrapText="1"/>
    </xf>
    <xf numFmtId="164" fontId="4" fillId="8" borderId="3" xfId="0" applyNumberFormat="1" applyFont="1" applyFill="1" applyBorder="1" applyAlignment="1">
      <alignment horizontal="center" vertical="center"/>
    </xf>
    <xf numFmtId="164" fontId="4" fillId="0" borderId="7" xfId="1" applyNumberFormat="1" applyFont="1" applyBorder="1" applyAlignment="1">
      <alignment horizontal="right" vertical="center"/>
    </xf>
    <xf numFmtId="0" fontId="6" fillId="0" borderId="3" xfId="0" applyFont="1" applyBorder="1" applyAlignment="1">
      <alignment horizontal="justify" vertical="center"/>
    </xf>
    <xf numFmtId="164" fontId="14" fillId="0" borderId="7" xfId="2" applyFont="1" applyBorder="1" applyAlignment="1">
      <alignment horizontal="center" vertical="center" wrapText="1"/>
    </xf>
    <xf numFmtId="164" fontId="14" fillId="0" borderId="3" xfId="2" applyFont="1" applyBorder="1" applyAlignment="1">
      <alignment horizontal="center" vertical="center" wrapText="1"/>
    </xf>
    <xf numFmtId="164" fontId="4" fillId="8" borderId="3" xfId="2" applyFont="1" applyFill="1" applyBorder="1" applyAlignment="1">
      <alignment vertical="center"/>
    </xf>
    <xf numFmtId="164" fontId="4" fillId="0" borderId="3" xfId="1" applyNumberFormat="1" applyFont="1" applyBorder="1" applyAlignment="1">
      <alignment horizontal="right" vertical="center"/>
    </xf>
    <xf numFmtId="0" fontId="4" fillId="4" borderId="3" xfId="0" applyFont="1" applyFill="1" applyBorder="1" applyAlignment="1">
      <alignment horizontal="justify" vertical="center"/>
    </xf>
    <xf numFmtId="164" fontId="14" fillId="0" borderId="3" xfId="0" applyNumberFormat="1" applyFont="1" applyBorder="1" applyAlignment="1">
      <alignment horizontal="center" vertical="center"/>
    </xf>
    <xf numFmtId="0" fontId="4" fillId="8" borderId="10" xfId="0" applyFont="1" applyFill="1" applyBorder="1" applyAlignment="1">
      <alignment horizontal="justify" vertical="center" wrapText="1"/>
    </xf>
    <xf numFmtId="0" fontId="4" fillId="8" borderId="10" xfId="0" applyFont="1" applyFill="1" applyBorder="1" applyAlignment="1">
      <alignment horizontal="center" vertical="center" wrapText="1"/>
    </xf>
    <xf numFmtId="0" fontId="4" fillId="8" borderId="10" xfId="0" applyFont="1" applyFill="1" applyBorder="1" applyAlignment="1">
      <alignment horizontal="center" vertical="center"/>
    </xf>
    <xf numFmtId="0" fontId="4" fillId="8" borderId="10" xfId="0" applyFont="1" applyFill="1" applyBorder="1" applyAlignment="1">
      <alignment horizontal="justify" vertical="center"/>
    </xf>
    <xf numFmtId="164" fontId="4" fillId="8" borderId="10" xfId="2" applyFont="1" applyFill="1" applyBorder="1" applyAlignment="1">
      <alignment horizontal="justify" vertical="center"/>
    </xf>
    <xf numFmtId="164" fontId="4" fillId="8" borderId="10" xfId="1" applyNumberFormat="1" applyFont="1" applyFill="1" applyBorder="1" applyAlignment="1">
      <alignment horizontal="center" vertical="center"/>
    </xf>
    <xf numFmtId="0" fontId="4" fillId="8" borderId="13" xfId="0" applyFont="1" applyFill="1" applyBorder="1" applyAlignment="1">
      <alignment horizontal="justify" vertical="center"/>
    </xf>
    <xf numFmtId="164" fontId="4" fillId="8" borderId="13" xfId="1" applyNumberFormat="1" applyFont="1" applyFill="1" applyBorder="1" applyAlignment="1">
      <alignment horizontal="center" vertical="center"/>
    </xf>
    <xf numFmtId="164" fontId="4" fillId="8" borderId="13" xfId="2" applyFont="1" applyFill="1" applyBorder="1" applyAlignment="1">
      <alignment vertical="center"/>
    </xf>
    <xf numFmtId="0" fontId="4" fillId="4" borderId="13" xfId="0" applyFont="1" applyFill="1" applyBorder="1" applyAlignment="1">
      <alignment horizontal="center" vertical="center"/>
    </xf>
    <xf numFmtId="0" fontId="4" fillId="4" borderId="13" xfId="0" applyFont="1" applyFill="1" applyBorder="1" applyAlignment="1">
      <alignment horizontal="justify" vertical="center"/>
    </xf>
    <xf numFmtId="164" fontId="4" fillId="4" borderId="13" xfId="1" applyNumberFormat="1" applyFont="1" applyFill="1" applyBorder="1" applyAlignment="1">
      <alignment horizontal="center" vertical="center"/>
    </xf>
    <xf numFmtId="1" fontId="7" fillId="4" borderId="8" xfId="0" applyNumberFormat="1" applyFont="1" applyFill="1" applyBorder="1" applyAlignment="1">
      <alignment horizontal="justify" vertical="center" wrapText="1"/>
    </xf>
    <xf numFmtId="164" fontId="4" fillId="0" borderId="7" xfId="0" applyNumberFormat="1" applyFont="1" applyBorder="1" applyAlignment="1">
      <alignment horizontal="center" vertical="center"/>
    </xf>
    <xf numFmtId="164" fontId="4" fillId="8" borderId="3" xfId="1" applyNumberFormat="1" applyFont="1" applyFill="1" applyBorder="1" applyAlignment="1">
      <alignment horizontal="justify" vertical="center"/>
    </xf>
    <xf numFmtId="164" fontId="4" fillId="4" borderId="3" xfId="1" applyNumberFormat="1" applyFont="1" applyFill="1" applyBorder="1" applyAlignment="1">
      <alignment horizontal="justify" vertical="center"/>
    </xf>
    <xf numFmtId="0" fontId="4" fillId="3" borderId="3" xfId="0" applyFont="1" applyFill="1" applyBorder="1" applyAlignment="1">
      <alignment horizontal="justify" vertical="center"/>
    </xf>
    <xf numFmtId="164" fontId="4" fillId="3" borderId="3" xfId="1" applyNumberFormat="1" applyFont="1" applyFill="1" applyBorder="1" applyAlignment="1">
      <alignment horizontal="justify" vertical="center"/>
    </xf>
    <xf numFmtId="164" fontId="4" fillId="9" borderId="3" xfId="1" applyNumberFormat="1" applyFont="1" applyFill="1" applyBorder="1" applyAlignment="1">
      <alignment horizontal="justify" vertical="center"/>
    </xf>
    <xf numFmtId="0" fontId="4" fillId="0" borderId="0" xfId="0" applyFont="1" applyBorder="1" applyAlignment="1">
      <alignment horizontal="justify" vertical="center"/>
    </xf>
    <xf numFmtId="164" fontId="4" fillId="0" borderId="0" xfId="1" applyNumberFormat="1" applyFont="1" applyBorder="1" applyAlignment="1">
      <alignment horizontal="justify" vertical="center"/>
    </xf>
    <xf numFmtId="164" fontId="4" fillId="10" borderId="0" xfId="1" applyNumberFormat="1" applyFont="1" applyFill="1" applyBorder="1" applyAlignment="1">
      <alignment horizontal="justify" vertical="center"/>
    </xf>
    <xf numFmtId="0" fontId="11" fillId="7" borderId="11" xfId="0" applyFont="1" applyFill="1" applyBorder="1" applyAlignment="1">
      <alignment horizontal="left" vertical="center"/>
    </xf>
    <xf numFmtId="0" fontId="11" fillId="7" borderId="11" xfId="0" applyFont="1" applyFill="1" applyBorder="1" applyAlignment="1">
      <alignment horizontal="center" vertical="center"/>
    </xf>
    <xf numFmtId="164" fontId="7" fillId="7" borderId="6" xfId="0" applyNumberFormat="1" applyFont="1" applyFill="1" applyBorder="1" applyAlignment="1">
      <alignment horizontal="left" vertical="center"/>
    </xf>
    <xf numFmtId="164" fontId="7" fillId="7" borderId="6" xfId="1" applyNumberFormat="1" applyFont="1" applyFill="1" applyBorder="1" applyAlignment="1">
      <alignment horizontal="center" vertical="center"/>
    </xf>
    <xf numFmtId="164" fontId="7" fillId="7" borderId="11" xfId="0" applyNumberFormat="1" applyFont="1" applyFill="1" applyBorder="1" applyAlignment="1">
      <alignment horizontal="left" vertical="center"/>
    </xf>
    <xf numFmtId="0" fontId="7" fillId="3" borderId="8" xfId="0" applyFont="1" applyFill="1" applyBorder="1" applyAlignment="1">
      <alignment vertical="center" wrapText="1"/>
    </xf>
    <xf numFmtId="0" fontId="7" fillId="3" borderId="8" xfId="0" applyFont="1" applyFill="1" applyBorder="1" applyAlignment="1">
      <alignment horizontal="center" vertical="center" wrapText="1"/>
    </xf>
    <xf numFmtId="164" fontId="7" fillId="3" borderId="8" xfId="0" applyNumberFormat="1" applyFont="1" applyFill="1" applyBorder="1" applyAlignment="1">
      <alignment vertical="center" wrapText="1"/>
    </xf>
    <xf numFmtId="164" fontId="7" fillId="3" borderId="8" xfId="1" applyNumberFormat="1" applyFont="1" applyFill="1" applyBorder="1" applyAlignment="1">
      <alignment horizontal="center" vertical="center" wrapText="1"/>
    </xf>
    <xf numFmtId="164" fontId="7" fillId="3" borderId="3" xfId="0" applyNumberFormat="1" applyFont="1" applyFill="1" applyBorder="1" applyAlignment="1">
      <alignment vertical="center" wrapText="1"/>
    </xf>
    <xf numFmtId="0" fontId="7" fillId="0" borderId="3" xfId="0" applyFont="1" applyBorder="1" applyAlignment="1">
      <alignment vertical="center"/>
    </xf>
    <xf numFmtId="0" fontId="7" fillId="4" borderId="8" xfId="0" applyFont="1" applyFill="1" applyBorder="1" applyAlignment="1">
      <alignment vertical="center" wrapText="1"/>
    </xf>
    <xf numFmtId="164" fontId="7" fillId="4" borderId="8" xfId="0" applyNumberFormat="1" applyFont="1" applyFill="1" applyBorder="1" applyAlignment="1">
      <alignment vertical="center" wrapText="1"/>
    </xf>
    <xf numFmtId="164" fontId="7" fillId="4" borderId="8" xfId="1" applyNumberFormat="1" applyFont="1" applyFill="1" applyBorder="1" applyAlignment="1">
      <alignment horizontal="center" vertical="center" wrapText="1"/>
    </xf>
    <xf numFmtId="164" fontId="7" fillId="4" borderId="3" xfId="0" applyNumberFormat="1" applyFont="1" applyFill="1" applyBorder="1" applyAlignment="1">
      <alignment vertical="center" wrapText="1"/>
    </xf>
    <xf numFmtId="0" fontId="7" fillId="0" borderId="3" xfId="0" applyFont="1" applyFill="1" applyBorder="1" applyAlignment="1">
      <alignment vertical="center" wrapText="1"/>
    </xf>
    <xf numFmtId="166" fontId="4" fillId="0" borderId="3" xfId="0" applyNumberFormat="1" applyFont="1" applyFill="1" applyBorder="1" applyAlignment="1">
      <alignment horizontal="justify" vertical="center" wrapText="1"/>
    </xf>
    <xf numFmtId="164" fontId="4" fillId="0" borderId="1" xfId="1" applyNumberFormat="1" applyFont="1" applyFill="1" applyBorder="1" applyAlignment="1">
      <alignment horizontal="center" vertical="center"/>
    </xf>
    <xf numFmtId="164" fontId="14" fillId="0" borderId="1" xfId="1" applyNumberFormat="1" applyFont="1" applyFill="1" applyBorder="1" applyAlignment="1">
      <alignment horizontal="center" vertical="center" wrapText="1"/>
    </xf>
    <xf numFmtId="0" fontId="4" fillId="8" borderId="7" xfId="0" applyFont="1" applyFill="1" applyBorder="1" applyAlignment="1">
      <alignment vertical="center"/>
    </xf>
    <xf numFmtId="0" fontId="4" fillId="8" borderId="8" xfId="0" applyFont="1" applyFill="1" applyBorder="1" applyAlignment="1">
      <alignment vertical="center"/>
    </xf>
    <xf numFmtId="164" fontId="4" fillId="8" borderId="8" xfId="0" applyNumberFormat="1" applyFont="1" applyFill="1" applyBorder="1" applyAlignment="1">
      <alignment vertical="center"/>
    </xf>
    <xf numFmtId="164" fontId="4" fillId="8" borderId="8" xfId="1" applyNumberFormat="1" applyFont="1" applyFill="1" applyBorder="1" applyAlignment="1">
      <alignment horizontal="center" vertical="center"/>
    </xf>
    <xf numFmtId="164" fontId="4" fillId="8" borderId="3" xfId="0" applyNumberFormat="1" applyFont="1" applyFill="1" applyBorder="1" applyAlignment="1">
      <alignment vertical="center"/>
    </xf>
    <xf numFmtId="0" fontId="7" fillId="0" borderId="12" xfId="0" applyFont="1" applyBorder="1" applyAlignment="1">
      <alignment horizontal="justify" vertical="center" wrapText="1"/>
    </xf>
    <xf numFmtId="0" fontId="7" fillId="0" borderId="7" xfId="0" applyFont="1" applyBorder="1" applyAlignment="1">
      <alignment vertical="center"/>
    </xf>
    <xf numFmtId="0" fontId="7" fillId="0" borderId="2" xfId="0" applyFont="1" applyBorder="1" applyAlignment="1">
      <alignment vertical="center"/>
    </xf>
    <xf numFmtId="164" fontId="7" fillId="0" borderId="8" xfId="0" applyNumberFormat="1" applyFont="1" applyBorder="1" applyAlignment="1">
      <alignment vertical="center"/>
    </xf>
    <xf numFmtId="164" fontId="7" fillId="0" borderId="8" xfId="1" applyNumberFormat="1" applyFont="1" applyBorder="1" applyAlignment="1">
      <alignment horizontal="center" vertical="center"/>
    </xf>
    <xf numFmtId="164" fontId="7" fillId="0" borderId="7" xfId="1" applyNumberFormat="1" applyFont="1" applyBorder="1" applyAlignment="1">
      <alignment horizontal="center" vertical="center"/>
    </xf>
    <xf numFmtId="0" fontId="7" fillId="8" borderId="9" xfId="0" applyFont="1" applyFill="1" applyBorder="1" applyAlignment="1">
      <alignment horizontal="justify" vertical="center" wrapText="1"/>
    </xf>
    <xf numFmtId="164" fontId="7" fillId="8" borderId="7" xfId="1" applyNumberFormat="1" applyFont="1" applyFill="1" applyBorder="1" applyAlignment="1">
      <alignment horizontal="center" vertical="center"/>
    </xf>
    <xf numFmtId="0" fontId="4" fillId="0" borderId="3" xfId="0" applyFont="1" applyFill="1" applyBorder="1" applyAlignment="1">
      <alignment vertical="center"/>
    </xf>
    <xf numFmtId="43" fontId="23" fillId="0" borderId="3" xfId="0" applyNumberFormat="1" applyFont="1" applyFill="1" applyBorder="1" applyAlignment="1">
      <alignment vertical="center"/>
    </xf>
    <xf numFmtId="164" fontId="14" fillId="0" borderId="7" xfId="1" applyNumberFormat="1" applyFont="1" applyFill="1" applyBorder="1" applyAlignment="1">
      <alignment horizontal="center" vertical="center" wrapText="1"/>
    </xf>
    <xf numFmtId="164" fontId="14" fillId="0" borderId="7" xfId="2" applyFont="1" applyFill="1" applyBorder="1" applyAlignment="1">
      <alignment horizontal="justify" vertical="center"/>
    </xf>
    <xf numFmtId="164" fontId="4" fillId="0" borderId="1" xfId="1" applyNumberFormat="1" applyFont="1" applyFill="1" applyBorder="1" applyAlignment="1">
      <alignment horizontal="center" vertical="center" wrapText="1"/>
    </xf>
    <xf numFmtId="0" fontId="4" fillId="9" borderId="9" xfId="0" applyFont="1" applyFill="1" applyBorder="1" applyAlignment="1">
      <alignment horizontal="justify" vertical="center" wrapText="1"/>
    </xf>
    <xf numFmtId="0" fontId="4" fillId="10" borderId="0" xfId="0" applyFont="1" applyFill="1" applyBorder="1" applyAlignment="1">
      <alignment horizontal="justify" vertical="center" wrapText="1"/>
    </xf>
    <xf numFmtId="0" fontId="4" fillId="10" borderId="0" xfId="0" applyFont="1" applyFill="1" applyBorder="1" applyAlignment="1">
      <alignment horizontal="center" vertical="center" wrapText="1"/>
    </xf>
    <xf numFmtId="164" fontId="4" fillId="10" borderId="0" xfId="1" applyNumberFormat="1" applyFont="1" applyFill="1" applyBorder="1" applyAlignment="1">
      <alignment horizontal="center" vertical="center"/>
    </xf>
    <xf numFmtId="0" fontId="11" fillId="7" borderId="3" xfId="0" applyFont="1" applyFill="1" applyBorder="1" applyAlignment="1">
      <alignment horizontal="left" vertical="center"/>
    </xf>
    <xf numFmtId="0" fontId="11" fillId="7" borderId="3" xfId="0" applyFont="1" applyFill="1" applyBorder="1" applyAlignment="1">
      <alignment horizontal="center" vertical="center"/>
    </xf>
    <xf numFmtId="0" fontId="7" fillId="3" borderId="3" xfId="0" applyFont="1" applyFill="1" applyBorder="1" applyAlignment="1">
      <alignment vertical="center"/>
    </xf>
    <xf numFmtId="0" fontId="7" fillId="3" borderId="3" xfId="0" applyFont="1" applyFill="1" applyBorder="1" applyAlignment="1">
      <alignment horizontal="center" vertical="center"/>
    </xf>
    <xf numFmtId="0" fontId="7" fillId="4" borderId="3" xfId="0" applyFont="1" applyFill="1" applyBorder="1" applyAlignment="1">
      <alignment horizontal="left" vertical="center"/>
    </xf>
    <xf numFmtId="0" fontId="7" fillId="4" borderId="3" xfId="0" applyFont="1" applyFill="1" applyBorder="1" applyAlignment="1">
      <alignment vertical="center"/>
    </xf>
    <xf numFmtId="0" fontId="7" fillId="0" borderId="13" xfId="0" applyFont="1" applyBorder="1" applyAlignment="1">
      <alignment vertical="center"/>
    </xf>
    <xf numFmtId="0" fontId="7" fillId="0" borderId="10" xfId="0" applyFont="1" applyBorder="1" applyAlignment="1">
      <alignment vertical="center"/>
    </xf>
    <xf numFmtId="0" fontId="4" fillId="13" borderId="3" xfId="0" applyFont="1" applyFill="1" applyBorder="1" applyAlignment="1">
      <alignment horizontal="justify" vertical="center" wrapText="1"/>
    </xf>
    <xf numFmtId="0" fontId="4" fillId="13" borderId="3" xfId="0" applyFont="1" applyFill="1" applyBorder="1" applyAlignment="1">
      <alignment horizontal="center" vertical="center" wrapText="1"/>
    </xf>
    <xf numFmtId="0" fontId="4" fillId="13" borderId="9" xfId="0" applyFont="1" applyFill="1" applyBorder="1" applyAlignment="1">
      <alignment horizontal="justify" vertical="center" wrapText="1"/>
    </xf>
    <xf numFmtId="0" fontId="4" fillId="13" borderId="3" xfId="0" applyFont="1" applyFill="1" applyBorder="1" applyAlignment="1">
      <alignment horizontal="center" vertical="center"/>
    </xf>
    <xf numFmtId="164" fontId="4" fillId="13" borderId="3" xfId="2" applyFont="1" applyFill="1" applyBorder="1" applyAlignment="1">
      <alignment horizontal="justify" vertical="center"/>
    </xf>
    <xf numFmtId="0" fontId="24" fillId="14" borderId="8" xfId="0" applyFont="1" applyFill="1" applyBorder="1" applyAlignment="1">
      <alignment horizontal="justify" vertical="center"/>
    </xf>
    <xf numFmtId="0" fontId="24" fillId="14" borderId="8" xfId="0" applyFont="1" applyFill="1" applyBorder="1" applyAlignment="1">
      <alignment horizontal="center" vertical="center"/>
    </xf>
    <xf numFmtId="0" fontId="24" fillId="14" borderId="8" xfId="0" applyFont="1" applyFill="1" applyBorder="1" applyAlignment="1">
      <alignment horizontal="justify" vertical="center" wrapText="1"/>
    </xf>
    <xf numFmtId="0" fontId="24" fillId="14" borderId="9" xfId="0" applyFont="1" applyFill="1" applyBorder="1" applyAlignment="1">
      <alignment horizontal="center" vertical="center" wrapText="1"/>
    </xf>
    <xf numFmtId="164" fontId="7" fillId="14" borderId="3" xfId="2" applyFont="1" applyFill="1" applyBorder="1" applyAlignment="1">
      <alignment vertical="center"/>
    </xf>
    <xf numFmtId="0" fontId="24" fillId="0" borderId="0" xfId="0" applyFont="1" applyFill="1" applyBorder="1"/>
    <xf numFmtId="4" fontId="24" fillId="0" borderId="0" xfId="0" applyNumberFormat="1" applyFont="1" applyFill="1"/>
    <xf numFmtId="4" fontId="24" fillId="0" borderId="0" xfId="0" applyNumberFormat="1" applyFont="1" applyFill="1" applyAlignment="1">
      <alignment horizontal="center"/>
    </xf>
    <xf numFmtId="4" fontId="3" fillId="0" borderId="0" xfId="0" applyNumberFormat="1" applyFont="1" applyFill="1"/>
    <xf numFmtId="4" fontId="7" fillId="0" borderId="0" xfId="0" applyNumberFormat="1" applyFont="1" applyFill="1"/>
    <xf numFmtId="4" fontId="7" fillId="0" borderId="0" xfId="1" applyNumberFormat="1" applyFont="1" applyFill="1" applyAlignment="1">
      <alignment horizontal="center"/>
    </xf>
    <xf numFmtId="4" fontId="7" fillId="0" borderId="2" xfId="0" applyNumberFormat="1" applyFont="1" applyFill="1" applyBorder="1"/>
    <xf numFmtId="164" fontId="24" fillId="0" borderId="2" xfId="0" applyNumberFormat="1" applyFont="1" applyFill="1" applyBorder="1" applyAlignment="1">
      <alignment vertical="center"/>
    </xf>
    <xf numFmtId="4" fontId="24" fillId="0" borderId="0" xfId="0" applyNumberFormat="1" applyFont="1" applyFill="1" applyBorder="1"/>
    <xf numFmtId="0" fontId="2" fillId="10" borderId="0" xfId="0" applyFont="1" applyFill="1"/>
    <xf numFmtId="0" fontId="2" fillId="10" borderId="0" xfId="0" applyFont="1" applyFill="1" applyAlignment="1">
      <alignment horizontal="center"/>
    </xf>
    <xf numFmtId="164" fontId="18" fillId="10" borderId="0" xfId="0" applyNumberFormat="1" applyFont="1" applyFill="1"/>
    <xf numFmtId="164" fontId="13" fillId="10" borderId="0" xfId="0" applyNumberFormat="1" applyFont="1" applyFill="1"/>
    <xf numFmtId="164" fontId="18" fillId="10" borderId="0" xfId="0" applyNumberFormat="1" applyFont="1" applyFill="1" applyBorder="1"/>
    <xf numFmtId="0" fontId="2" fillId="0" borderId="0" xfId="0" applyFont="1" applyFill="1" applyBorder="1"/>
    <xf numFmtId="0" fontId="6" fillId="10" borderId="0" xfId="0" applyFont="1" applyFill="1"/>
    <xf numFmtId="0" fontId="6" fillId="10" borderId="0" xfId="0" applyFont="1" applyFill="1" applyAlignment="1">
      <alignment horizontal="center"/>
    </xf>
    <xf numFmtId="0" fontId="4" fillId="10" borderId="0" xfId="0" applyFont="1" applyFill="1"/>
    <xf numFmtId="3" fontId="16" fillId="0" borderId="0" xfId="0" applyNumberFormat="1" applyFont="1"/>
    <xf numFmtId="167" fontId="4" fillId="10" borderId="0" xfId="1" applyNumberFormat="1" applyFont="1" applyFill="1" applyAlignment="1">
      <alignment horizontal="center"/>
    </xf>
    <xf numFmtId="43" fontId="6" fillId="10" borderId="0" xfId="0" applyNumberFormat="1" applyFont="1" applyFill="1"/>
    <xf numFmtId="164" fontId="4" fillId="10" borderId="0" xfId="0" applyNumberFormat="1" applyFont="1" applyFill="1"/>
    <xf numFmtId="164" fontId="6" fillId="10" borderId="0" xfId="0" applyNumberFormat="1" applyFont="1" applyFill="1"/>
    <xf numFmtId="4" fontId="4" fillId="10" borderId="0" xfId="0" applyNumberFormat="1" applyFont="1" applyFill="1"/>
    <xf numFmtId="167" fontId="12" fillId="0" borderId="0" xfId="1" applyNumberFormat="1" applyFont="1" applyFill="1" applyAlignment="1">
      <alignment horizontal="center"/>
    </xf>
    <xf numFmtId="0" fontId="6" fillId="0" borderId="0" xfId="0" applyFont="1"/>
    <xf numFmtId="0" fontId="6" fillId="0" borderId="0" xfId="0" applyFont="1" applyAlignment="1">
      <alignment horizontal="center"/>
    </xf>
    <xf numFmtId="0" fontId="4" fillId="0" borderId="0" xfId="0" applyFont="1"/>
    <xf numFmtId="167" fontId="4" fillId="0" borderId="0" xfId="1" applyNumberFormat="1" applyFont="1" applyAlignment="1">
      <alignment horizontal="center"/>
    </xf>
    <xf numFmtId="0" fontId="4" fillId="15" borderId="0" xfId="0" applyFont="1" applyFill="1"/>
    <xf numFmtId="4" fontId="6" fillId="0" borderId="7" xfId="0" applyNumberFormat="1" applyFont="1" applyBorder="1" applyAlignment="1">
      <alignment vertical="center"/>
    </xf>
    <xf numFmtId="4" fontId="4" fillId="0" borderId="8" xfId="1" applyNumberFormat="1" applyFont="1" applyBorder="1" applyAlignment="1">
      <alignment horizontal="center" vertical="center" wrapText="1"/>
    </xf>
    <xf numFmtId="4" fontId="7" fillId="8" borderId="8" xfId="1" applyNumberFormat="1" applyFont="1" applyFill="1" applyBorder="1" applyAlignment="1">
      <alignment horizontal="center" vertical="center"/>
    </xf>
    <xf numFmtId="4" fontId="6" fillId="0" borderId="3" xfId="0" applyNumberFormat="1" applyFont="1" applyBorder="1" applyAlignment="1">
      <alignment vertical="center"/>
    </xf>
    <xf numFmtId="4" fontId="6" fillId="0" borderId="7" xfId="0" applyNumberFormat="1" applyFont="1" applyFill="1" applyBorder="1" applyAlignment="1">
      <alignment vertical="center"/>
    </xf>
    <xf numFmtId="4" fontId="4" fillId="8" borderId="3" xfId="0" applyNumberFormat="1" applyFont="1" applyFill="1" applyBorder="1" applyAlignment="1">
      <alignment horizontal="right" vertical="center" wrapText="1"/>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4" fillId="0" borderId="10" xfId="0" applyFont="1" applyBorder="1" applyAlignment="1">
      <alignment horizontal="center"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1" xfId="0" applyFont="1" applyBorder="1" applyAlignment="1">
      <alignment horizontal="justify" vertical="center"/>
    </xf>
    <xf numFmtId="0" fontId="4" fillId="0" borderId="11" xfId="0" applyFont="1" applyBorder="1" applyAlignment="1">
      <alignment horizontal="justify" vertical="center" wrapText="1"/>
    </xf>
    <xf numFmtId="0" fontId="7" fillId="4" borderId="8" xfId="0" applyFont="1" applyFill="1" applyBorder="1" applyAlignment="1">
      <alignment horizontal="center" vertical="center"/>
    </xf>
    <xf numFmtId="0" fontId="4" fillId="0" borderId="3" xfId="0" applyFont="1" applyFill="1" applyBorder="1" applyAlignment="1">
      <alignment horizontal="justify" vertical="center" wrapText="1"/>
    </xf>
    <xf numFmtId="0" fontId="4" fillId="0" borderId="13" xfId="0" applyFont="1" applyFill="1" applyBorder="1" applyAlignment="1">
      <alignment horizontal="justify" vertical="center"/>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7" fillId="3" borderId="3" xfId="0" applyFont="1" applyFill="1" applyBorder="1" applyAlignment="1">
      <alignment horizontal="left" vertical="center" wrapText="1"/>
    </xf>
    <xf numFmtId="17" fontId="5" fillId="0" borderId="3" xfId="0" applyNumberFormat="1" applyFont="1" applyBorder="1" applyAlignment="1">
      <alignment horizontal="left"/>
    </xf>
    <xf numFmtId="3" fontId="5" fillId="2" borderId="3" xfId="0" applyNumberFormat="1" applyFont="1" applyFill="1" applyBorder="1" applyAlignment="1">
      <alignment horizontal="left" wrapText="1"/>
    </xf>
    <xf numFmtId="0" fontId="5" fillId="0" borderId="3" xfId="0" applyFont="1" applyBorder="1" applyAlignment="1">
      <alignment horizontal="left"/>
    </xf>
    <xf numFmtId="165" fontId="5" fillId="0" borderId="3" xfId="0" applyNumberFormat="1" applyFont="1" applyBorder="1" applyAlignment="1">
      <alignment horizontal="left"/>
    </xf>
    <xf numFmtId="0" fontId="4" fillId="0" borderId="10" xfId="0" applyFont="1" applyBorder="1" applyAlignment="1">
      <alignment horizontal="justify"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justify"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164" fontId="4" fillId="4" borderId="8" xfId="0" applyNumberFormat="1" applyFont="1" applyFill="1" applyBorder="1" applyAlignment="1">
      <alignment vertical="center"/>
    </xf>
    <xf numFmtId="164" fontId="7" fillId="10" borderId="7" xfId="0" applyNumberFormat="1" applyFont="1" applyFill="1" applyBorder="1" applyAlignment="1">
      <alignment horizontal="left" vertical="center"/>
    </xf>
    <xf numFmtId="164" fontId="4" fillId="0" borderId="7" xfId="0" applyNumberFormat="1" applyFont="1" applyFill="1" applyBorder="1" applyAlignment="1">
      <alignment horizontal="right" vertical="center" wrapText="1"/>
    </xf>
    <xf numFmtId="164" fontId="4" fillId="0" borderId="0" xfId="2" applyFont="1" applyBorder="1" applyAlignment="1">
      <alignment vertical="center"/>
    </xf>
    <xf numFmtId="164" fontId="4" fillId="10" borderId="0" xfId="0" applyNumberFormat="1" applyFont="1" applyFill="1" applyBorder="1" applyAlignment="1">
      <alignment horizontal="justify" vertical="center" wrapText="1"/>
    </xf>
    <xf numFmtId="164" fontId="7" fillId="0" borderId="0" xfId="1" applyNumberFormat="1" applyFont="1" applyBorder="1" applyAlignment="1">
      <alignment horizontal="center" vertical="center"/>
    </xf>
    <xf numFmtId="0" fontId="5" fillId="7"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8" xfId="0" applyFont="1" applyFill="1" applyBorder="1" applyAlignment="1">
      <alignment horizontal="center" vertical="center"/>
    </xf>
    <xf numFmtId="0" fontId="5" fillId="6" borderId="8" xfId="0" applyFont="1" applyFill="1" applyBorder="1" applyAlignment="1">
      <alignment horizontal="center" vertical="center"/>
    </xf>
    <xf numFmtId="0" fontId="12" fillId="0" borderId="3" xfId="0" applyFont="1" applyBorder="1" applyAlignment="1">
      <alignment horizontal="center" vertical="center"/>
    </xf>
    <xf numFmtId="0" fontId="12" fillId="8"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5" fillId="8" borderId="8" xfId="0" applyFont="1" applyFill="1" applyBorder="1" applyAlignment="1">
      <alignment horizontal="center" vertical="center"/>
    </xf>
    <xf numFmtId="0" fontId="12" fillId="0" borderId="3" xfId="0" applyFont="1" applyBorder="1" applyAlignment="1">
      <alignment horizontal="center" vertical="center" wrapText="1"/>
    </xf>
    <xf numFmtId="0" fontId="12" fillId="11" borderId="8" xfId="0" applyFont="1" applyFill="1" applyBorder="1" applyAlignment="1">
      <alignment horizontal="center" vertical="center" wrapText="1"/>
    </xf>
    <xf numFmtId="0" fontId="5" fillId="11" borderId="8" xfId="0" applyFont="1" applyFill="1" applyBorder="1" applyAlignment="1">
      <alignment horizontal="center" vertical="center"/>
    </xf>
    <xf numFmtId="0" fontId="12" fillId="4" borderId="8" xfId="0" applyFont="1" applyFill="1" applyBorder="1" applyAlignment="1">
      <alignment horizontal="center" vertical="center" wrapText="1"/>
    </xf>
    <xf numFmtId="0" fontId="5" fillId="6" borderId="2" xfId="0" applyFont="1" applyFill="1" applyBorder="1" applyAlignment="1">
      <alignment horizontal="center" vertical="center"/>
    </xf>
    <xf numFmtId="0" fontId="12" fillId="8" borderId="13" xfId="0" applyFont="1" applyFill="1" applyBorder="1" applyAlignment="1">
      <alignment horizontal="center" vertical="center" wrapText="1"/>
    </xf>
    <xf numFmtId="0" fontId="12" fillId="0" borderId="0" xfId="0" applyFont="1" applyBorder="1" applyAlignment="1">
      <alignment horizontal="center" vertical="center" wrapText="1"/>
    </xf>
    <xf numFmtId="0" fontId="5" fillId="7"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Border="1" applyAlignment="1">
      <alignment horizontal="center" vertical="center" wrapText="1"/>
    </xf>
    <xf numFmtId="0" fontId="7" fillId="6" borderId="8" xfId="0" applyFont="1" applyFill="1" applyBorder="1" applyAlignment="1">
      <alignment horizontal="center" vertical="center"/>
    </xf>
    <xf numFmtId="0" fontId="5" fillId="4" borderId="2" xfId="0" applyFont="1" applyFill="1" applyBorder="1" applyAlignment="1">
      <alignment horizontal="center" vertical="center"/>
    </xf>
    <xf numFmtId="0" fontId="12" fillId="0" borderId="6" xfId="0" applyFont="1" applyBorder="1" applyAlignment="1">
      <alignment horizontal="center" vertical="center" wrapText="1"/>
    </xf>
    <xf numFmtId="0" fontId="5" fillId="7" borderId="8" xfId="0" applyFont="1" applyFill="1" applyBorder="1" applyAlignment="1">
      <alignment horizontal="center" vertical="center" wrapText="1"/>
    </xf>
    <xf numFmtId="164" fontId="4" fillId="8" borderId="3" xfId="1"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3" xfId="0" applyFont="1" applyFill="1" applyBorder="1" applyAlignment="1">
      <alignment horizontal="center" vertical="center"/>
    </xf>
    <xf numFmtId="0" fontId="12" fillId="0" borderId="8" xfId="0" applyFont="1" applyBorder="1" applyAlignment="1">
      <alignment horizontal="center" vertical="center"/>
    </xf>
    <xf numFmtId="0" fontId="12" fillId="4" borderId="13" xfId="0" applyFont="1" applyFill="1" applyBorder="1" applyAlignment="1">
      <alignment horizontal="center" vertical="center" wrapText="1"/>
    </xf>
    <xf numFmtId="0" fontId="12" fillId="3" borderId="13" xfId="0"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5" fillId="7"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3" xfId="0" applyFont="1" applyBorder="1" applyAlignment="1">
      <alignment horizontal="center" vertical="center"/>
    </xf>
    <xf numFmtId="0" fontId="12" fillId="4" borderId="3"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13"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3" xfId="0" applyFont="1" applyFill="1" applyBorder="1" applyAlignment="1">
      <alignment horizontal="center" vertical="center"/>
    </xf>
    <xf numFmtId="0" fontId="12" fillId="9" borderId="3" xfId="0" applyFont="1" applyFill="1" applyBorder="1" applyAlignment="1">
      <alignment horizontal="center" vertical="center"/>
    </xf>
    <xf numFmtId="0" fontId="12" fillId="0" borderId="0" xfId="0" applyFont="1" applyBorder="1" applyAlignment="1">
      <alignment horizontal="center" vertical="center"/>
    </xf>
    <xf numFmtId="0" fontId="5" fillId="3"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8" borderId="8" xfId="0" applyFont="1" applyFill="1" applyBorder="1" applyAlignment="1">
      <alignment horizontal="center" vertical="center"/>
    </xf>
    <xf numFmtId="0" fontId="5" fillId="0" borderId="2" xfId="0" applyFont="1" applyBorder="1" applyAlignment="1">
      <alignment horizontal="center" vertical="center"/>
    </xf>
    <xf numFmtId="0" fontId="5" fillId="8" borderId="2" xfId="0" applyFont="1" applyFill="1" applyBorder="1" applyAlignment="1">
      <alignment horizontal="center" vertical="center"/>
    </xf>
    <xf numFmtId="0" fontId="12" fillId="10" borderId="0" xfId="0" applyFont="1" applyFill="1" applyBorder="1" applyAlignment="1">
      <alignment horizontal="center" vertical="center" wrapText="1"/>
    </xf>
    <xf numFmtId="0" fontId="12" fillId="13" borderId="3" xfId="0" applyFont="1" applyFill="1" applyBorder="1" applyAlignment="1">
      <alignment horizontal="center" vertical="center" wrapText="1"/>
    </xf>
    <xf numFmtId="164" fontId="7" fillId="12" borderId="3" xfId="2" applyFont="1" applyFill="1" applyBorder="1" applyAlignment="1">
      <alignment horizontal="center" vertical="center"/>
    </xf>
    <xf numFmtId="0" fontId="5" fillId="14" borderId="8" xfId="0" applyFont="1" applyFill="1" applyBorder="1" applyAlignment="1">
      <alignment horizontal="center" vertical="center" wrapText="1"/>
    </xf>
    <xf numFmtId="4" fontId="5" fillId="0" borderId="0" xfId="0" applyNumberFormat="1" applyFont="1" applyFill="1" applyAlignment="1">
      <alignment horizontal="center"/>
    </xf>
    <xf numFmtId="0" fontId="13" fillId="10" borderId="0" xfId="0" applyFont="1" applyFill="1" applyAlignment="1">
      <alignment horizontal="center"/>
    </xf>
    <xf numFmtId="0" fontId="12" fillId="10" borderId="0" xfId="0" applyFont="1" applyFill="1" applyAlignment="1">
      <alignment horizontal="center"/>
    </xf>
    <xf numFmtId="0" fontId="12" fillId="0" borderId="0" xfId="0" applyFont="1" applyAlignment="1">
      <alignment horizontal="center"/>
    </xf>
    <xf numFmtId="4" fontId="6" fillId="0" borderId="3" xfId="0" applyNumberFormat="1" applyFont="1" applyFill="1" applyBorder="1" applyAlignment="1">
      <alignment vertical="center"/>
    </xf>
    <xf numFmtId="164" fontId="4" fillId="4" borderId="3" xfId="2" applyFont="1" applyFill="1" applyBorder="1" applyAlignment="1">
      <alignment vertical="center"/>
    </xf>
    <xf numFmtId="41" fontId="6" fillId="0" borderId="7" xfId="4" applyFont="1" applyBorder="1" applyAlignment="1">
      <alignment vertical="center"/>
    </xf>
    <xf numFmtId="41" fontId="4" fillId="0" borderId="7" xfId="4" applyFont="1" applyBorder="1" applyAlignment="1">
      <alignment vertical="center"/>
    </xf>
    <xf numFmtId="0" fontId="12" fillId="0" borderId="3" xfId="0" applyFont="1" applyBorder="1" applyAlignment="1">
      <alignment horizontal="center" vertical="center"/>
    </xf>
    <xf numFmtId="0" fontId="6" fillId="10" borderId="8" xfId="0" applyFont="1" applyFill="1" applyBorder="1"/>
    <xf numFmtId="0" fontId="16" fillId="0" borderId="0" xfId="0" applyFont="1"/>
    <xf numFmtId="166" fontId="28" fillId="16" borderId="7" xfId="6" applyNumberFormat="1" applyFont="1" applyFill="1" applyBorder="1" applyAlignment="1">
      <alignment vertical="center" wrapText="1"/>
    </xf>
    <xf numFmtId="166" fontId="28" fillId="16" borderId="3" xfId="6" applyNumberFormat="1" applyFont="1" applyFill="1" applyBorder="1" applyAlignment="1">
      <alignment horizontal="center" vertical="center" wrapText="1"/>
    </xf>
    <xf numFmtId="0" fontId="16" fillId="0" borderId="0" xfId="0" applyFont="1" applyFill="1"/>
    <xf numFmtId="0" fontId="19" fillId="0" borderId="3" xfId="0" applyFont="1" applyBorder="1" applyAlignment="1">
      <alignment horizontal="center" vertical="center"/>
    </xf>
    <xf numFmtId="0" fontId="19" fillId="0" borderId="3" xfId="0" applyFont="1" applyBorder="1" applyAlignment="1">
      <alignment horizontal="left" vertical="center"/>
    </xf>
    <xf numFmtId="166" fontId="12" fillId="0" borderId="3" xfId="6" applyNumberFormat="1" applyFont="1" applyBorder="1" applyAlignment="1">
      <alignment horizontal="right" vertical="center"/>
    </xf>
    <xf numFmtId="9" fontId="12" fillId="0" borderId="3" xfId="3" applyFont="1" applyBorder="1" applyAlignment="1">
      <alignment horizontal="center" vertical="center"/>
    </xf>
    <xf numFmtId="9" fontId="12" fillId="0" borderId="3" xfId="5" applyFont="1" applyBorder="1" applyAlignment="1">
      <alignment horizontal="center" vertical="center"/>
    </xf>
    <xf numFmtId="10" fontId="12" fillId="0" borderId="3" xfId="5" applyNumberFormat="1" applyFont="1" applyBorder="1" applyAlignment="1">
      <alignment horizontal="center" vertical="center"/>
    </xf>
    <xf numFmtId="164" fontId="12" fillId="0" borderId="3" xfId="5" applyNumberFormat="1" applyFont="1" applyBorder="1" applyAlignment="1">
      <alignment horizontal="right" vertical="center"/>
    </xf>
    <xf numFmtId="41" fontId="12" fillId="0" borderId="3" xfId="5" applyNumberFormat="1" applyFont="1" applyBorder="1" applyAlignment="1">
      <alignment horizontal="right" vertical="center"/>
    </xf>
    <xf numFmtId="10" fontId="12" fillId="0" borderId="3" xfId="5" applyNumberFormat="1" applyFont="1" applyBorder="1" applyAlignment="1">
      <alignment horizontal="right" vertical="center"/>
    </xf>
    <xf numFmtId="166" fontId="19" fillId="0" borderId="3" xfId="6" applyNumberFormat="1" applyFont="1" applyBorder="1" applyAlignment="1">
      <alignment vertical="center"/>
    </xf>
    <xf numFmtId="10" fontId="19" fillId="0" borderId="3" xfId="3" applyNumberFormat="1" applyFont="1" applyBorder="1" applyAlignment="1">
      <alignment horizontal="center" vertical="center"/>
    </xf>
    <xf numFmtId="0" fontId="16" fillId="0" borderId="0" xfId="0" applyFont="1" applyAlignment="1">
      <alignment vertical="center"/>
    </xf>
    <xf numFmtId="166" fontId="12" fillId="0" borderId="3" xfId="5" applyNumberFormat="1" applyFont="1" applyBorder="1" applyAlignment="1">
      <alignment horizontal="right" vertical="center"/>
    </xf>
    <xf numFmtId="41" fontId="12" fillId="0" borderId="3" xfId="5" applyNumberFormat="1" applyFont="1" applyBorder="1" applyAlignment="1">
      <alignment horizontal="center" vertical="center"/>
    </xf>
    <xf numFmtId="0" fontId="19" fillId="0" borderId="3" xfId="0" applyFont="1" applyBorder="1" applyAlignment="1">
      <alignment horizontal="left" vertical="center" wrapText="1"/>
    </xf>
    <xf numFmtId="166" fontId="12" fillId="0" borderId="3" xfId="0" applyNumberFormat="1" applyFont="1" applyBorder="1" applyAlignment="1">
      <alignment horizontal="right" vertical="center"/>
    </xf>
    <xf numFmtId="166" fontId="12" fillId="0" borderId="3" xfId="0" applyNumberFormat="1" applyFont="1" applyBorder="1" applyAlignment="1">
      <alignment vertical="center"/>
    </xf>
    <xf numFmtId="166" fontId="12" fillId="0" borderId="3" xfId="6" applyNumberFormat="1" applyFont="1" applyBorder="1" applyAlignment="1">
      <alignment vertical="center"/>
    </xf>
    <xf numFmtId="0" fontId="15" fillId="0" borderId="0" xfId="0" applyFont="1" applyAlignment="1">
      <alignment vertical="center"/>
    </xf>
    <xf numFmtId="0" fontId="29" fillId="16" borderId="0" xfId="0" applyFont="1" applyFill="1" applyAlignment="1">
      <alignment horizontal="left" vertical="center"/>
    </xf>
    <xf numFmtId="166" fontId="29" fillId="16" borderId="3" xfId="6" applyNumberFormat="1" applyFont="1" applyFill="1" applyBorder="1" applyAlignment="1">
      <alignment vertical="center"/>
    </xf>
    <xf numFmtId="9" fontId="29" fillId="16" borderId="3" xfId="3" applyFont="1" applyFill="1" applyBorder="1" applyAlignment="1">
      <alignment horizontal="center" vertical="center"/>
    </xf>
    <xf numFmtId="10" fontId="29" fillId="16" borderId="3" xfId="5" applyNumberFormat="1" applyFont="1" applyFill="1" applyBorder="1" applyAlignment="1">
      <alignment horizontal="center" vertical="center"/>
    </xf>
    <xf numFmtId="10" fontId="29" fillId="16" borderId="3" xfId="3" applyNumberFormat="1" applyFont="1" applyFill="1" applyBorder="1" applyAlignment="1">
      <alignment horizontal="center" vertical="center"/>
    </xf>
    <xf numFmtId="0" fontId="27" fillId="0" borderId="0" xfId="0" applyFont="1" applyAlignment="1">
      <alignment vertical="center"/>
    </xf>
    <xf numFmtId="0" fontId="16" fillId="0" borderId="0" xfId="0" applyFont="1" applyAlignment="1">
      <alignment horizontal="left"/>
    </xf>
    <xf numFmtId="166" fontId="16" fillId="0" borderId="0" xfId="6" applyNumberFormat="1" applyFont="1"/>
    <xf numFmtId="166" fontId="15" fillId="0" borderId="0" xfId="6" applyNumberFormat="1" applyFont="1" applyFill="1" applyBorder="1" applyAlignment="1">
      <alignment horizontal="center"/>
    </xf>
    <xf numFmtId="166" fontId="15" fillId="0" borderId="0" xfId="6" applyNumberFormat="1" applyFont="1" applyFill="1" applyBorder="1"/>
    <xf numFmtId="166" fontId="15" fillId="0" borderId="0" xfId="6" applyNumberFormat="1" applyFont="1" applyFill="1" applyBorder="1" applyAlignment="1">
      <alignment horizontal="center" vertical="center" wrapText="1"/>
    </xf>
    <xf numFmtId="9" fontId="15" fillId="0" borderId="0" xfId="3" applyFont="1" applyFill="1" applyBorder="1" applyAlignment="1">
      <alignment horizontal="center" vertical="center"/>
    </xf>
    <xf numFmtId="0" fontId="16" fillId="0" borderId="0" xfId="0" applyFont="1" applyFill="1" applyBorder="1" applyAlignment="1">
      <alignment horizontal="left"/>
    </xf>
    <xf numFmtId="166" fontId="16" fillId="0" borderId="0" xfId="6" applyNumberFormat="1" applyFont="1" applyFill="1" applyBorder="1"/>
    <xf numFmtId="10" fontId="16" fillId="0" borderId="0" xfId="5" applyNumberFormat="1" applyFont="1" applyFill="1" applyBorder="1"/>
    <xf numFmtId="0" fontId="25" fillId="0" borderId="0" xfId="0" applyFont="1" applyFill="1" applyBorder="1"/>
    <xf numFmtId="0" fontId="25" fillId="0" borderId="0" xfId="0" applyFont="1" applyFill="1" applyBorder="1" applyAlignment="1">
      <alignment horizontal="center"/>
    </xf>
    <xf numFmtId="9" fontId="26" fillId="0" borderId="0" xfId="5" applyFont="1" applyFill="1" applyBorder="1" applyAlignment="1">
      <alignment horizontal="center"/>
    </xf>
    <xf numFmtId="0" fontId="26" fillId="0" borderId="0" xfId="0" applyFont="1" applyFill="1" applyBorder="1"/>
    <xf numFmtId="166" fontId="30" fillId="0" borderId="0" xfId="6" applyNumberFormat="1" applyFont="1" applyFill="1" applyBorder="1"/>
    <xf numFmtId="9" fontId="30" fillId="0" borderId="0" xfId="5" applyFont="1" applyFill="1" applyBorder="1" applyAlignment="1">
      <alignment horizontal="center" vertical="center"/>
    </xf>
    <xf numFmtId="10" fontId="30" fillId="0" borderId="0" xfId="5" applyNumberFormat="1" applyFont="1" applyFill="1" applyBorder="1" applyAlignment="1">
      <alignment horizontal="center" vertical="center"/>
    </xf>
    <xf numFmtId="10" fontId="30" fillId="0" borderId="0" xfId="5" applyNumberFormat="1" applyFont="1" applyFill="1" applyBorder="1" applyAlignment="1">
      <alignment horizontal="center"/>
    </xf>
    <xf numFmtId="164" fontId="26" fillId="0" borderId="0" xfId="0" applyNumberFormat="1" applyFont="1" applyFill="1" applyBorder="1" applyAlignment="1">
      <alignment horizontal="left"/>
    </xf>
    <xf numFmtId="43" fontId="19" fillId="10" borderId="11" xfId="12" applyFont="1" applyFill="1" applyBorder="1" applyAlignment="1" applyProtection="1">
      <alignment vertical="center"/>
      <protection locked="0"/>
    </xf>
    <xf numFmtId="166" fontId="4" fillId="0" borderId="10" xfId="2" applyNumberFormat="1" applyFont="1" applyFill="1" applyBorder="1" applyAlignment="1">
      <alignment horizontal="justify"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166" fontId="10" fillId="5" borderId="7" xfId="2" applyNumberFormat="1" applyFont="1" applyFill="1" applyBorder="1" applyAlignment="1">
      <alignment horizontal="center" vertical="center" wrapText="1"/>
    </xf>
    <xf numFmtId="166" fontId="10" fillId="5" borderId="8" xfId="2" applyNumberFormat="1" applyFont="1" applyFill="1" applyBorder="1" applyAlignment="1">
      <alignment horizontal="center" vertical="center" wrapText="1"/>
    </xf>
    <xf numFmtId="166" fontId="10" fillId="5" borderId="9" xfId="2" applyNumberFormat="1" applyFont="1" applyFill="1" applyBorder="1" applyAlignment="1">
      <alignment horizontal="center" vertical="center" wrapText="1"/>
    </xf>
    <xf numFmtId="166" fontId="8" fillId="5" borderId="7" xfId="2" applyNumberFormat="1" applyFont="1" applyFill="1" applyBorder="1" applyAlignment="1">
      <alignment horizontal="center" vertical="center" wrapText="1"/>
    </xf>
    <xf numFmtId="166" fontId="8" fillId="5" borderId="8" xfId="2" applyNumberFormat="1" applyFont="1" applyFill="1" applyBorder="1" applyAlignment="1">
      <alignment horizontal="center" vertical="center" wrapText="1"/>
    </xf>
    <xf numFmtId="166" fontId="8" fillId="5" borderId="9" xfId="2" applyNumberFormat="1" applyFont="1" applyFill="1" applyBorder="1" applyAlignment="1">
      <alignment horizontal="center" vertical="center" wrapText="1"/>
    </xf>
    <xf numFmtId="167" fontId="7" fillId="5" borderId="7" xfId="1" applyNumberFormat="1" applyFont="1" applyFill="1" applyBorder="1" applyAlignment="1">
      <alignment horizontal="center" vertical="center" wrapText="1"/>
    </xf>
    <xf numFmtId="167" fontId="7" fillId="5" borderId="8" xfId="1" applyNumberFormat="1" applyFont="1" applyFill="1" applyBorder="1" applyAlignment="1">
      <alignment horizontal="center" vertical="center" wrapText="1"/>
    </xf>
    <xf numFmtId="167" fontId="7" fillId="5" borderId="9" xfId="1" applyNumberFormat="1" applyFont="1" applyFill="1" applyBorder="1" applyAlignment="1">
      <alignment horizontal="center" vertical="center" wrapText="1"/>
    </xf>
    <xf numFmtId="166" fontId="7" fillId="5" borderId="7" xfId="2" applyNumberFormat="1" applyFont="1" applyFill="1" applyBorder="1" applyAlignment="1">
      <alignment horizontal="center" vertical="center" wrapText="1"/>
    </xf>
    <xf numFmtId="166" fontId="7" fillId="5" borderId="8" xfId="2" applyNumberFormat="1" applyFont="1" applyFill="1" applyBorder="1" applyAlignment="1">
      <alignment horizontal="center" vertical="center" wrapText="1"/>
    </xf>
    <xf numFmtId="166" fontId="7" fillId="5" borderId="9" xfId="2"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4" fillId="0" borderId="10" xfId="0" applyFont="1" applyBorder="1" applyAlignment="1">
      <alignment horizontal="center" vertical="center" wrapText="1"/>
    </xf>
    <xf numFmtId="0" fontId="12" fillId="0" borderId="10" xfId="0" applyFont="1" applyBorder="1" applyAlignment="1">
      <alignment horizontal="center" vertical="center" wrapText="1"/>
    </xf>
    <xf numFmtId="166" fontId="4" fillId="0" borderId="10" xfId="2" applyNumberFormat="1" applyFont="1" applyBorder="1" applyAlignment="1">
      <alignment horizontal="justify" vertical="center" wrapText="1"/>
    </xf>
    <xf numFmtId="0" fontId="4" fillId="0" borderId="10" xfId="0" applyFont="1" applyBorder="1" applyAlignment="1">
      <alignment horizontal="justify" vertical="center"/>
    </xf>
    <xf numFmtId="0" fontId="4" fillId="0" borderId="10" xfId="0" applyFont="1" applyBorder="1" applyAlignment="1">
      <alignment horizontal="justify" vertical="center" wrapText="1"/>
    </xf>
    <xf numFmtId="0" fontId="12" fillId="0" borderId="10" xfId="0" applyFont="1" applyBorder="1" applyAlignment="1">
      <alignment horizontal="justify" vertical="center" wrapText="1"/>
    </xf>
    <xf numFmtId="0" fontId="4" fillId="0" borderId="13" xfId="0" applyFont="1" applyBorder="1" applyAlignment="1">
      <alignment horizontal="justify" vertical="center"/>
    </xf>
    <xf numFmtId="0" fontId="12" fillId="0" borderId="13" xfId="0" applyFont="1" applyBorder="1" applyAlignment="1">
      <alignment horizontal="center" vertical="center" wrapText="1"/>
    </xf>
    <xf numFmtId="0" fontId="4" fillId="0" borderId="13" xfId="0" applyFont="1" applyBorder="1" applyAlignment="1">
      <alignment horizontal="justify" vertical="center" wrapText="1"/>
    </xf>
    <xf numFmtId="0" fontId="4" fillId="0" borderId="11" xfId="0" applyFont="1" applyBorder="1" applyAlignment="1">
      <alignment horizontal="justify" vertical="center"/>
    </xf>
    <xf numFmtId="0" fontId="12" fillId="0" borderId="11" xfId="0" applyFont="1" applyBorder="1" applyAlignment="1">
      <alignment horizontal="center" vertical="center" wrapText="1"/>
    </xf>
    <xf numFmtId="0" fontId="4" fillId="0" borderId="11" xfId="0" applyFont="1" applyBorder="1" applyAlignment="1">
      <alignment horizontal="justify" vertical="center" wrapText="1"/>
    </xf>
    <xf numFmtId="0" fontId="7" fillId="4" borderId="8" xfId="0" applyFont="1" applyFill="1" applyBorder="1" applyAlignment="1">
      <alignment horizontal="center" vertical="center"/>
    </xf>
    <xf numFmtId="0" fontId="12"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3" xfId="0" applyFont="1" applyFill="1" applyBorder="1" applyAlignment="1">
      <alignment horizontal="justify" vertical="center"/>
    </xf>
    <xf numFmtId="0" fontId="4" fillId="0" borderId="10" xfId="0" applyFont="1" applyFill="1" applyBorder="1" applyAlignment="1">
      <alignment horizontal="justify" vertical="center"/>
    </xf>
    <xf numFmtId="0" fontId="4" fillId="0" borderId="11" xfId="0" applyFont="1" applyFill="1" applyBorder="1" applyAlignment="1">
      <alignment horizontal="justify"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12" fillId="0" borderId="13" xfId="0" applyFont="1" applyFill="1" applyBorder="1" applyAlignment="1">
      <alignment horizontal="center" vertical="center" wrapText="1"/>
    </xf>
    <xf numFmtId="0" fontId="4" fillId="0" borderId="13" xfId="0" applyFont="1" applyFill="1" applyBorder="1" applyAlignment="1">
      <alignment horizontal="justify"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3" fontId="4" fillId="0" borderId="13" xfId="0" applyNumberFormat="1" applyFont="1" applyFill="1" applyBorder="1" applyAlignment="1">
      <alignment horizontal="justify" vertical="center" wrapText="1"/>
    </xf>
    <xf numFmtId="3" fontId="4" fillId="0" borderId="10" xfId="0" applyNumberFormat="1" applyFont="1" applyFill="1" applyBorder="1" applyAlignment="1">
      <alignment horizontal="justify" vertical="center" wrapText="1"/>
    </xf>
    <xf numFmtId="3" fontId="4" fillId="0" borderId="11" xfId="0" applyNumberFormat="1" applyFont="1" applyFill="1" applyBorder="1" applyAlignment="1">
      <alignment horizontal="justify" vertical="center" wrapText="1"/>
    </xf>
    <xf numFmtId="3" fontId="4" fillId="0" borderId="10" xfId="0" applyNumberFormat="1" applyFont="1" applyFill="1" applyBorder="1" applyAlignment="1">
      <alignment horizontal="left" vertical="center" wrapText="1"/>
    </xf>
    <xf numFmtId="3" fontId="4" fillId="0" borderId="11" xfId="0" applyNumberFormat="1" applyFont="1" applyFill="1" applyBorder="1" applyAlignment="1">
      <alignment horizontal="left" vertical="center" wrapText="1"/>
    </xf>
    <xf numFmtId="0" fontId="4" fillId="0" borderId="8" xfId="0" applyFont="1" applyBorder="1" applyAlignment="1">
      <alignment horizontal="center" vertical="center" wrapText="1"/>
    </xf>
    <xf numFmtId="3" fontId="4" fillId="0" borderId="13" xfId="0" applyNumberFormat="1" applyFont="1" applyBorder="1" applyAlignment="1">
      <alignment horizontal="left" vertical="center"/>
    </xf>
    <xf numFmtId="3" fontId="4" fillId="0" borderId="11" xfId="0" applyNumberFormat="1" applyFont="1" applyBorder="1" applyAlignment="1">
      <alignment horizontal="left" vertical="center"/>
    </xf>
    <xf numFmtId="3" fontId="4" fillId="0" borderId="13"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12" fillId="0" borderId="13" xfId="3" applyNumberFormat="1" applyFont="1" applyFill="1" applyBorder="1" applyAlignment="1">
      <alignment horizontal="center" vertical="center" wrapText="1"/>
    </xf>
    <xf numFmtId="3" fontId="12" fillId="0" borderId="11" xfId="3" applyNumberFormat="1" applyFont="1" applyFill="1" applyBorder="1" applyAlignment="1">
      <alignment horizontal="center" vertical="center" wrapText="1"/>
    </xf>
    <xf numFmtId="3" fontId="6" fillId="0" borderId="13" xfId="0" applyNumberFormat="1" applyFont="1" applyBorder="1" applyAlignment="1">
      <alignment horizontal="left" vertical="center"/>
    </xf>
    <xf numFmtId="3" fontId="6" fillId="0" borderId="10" xfId="0" applyNumberFormat="1" applyFont="1" applyBorder="1" applyAlignment="1">
      <alignment horizontal="left" vertical="center"/>
    </xf>
    <xf numFmtId="3" fontId="4" fillId="0" borderId="10" xfId="0" applyNumberFormat="1" applyFont="1" applyFill="1" applyBorder="1" applyAlignment="1">
      <alignment horizontal="left" vertical="center"/>
    </xf>
    <xf numFmtId="3" fontId="4" fillId="0" borderId="10" xfId="0" applyNumberFormat="1" applyFont="1" applyBorder="1" applyAlignment="1">
      <alignment horizontal="left" vertical="center"/>
    </xf>
    <xf numFmtId="1" fontId="4" fillId="0" borderId="13" xfId="3" applyNumberFormat="1" applyFont="1" applyBorder="1" applyAlignment="1">
      <alignment horizontal="center" vertical="center" wrapText="1"/>
    </xf>
    <xf numFmtId="1" fontId="4" fillId="0" borderId="10" xfId="3" applyNumberFormat="1" applyFont="1" applyBorder="1" applyAlignment="1">
      <alignment horizontal="center" vertical="center" wrapText="1"/>
    </xf>
    <xf numFmtId="1" fontId="4" fillId="0" borderId="11" xfId="3"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13" xfId="0" applyFont="1" applyBorder="1" applyAlignment="1">
      <alignment horizontal="center" vertical="center"/>
    </xf>
    <xf numFmtId="0" fontId="12" fillId="0" borderId="11" xfId="0" applyFont="1" applyBorder="1" applyAlignment="1">
      <alignment horizontal="center" vertical="center"/>
    </xf>
    <xf numFmtId="3" fontId="4" fillId="0" borderId="13" xfId="0" applyNumberFormat="1" applyFont="1" applyBorder="1" applyAlignment="1">
      <alignment horizontal="justify" vertical="center"/>
    </xf>
    <xf numFmtId="3" fontId="4" fillId="0" borderId="11" xfId="0" applyNumberFormat="1" applyFont="1" applyBorder="1" applyAlignment="1">
      <alignment horizontal="justify" vertical="center"/>
    </xf>
    <xf numFmtId="0" fontId="12" fillId="0" borderId="10" xfId="0" applyFont="1" applyBorder="1" applyAlignment="1">
      <alignment horizontal="center" vertical="center"/>
    </xf>
    <xf numFmtId="0" fontId="6" fillId="0" borderId="13"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1" fontId="4" fillId="0" borderId="13" xfId="3" applyNumberFormat="1" applyFont="1" applyFill="1" applyBorder="1" applyAlignment="1">
      <alignment horizontal="center" vertical="center" wrapText="1"/>
    </xf>
    <xf numFmtId="1" fontId="4" fillId="0" borderId="11" xfId="3" applyNumberFormat="1" applyFont="1" applyFill="1" applyBorder="1" applyAlignment="1">
      <alignment horizontal="center" vertical="center" wrapText="1"/>
    </xf>
    <xf numFmtId="0" fontId="7" fillId="12" borderId="16"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24" fillId="14" borderId="7" xfId="0" applyFont="1" applyFill="1" applyBorder="1" applyAlignment="1">
      <alignment horizontal="left" vertical="center" wrapText="1"/>
    </xf>
    <xf numFmtId="0" fontId="24" fillId="14" borderId="8" xfId="0" applyFont="1" applyFill="1" applyBorder="1" applyAlignment="1">
      <alignment horizontal="left" vertical="center" wrapText="1"/>
    </xf>
    <xf numFmtId="0" fontId="7" fillId="4" borderId="3" xfId="0" applyFont="1" applyFill="1" applyBorder="1" applyAlignment="1">
      <alignment horizontal="left" vertical="center" wrapText="1"/>
    </xf>
    <xf numFmtId="166" fontId="4" fillId="0" borderId="13" xfId="0" applyNumberFormat="1" applyFont="1" applyBorder="1" applyAlignment="1">
      <alignment horizontal="justify" vertical="center" wrapText="1"/>
    </xf>
    <xf numFmtId="166" fontId="4" fillId="0" borderId="10" xfId="0" applyNumberFormat="1" applyFont="1" applyBorder="1" applyAlignment="1">
      <alignment horizontal="justify" vertical="center" wrapText="1"/>
    </xf>
    <xf numFmtId="166" fontId="4" fillId="0" borderId="11" xfId="0" applyNumberFormat="1" applyFont="1" applyBorder="1" applyAlignment="1">
      <alignment horizontal="justify" vertical="center" wrapText="1"/>
    </xf>
    <xf numFmtId="164" fontId="7" fillId="12" borderId="7" xfId="2" applyFont="1" applyFill="1" applyBorder="1" applyAlignment="1">
      <alignment horizontal="left" vertical="center"/>
    </xf>
    <xf numFmtId="164" fontId="7" fillId="12" borderId="8" xfId="2" applyFont="1" applyFill="1" applyBorder="1" applyAlignment="1">
      <alignment horizontal="left" vertical="center"/>
    </xf>
    <xf numFmtId="164" fontId="7" fillId="12" borderId="9" xfId="2" applyFont="1" applyFill="1" applyBorder="1" applyAlignment="1">
      <alignment horizontal="left" vertical="center"/>
    </xf>
    <xf numFmtId="0" fontId="7" fillId="0" borderId="3" xfId="0" applyFont="1" applyBorder="1" applyAlignment="1">
      <alignment horizontal="center" vertical="center" wrapText="1"/>
    </xf>
    <xf numFmtId="0" fontId="12" fillId="0" borderId="3" xfId="0" applyFont="1" applyBorder="1" applyAlignment="1">
      <alignment horizontal="center" vertical="center"/>
    </xf>
    <xf numFmtId="0" fontId="6" fillId="0" borderId="3" xfId="0" applyFont="1" applyBorder="1" applyAlignment="1">
      <alignment horizontal="justify" vertical="center" wrapText="1"/>
    </xf>
    <xf numFmtId="0" fontId="7" fillId="3" borderId="3" xfId="0" applyFont="1" applyFill="1" applyBorder="1" applyAlignment="1">
      <alignment horizontal="left"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166" fontId="15" fillId="0" borderId="0" xfId="6" applyNumberFormat="1" applyFont="1" applyFill="1" applyBorder="1" applyAlignment="1">
      <alignment horizontal="center"/>
    </xf>
    <xf numFmtId="0" fontId="25" fillId="0" borderId="0" xfId="0" applyFont="1" applyFill="1" applyBorder="1" applyAlignment="1">
      <alignment horizontal="center" wrapText="1"/>
    </xf>
  </cellXfs>
  <cellStyles count="45">
    <cellStyle name="Excel Built-in Normal" xfId="16"/>
    <cellStyle name="Excel Built-in Normal 2" xfId="35"/>
    <cellStyle name="Millares" xfId="1" builtinId="3"/>
    <cellStyle name="Millares [0]" xfId="4" builtinId="6"/>
    <cellStyle name="Millares [0] 2" xfId="22"/>
    <cellStyle name="Millares [0] 3" xfId="21"/>
    <cellStyle name="Millares [0] 4" xfId="37"/>
    <cellStyle name="Millares 2" xfId="2"/>
    <cellStyle name="Millares 2 2" xfId="12"/>
    <cellStyle name="Millares 2 2 2" xfId="38"/>
    <cellStyle name="Millares 2 3" xfId="32"/>
    <cellStyle name="Millares 2 4" xfId="6"/>
    <cellStyle name="Millares 3" xfId="40"/>
    <cellStyle name="Millares 3 2" xfId="31"/>
    <cellStyle name="Millares 3 3" xfId="7"/>
    <cellStyle name="Millares 4" xfId="23"/>
    <cellStyle name="Millares 4 2" xfId="29"/>
    <cellStyle name="Millares 6" xfId="41"/>
    <cellStyle name="Moneda [0] 2" xfId="36"/>
    <cellStyle name="Moneda [0] 2 3" xfId="26"/>
    <cellStyle name="Moneda [0] 3" xfId="33"/>
    <cellStyle name="Moneda 2" xfId="9"/>
    <cellStyle name="Moneda 2 2" xfId="19"/>
    <cellStyle name="Moneda 3" xfId="28"/>
    <cellStyle name="Moneda 4" xfId="8"/>
    <cellStyle name="Moneda 5" xfId="42"/>
    <cellStyle name="Normal" xfId="0" builtinId="0"/>
    <cellStyle name="Normal 2" xfId="10"/>
    <cellStyle name="Normal 2 2" xfId="18"/>
    <cellStyle name="Normal 2 2 2" xfId="15"/>
    <cellStyle name="Normal 2 2 2 2" xfId="39"/>
    <cellStyle name="Normal 2 2 3" xfId="27"/>
    <cellStyle name="Normal 3" xfId="44"/>
    <cellStyle name="Normal 3 2" xfId="11"/>
    <cellStyle name="Normal 4" xfId="17"/>
    <cellStyle name="Normal 5" xfId="43"/>
    <cellStyle name="Normal 7" xfId="34"/>
    <cellStyle name="Porcentaje" xfId="5" builtinId="5"/>
    <cellStyle name="Porcentaje 2" xfId="3"/>
    <cellStyle name="Porcentaje 2 2" xfId="20"/>
    <cellStyle name="Porcentaje 2 2 2" xfId="24"/>
    <cellStyle name="Porcentaje 2 2 2 2" xfId="25"/>
    <cellStyle name="Porcentaje 2 3" xfId="14"/>
    <cellStyle name="Porcentaje 3 2" xfId="13"/>
    <cellStyle name="Porcentual 2" xfId="3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O" sz="1000" b="1"/>
              <a:t>Departamento del Quindío</a:t>
            </a:r>
          </a:p>
          <a:p>
            <a:pPr>
              <a:defRPr sz="1000" b="1" i="0" u="none" strike="noStrike" kern="1200" spc="0" baseline="0">
                <a:solidFill>
                  <a:schemeClr val="tx1">
                    <a:lumMod val="65000"/>
                    <a:lumOff val="35000"/>
                  </a:schemeClr>
                </a:solidFill>
                <a:latin typeface="+mn-lt"/>
                <a:ea typeface="+mn-ea"/>
                <a:cs typeface="+mn-cs"/>
              </a:defRPr>
            </a:pPr>
            <a:r>
              <a:rPr lang="es-CO" sz="1000" b="1"/>
              <a:t>Estado de ejecución gastos de inversión</a:t>
            </a:r>
          </a:p>
          <a:p>
            <a:pPr>
              <a:defRPr sz="1000" b="1" i="0" u="none" strike="noStrike" kern="1200" spc="0" baseline="0">
                <a:solidFill>
                  <a:schemeClr val="tx1">
                    <a:lumMod val="65000"/>
                    <a:lumOff val="35000"/>
                  </a:schemeClr>
                </a:solidFill>
                <a:latin typeface="+mn-lt"/>
                <a:ea typeface="+mn-ea"/>
                <a:cs typeface="+mn-cs"/>
              </a:defRPr>
            </a:pPr>
            <a:r>
              <a:rPr lang="es-CO" sz="1000" b="1" baseline="0"/>
              <a:t> a marzo 31 de 2020</a:t>
            </a:r>
            <a:r>
              <a:rPr lang="es-CO" sz="1000" b="1"/>
              <a:t> </a:t>
            </a:r>
          </a:p>
        </c:rich>
      </c:tx>
      <c:overlay val="0"/>
      <c:spPr>
        <a:noFill/>
        <a:ln w="25400">
          <a:noFill/>
        </a:ln>
      </c:spPr>
    </c:title>
    <c:autoTitleDeleted val="0"/>
    <c:plotArea>
      <c:layout/>
      <c:barChart>
        <c:barDir val="col"/>
        <c:grouping val="clustered"/>
        <c:varyColors val="0"/>
        <c:ser>
          <c:idx val="0"/>
          <c:order val="0"/>
          <c:tx>
            <c:strRef>
              <c:f>UNIDADES!$C$29</c:f>
              <c:strCache>
                <c:ptCount val="1"/>
                <c:pt idx="0">
                  <c:v>Valor</c:v>
                </c:pt>
              </c:strCache>
            </c:strRef>
          </c:tx>
          <c:spPr>
            <a:solidFill>
              <a:srgbClr val="5B9BD5"/>
            </a:solidFill>
            <a:ln w="25400">
              <a:noFill/>
            </a:ln>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1-3442-4347-9965-F590AE9BDDC3}"/>
              </c:ext>
            </c:extLst>
          </c:dPt>
          <c:dPt>
            <c:idx val="1"/>
            <c:invertIfNegative val="0"/>
            <c:bubble3D val="0"/>
            <c:spPr>
              <a:solidFill>
                <a:srgbClr val="92D050"/>
              </a:solidFill>
              <a:ln w="25400">
                <a:noFill/>
              </a:ln>
            </c:spPr>
            <c:extLst>
              <c:ext xmlns:c16="http://schemas.microsoft.com/office/drawing/2014/chart" uri="{C3380CC4-5D6E-409C-BE32-E72D297353CC}">
                <c16:uniqueId val="{00000003-3442-4347-9965-F590AE9BDDC3}"/>
              </c:ext>
            </c:extLst>
          </c:dPt>
          <c:dPt>
            <c:idx val="2"/>
            <c:invertIfNegative val="0"/>
            <c:bubble3D val="0"/>
            <c:spPr>
              <a:solidFill>
                <a:srgbClr val="0070C0"/>
              </a:solidFill>
              <a:ln w="25400">
                <a:noFill/>
              </a:ln>
            </c:spPr>
            <c:extLst>
              <c:ext xmlns:c16="http://schemas.microsoft.com/office/drawing/2014/chart" uri="{C3380CC4-5D6E-409C-BE32-E72D297353CC}">
                <c16:uniqueId val="{00000005-3442-4347-9965-F590AE9BDDC3}"/>
              </c:ext>
            </c:extLst>
          </c:dPt>
          <c:dPt>
            <c:idx val="3"/>
            <c:invertIfNegative val="0"/>
            <c:bubble3D val="0"/>
            <c:spPr>
              <a:solidFill>
                <a:srgbClr val="FFC000"/>
              </a:solidFill>
              <a:ln w="25400">
                <a:noFill/>
              </a:ln>
            </c:spPr>
            <c:extLst>
              <c:ext xmlns:c16="http://schemas.microsoft.com/office/drawing/2014/chart" uri="{C3380CC4-5D6E-409C-BE32-E72D297353CC}">
                <c16:uniqueId val="{00000007-3442-4347-9965-F590AE9BDDC3}"/>
              </c:ext>
            </c:extLst>
          </c:dPt>
          <c:cat>
            <c:strRef>
              <c:f>UNIDADES!$B$30:$B$35</c:f>
              <c:strCache>
                <c:ptCount val="6"/>
                <c:pt idx="0">
                  <c:v>Definitivo</c:v>
                </c:pt>
                <c:pt idx="1">
                  <c:v>Certificados</c:v>
                </c:pt>
                <c:pt idx="2">
                  <c:v>Compromisos</c:v>
                </c:pt>
                <c:pt idx="3">
                  <c:v>Obligaciones</c:v>
                </c:pt>
                <c:pt idx="4">
                  <c:v>Pagos</c:v>
                </c:pt>
                <c:pt idx="5">
                  <c:v>Disponible</c:v>
                </c:pt>
              </c:strCache>
            </c:strRef>
          </c:cat>
          <c:val>
            <c:numRef>
              <c:f>UNIDADES!$C$30:$C$35</c:f>
              <c:numCache>
                <c:formatCode>_(* #,##0_);_(* \(#,##0\);_(* "-"??_);_(@_)</c:formatCode>
                <c:ptCount val="6"/>
                <c:pt idx="0">
                  <c:v>256811202966</c:v>
                </c:pt>
                <c:pt idx="1">
                  <c:v>61381834218</c:v>
                </c:pt>
                <c:pt idx="2">
                  <c:v>53848328749</c:v>
                </c:pt>
                <c:pt idx="3">
                  <c:v>36048420026</c:v>
                </c:pt>
                <c:pt idx="4">
                  <c:v>36048420026</c:v>
                </c:pt>
                <c:pt idx="5">
                  <c:v>195429368748</c:v>
                </c:pt>
              </c:numCache>
            </c:numRef>
          </c:val>
          <c:extLst>
            <c:ext xmlns:c16="http://schemas.microsoft.com/office/drawing/2014/chart" uri="{C3380CC4-5D6E-409C-BE32-E72D297353CC}">
              <c16:uniqueId val="{00000008-3442-4347-9965-F590AE9BDDC3}"/>
            </c:ext>
          </c:extLst>
        </c:ser>
        <c:ser>
          <c:idx val="1"/>
          <c:order val="1"/>
          <c:tx>
            <c:strRef>
              <c:f>UNIDADES!$D$29</c:f>
              <c:strCache>
                <c:ptCount val="1"/>
                <c:pt idx="0">
                  <c:v>%</c:v>
                </c:pt>
              </c:strCache>
            </c:strRef>
          </c:tx>
          <c:spPr>
            <a:solidFill>
              <a:srgbClr val="ED7D31"/>
            </a:solidFill>
            <a:ln w="25400">
              <a:noFill/>
            </a:ln>
          </c:spPr>
          <c:invertIfNegative val="0"/>
          <c:cat>
            <c:strRef>
              <c:f>UNIDADES!$B$30:$B$35</c:f>
              <c:strCache>
                <c:ptCount val="6"/>
                <c:pt idx="0">
                  <c:v>Definitivo</c:v>
                </c:pt>
                <c:pt idx="1">
                  <c:v>Certificados</c:v>
                </c:pt>
                <c:pt idx="2">
                  <c:v>Compromisos</c:v>
                </c:pt>
                <c:pt idx="3">
                  <c:v>Obligaciones</c:v>
                </c:pt>
                <c:pt idx="4">
                  <c:v>Pagos</c:v>
                </c:pt>
                <c:pt idx="5">
                  <c:v>Disponible</c:v>
                </c:pt>
              </c:strCache>
            </c:strRef>
          </c:cat>
          <c:val>
            <c:numRef>
              <c:f>UNIDADES!$D$30:$D$35</c:f>
              <c:numCache>
                <c:formatCode>0.00%</c:formatCode>
                <c:ptCount val="6"/>
                <c:pt idx="0" formatCode="0%">
                  <c:v>1</c:v>
                </c:pt>
                <c:pt idx="1">
                  <c:v>0.23901540707368021</c:v>
                </c:pt>
                <c:pt idx="2">
                  <c:v>0.20968060632514204</c:v>
                </c:pt>
                <c:pt idx="3">
                  <c:v>0.669443618093151</c:v>
                </c:pt>
                <c:pt idx="4">
                  <c:v>0.669443618093151</c:v>
                </c:pt>
                <c:pt idx="5">
                  <c:v>0.76098459292631981</c:v>
                </c:pt>
              </c:numCache>
            </c:numRef>
          </c:val>
          <c:extLst>
            <c:ext xmlns:c16="http://schemas.microsoft.com/office/drawing/2014/chart" uri="{C3380CC4-5D6E-409C-BE32-E72D297353CC}">
              <c16:uniqueId val="{00000009-3442-4347-9965-F590AE9BDDC3}"/>
            </c:ext>
          </c:extLst>
        </c:ser>
        <c:dLbls>
          <c:showLegendKey val="0"/>
          <c:showVal val="0"/>
          <c:showCatName val="0"/>
          <c:showSerName val="0"/>
          <c:showPercent val="0"/>
          <c:showBubbleSize val="0"/>
        </c:dLbls>
        <c:gapWidth val="219"/>
        <c:overlap val="-27"/>
        <c:axId val="1672159007"/>
        <c:axId val="1"/>
      </c:barChart>
      <c:catAx>
        <c:axId val="1672159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215900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Departamento Quindío</a:t>
            </a:r>
          </a:p>
          <a:p>
            <a:pPr>
              <a:defRPr/>
            </a:pPr>
            <a:r>
              <a:rPr lang="es-CO"/>
              <a:t>avance porcentaje de ejecución gastos de inversión por unidad ejecutora</a:t>
            </a:r>
          </a:p>
          <a:p>
            <a:pPr>
              <a:defRPr/>
            </a:pPr>
            <a:r>
              <a:rPr lang="es-CO"/>
              <a:t>a marzo 31</a:t>
            </a:r>
            <a:r>
              <a:rPr lang="es-CO" baseline="0"/>
              <a:t> de 2020</a:t>
            </a:r>
            <a:r>
              <a:rPr lang="es-CO"/>
              <a:t>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UNIDADES!$D$2</c:f>
              <c:strCache>
                <c:ptCount val="1"/>
                <c:pt idx="0">
                  <c:v>% PD</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UNIDADES!$D$3:$D$22</c15:sqref>
                  </c15:fullRef>
                </c:ext>
              </c:extLst>
              <c:f>(UNIDADES!$D$3:$D$15,UNIDADES!$D$17:$D$19,UNIDADES!$D$22)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5AA2-49DC-B2DD-90C505303D28}"/>
            </c:ext>
          </c:extLst>
        </c:ser>
        <c:ser>
          <c:idx val="1"/>
          <c:order val="1"/>
          <c:tx>
            <c:strRef>
              <c:f>UNIDADES!$F$2</c:f>
              <c:strCache>
                <c:ptCount val="1"/>
                <c:pt idx="0">
                  <c:v>% CDP</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UNIDADES!$F$3:$F$22</c15:sqref>
                  </c15:fullRef>
                </c:ext>
              </c:extLst>
              <c:f>(UNIDADES!$F$3:$F$15,UNIDADES!$F$17:$F$19,UNIDADES!$F$22)</c:f>
              <c:numCache>
                <c:formatCode>0%</c:formatCode>
                <c:ptCount val="17"/>
                <c:pt idx="0">
                  <c:v>0</c:v>
                </c:pt>
                <c:pt idx="1">
                  <c:v>0.21415537068971241</c:v>
                </c:pt>
                <c:pt idx="2">
                  <c:v>0.70666907501012755</c:v>
                </c:pt>
                <c:pt idx="3">
                  <c:v>6.5027664521942308E-2</c:v>
                </c:pt>
                <c:pt idx="4">
                  <c:v>0.20295688185987709</c:v>
                </c:pt>
                <c:pt idx="5">
                  <c:v>4.2927383377856732E-2</c:v>
                </c:pt>
                <c:pt idx="6">
                  <c:v>0.30007327887094587</c:v>
                </c:pt>
                <c:pt idx="7">
                  <c:v>0.12217966577459712</c:v>
                </c:pt>
                <c:pt idx="8">
                  <c:v>0.50456028053493984</c:v>
                </c:pt>
                <c:pt idx="9">
                  <c:v>0.29768742883306981</c:v>
                </c:pt>
                <c:pt idx="10">
                  <c:v>5.7299000527527365E-2</c:v>
                </c:pt>
                <c:pt idx="11">
                  <c:v>7.368879089989841E-2</c:v>
                </c:pt>
                <c:pt idx="12">
                  <c:v>0.29821834778454315</c:v>
                </c:pt>
                <c:pt idx="13">
                  <c:v>0.25323922154256379</c:v>
                </c:pt>
                <c:pt idx="14">
                  <c:v>0.19658130012631109</c:v>
                </c:pt>
                <c:pt idx="15">
                  <c:v>0.21591588785046728</c:v>
                </c:pt>
                <c:pt idx="16" formatCode="0.00%">
                  <c:v>0.23901540707368021</c:v>
                </c:pt>
              </c:numCache>
            </c:numRef>
          </c:val>
          <c:extLst>
            <c:ext xmlns:c16="http://schemas.microsoft.com/office/drawing/2014/chart" uri="{C3380CC4-5D6E-409C-BE32-E72D297353CC}">
              <c16:uniqueId val="{00000001-5AA2-49DC-B2DD-90C505303D28}"/>
            </c:ext>
          </c:extLst>
        </c:ser>
        <c:ser>
          <c:idx val="2"/>
          <c:order val="2"/>
          <c:tx>
            <c:strRef>
              <c:f>UNIDADES!$H$2</c:f>
              <c:strCache>
                <c:ptCount val="1"/>
                <c:pt idx="0">
                  <c:v>% RP</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UNIDADES!$H$3:$H$22</c15:sqref>
                  </c15:fullRef>
                </c:ext>
              </c:extLst>
              <c:f>(UNIDADES!$H$3:$H$15,UNIDADES!$H$17:$H$19,UNIDADES!$H$22)</c:f>
              <c:numCache>
                <c:formatCode>0.00%</c:formatCode>
                <c:ptCount val="17"/>
                <c:pt idx="0">
                  <c:v>0</c:v>
                </c:pt>
                <c:pt idx="1">
                  <c:v>0.19979703029108992</c:v>
                </c:pt>
                <c:pt idx="2">
                  <c:v>0.42216067849763833</c:v>
                </c:pt>
                <c:pt idx="3">
                  <c:v>4.2435727491584349E-2</c:v>
                </c:pt>
                <c:pt idx="4">
                  <c:v>5.9096251664839193E-2</c:v>
                </c:pt>
                <c:pt idx="5">
                  <c:v>3.669699391808072E-2</c:v>
                </c:pt>
                <c:pt idx="6">
                  <c:v>0.21836341321753291</c:v>
                </c:pt>
                <c:pt idx="7">
                  <c:v>0.10804607685886422</c:v>
                </c:pt>
                <c:pt idx="8">
                  <c:v>0.22090992396886172</c:v>
                </c:pt>
                <c:pt idx="9">
                  <c:v>0.27625340300101642</c:v>
                </c:pt>
                <c:pt idx="10">
                  <c:v>5.5791276414583174E-2</c:v>
                </c:pt>
                <c:pt idx="11">
                  <c:v>3.1212011254730821E-2</c:v>
                </c:pt>
                <c:pt idx="12">
                  <c:v>0.29821834778454315</c:v>
                </c:pt>
                <c:pt idx="13">
                  <c:v>0.18053776257224655</c:v>
                </c:pt>
                <c:pt idx="14">
                  <c:v>0.19658130012631109</c:v>
                </c:pt>
                <c:pt idx="15">
                  <c:v>0.1296448598130841</c:v>
                </c:pt>
                <c:pt idx="16">
                  <c:v>0.20968060632514204</c:v>
                </c:pt>
              </c:numCache>
            </c:numRef>
          </c:val>
          <c:extLst>
            <c:ext xmlns:c16="http://schemas.microsoft.com/office/drawing/2014/chart" uri="{C3380CC4-5D6E-409C-BE32-E72D297353CC}">
              <c16:uniqueId val="{00000002-5AA2-49DC-B2DD-90C505303D28}"/>
            </c:ext>
          </c:extLst>
        </c:ser>
        <c:ser>
          <c:idx val="3"/>
          <c:order val="3"/>
          <c:tx>
            <c:strRef>
              <c:f>UNIDADES!$N$2</c:f>
              <c:strCache>
                <c:ptCount val="1"/>
                <c:pt idx="0">
                  <c:v>% SALDO DISP.</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UNIDADES!$B$3:$B$22</c15:sqref>
                  </c15:fullRef>
                </c:ext>
              </c:extLst>
              <c:f>(UNIDADES!$B$3:$B$15,UNIDADES!$B$17:$B$19,UNIDADES!$B$22)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INVERSION</c:v>
                </c:pt>
              </c:strCache>
            </c:strRef>
          </c:cat>
          <c:val>
            <c:numRef>
              <c:extLst>
                <c:ext xmlns:c15="http://schemas.microsoft.com/office/drawing/2012/chart" uri="{02D57815-91ED-43cb-92C2-25804820EDAC}">
                  <c15:fullRef>
                    <c15:sqref>UNIDADES!$N$3:$N$22</c15:sqref>
                  </c15:fullRef>
                </c:ext>
              </c:extLst>
              <c:f>(UNIDADES!$N$3:$N$15,UNIDADES!$N$17:$N$19,UNIDADES!$N$22)</c:f>
              <c:numCache>
                <c:formatCode>0.00%</c:formatCode>
                <c:ptCount val="17"/>
                <c:pt idx="0">
                  <c:v>1</c:v>
                </c:pt>
                <c:pt idx="1">
                  <c:v>0.78584462931028753</c:v>
                </c:pt>
                <c:pt idx="2">
                  <c:v>0.29333092498987245</c:v>
                </c:pt>
                <c:pt idx="3">
                  <c:v>0.93497233547805769</c:v>
                </c:pt>
                <c:pt idx="4">
                  <c:v>0.79704311814012285</c:v>
                </c:pt>
                <c:pt idx="5">
                  <c:v>0.95707261662214327</c:v>
                </c:pt>
                <c:pt idx="6">
                  <c:v>0.69992672112905419</c:v>
                </c:pt>
                <c:pt idx="7">
                  <c:v>0.87782033422540284</c:v>
                </c:pt>
                <c:pt idx="8">
                  <c:v>0.49543971946506016</c:v>
                </c:pt>
                <c:pt idx="9">
                  <c:v>0.70231257116693024</c:v>
                </c:pt>
                <c:pt idx="10">
                  <c:v>0.94270099947247266</c:v>
                </c:pt>
                <c:pt idx="11">
                  <c:v>0.92631120910010156</c:v>
                </c:pt>
                <c:pt idx="12">
                  <c:v>0.70178165221545685</c:v>
                </c:pt>
                <c:pt idx="13">
                  <c:v>0.74676077845743616</c:v>
                </c:pt>
                <c:pt idx="14">
                  <c:v>0.80341869987368886</c:v>
                </c:pt>
                <c:pt idx="15">
                  <c:v>0.78408411214953266</c:v>
                </c:pt>
                <c:pt idx="16">
                  <c:v>0.76098459292631981</c:v>
                </c:pt>
              </c:numCache>
            </c:numRef>
          </c:val>
          <c:extLst>
            <c:ext xmlns:c16="http://schemas.microsoft.com/office/drawing/2014/chart" uri="{C3380CC4-5D6E-409C-BE32-E72D297353CC}">
              <c16:uniqueId val="{00000003-5AA2-49DC-B2DD-90C505303D28}"/>
            </c:ext>
          </c:extLst>
        </c:ser>
        <c:dLbls>
          <c:dLblPos val="outEnd"/>
          <c:showLegendKey val="0"/>
          <c:showVal val="1"/>
          <c:showCatName val="0"/>
          <c:showSerName val="0"/>
          <c:showPercent val="0"/>
          <c:showBubbleSize val="0"/>
        </c:dLbls>
        <c:gapWidth val="444"/>
        <c:overlap val="-90"/>
        <c:axId val="198414944"/>
        <c:axId val="198418272"/>
      </c:barChart>
      <c:catAx>
        <c:axId val="198414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98418272"/>
        <c:crosses val="autoZero"/>
        <c:auto val="1"/>
        <c:lblAlgn val="ctr"/>
        <c:lblOffset val="100"/>
        <c:noMultiLvlLbl val="0"/>
      </c:catAx>
      <c:valAx>
        <c:axId val="198418272"/>
        <c:scaling>
          <c:orientation val="minMax"/>
        </c:scaling>
        <c:delete val="1"/>
        <c:axPos val="l"/>
        <c:numFmt formatCode="0%" sourceLinked="1"/>
        <c:majorTickMark val="none"/>
        <c:minorTickMark val="none"/>
        <c:tickLblPos val="nextTo"/>
        <c:crossAx val="198414944"/>
        <c:crosses val="autoZero"/>
        <c:crossBetween val="between"/>
      </c:valAx>
      <c:spPr>
        <a:noFill/>
        <a:ln>
          <a:noFill/>
        </a:ln>
        <a:effectLst/>
      </c:spPr>
    </c:plotArea>
    <c:legend>
      <c:legendPos val="t"/>
      <c:layout>
        <c:manualLayout>
          <c:xMode val="edge"/>
          <c:yMode val="edge"/>
          <c:x val="0.37767004375353003"/>
          <c:y val="0.89841192665647163"/>
          <c:w val="0.14951344741371725"/>
          <c:h val="4.61474062459222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63953</xdr:colOff>
      <xdr:row>25</xdr:row>
      <xdr:rowOff>119743</xdr:rowOff>
    </xdr:from>
    <xdr:to>
      <xdr:col>13</xdr:col>
      <xdr:colOff>464003</xdr:colOff>
      <xdr:row>46</xdr:row>
      <xdr:rowOff>42182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54428</xdr:colOff>
      <xdr:row>48</xdr:row>
      <xdr:rowOff>50346</xdr:rowOff>
    </xdr:from>
    <xdr:to>
      <xdr:col>22</xdr:col>
      <xdr:colOff>598714</xdr:colOff>
      <xdr:row>76</xdr:row>
      <xdr:rowOff>122464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ADORES/INSTRUMENTOS%20MARZO%202020/Sgto%20Instrumentos%20Parcial/SGTO%20SECRETARIAS/Sgto%20Indeportes%20marz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ICADORES/EJECUCIONES/EJECUCION%20DE%20GASTOS%20A%20MARZO%20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DICADORES/INSTRUMENTOS%20MARZO%202020/INVERSI&#211;N%20EJECUCION%20DEFINITIVA%20MARZO%2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2020"/>
      <sheetName val="MP INDEPORTES"/>
      <sheetName val="PLAN ACCION INDEPORTES"/>
      <sheetName val="SGTO PLAN ACCION"/>
      <sheetName val="GESTION DE RECURSOS"/>
      <sheetName val="INVERS TERRITORIAL"/>
    </sheetNames>
    <sheetDataSet>
      <sheetData sheetId="0" refreshError="1"/>
      <sheetData sheetId="1">
        <row r="32">
          <cell r="Q32">
            <v>4000000</v>
          </cell>
        </row>
        <row r="33">
          <cell r="Q33">
            <v>15500000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UNIDADES"/>
    </sheetNames>
    <sheetDataSet>
      <sheetData sheetId="0">
        <row r="137">
          <cell r="AB137">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JECUCIÓN "/>
      <sheetName val="INVERSIÓN"/>
      <sheetName val="UNIDADES"/>
    </sheetNames>
    <sheetDataSet>
      <sheetData sheetId="0"/>
      <sheetData sheetId="1">
        <row r="2">
          <cell r="AE2">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35"/>
  <sheetViews>
    <sheetView showGridLines="0" tabSelected="1" zoomScale="60" zoomScaleNormal="60" workbookViewId="0">
      <selection sqref="A1:AY4"/>
    </sheetView>
  </sheetViews>
  <sheetFormatPr baseColWidth="10" defaultColWidth="11.42578125" defaultRowHeight="15.75" x14ac:dyDescent="0.25"/>
  <cols>
    <col min="1" max="1" width="26.85546875" style="622" customWidth="1"/>
    <col min="2" max="2" width="21.85546875" style="622" customWidth="1"/>
    <col min="3" max="3" width="8.42578125" style="623" customWidth="1"/>
    <col min="4" max="4" width="45.85546875" style="622" customWidth="1"/>
    <col min="5" max="5" width="21.5703125" style="622" customWidth="1"/>
    <col min="6" max="6" width="8.5703125" style="623" customWidth="1"/>
    <col min="7" max="7" width="51.140625" style="622" customWidth="1"/>
    <col min="8" max="8" width="22.42578125" style="622" customWidth="1"/>
    <col min="9" max="9" width="22" style="736" customWidth="1"/>
    <col min="10" max="10" width="47.7109375" style="622" customWidth="1"/>
    <col min="11" max="11" width="10.85546875" style="623" customWidth="1"/>
    <col min="12" max="14" width="28.5703125" style="624" customWidth="1"/>
    <col min="15" max="17" width="24.140625" style="624" customWidth="1"/>
    <col min="18" max="20" width="22.7109375" style="624" customWidth="1"/>
    <col min="21" max="26" width="26.28515625" style="624" customWidth="1"/>
    <col min="27" max="29" width="24.85546875" style="624" customWidth="1"/>
    <col min="30" max="32" width="26.85546875" style="614" customWidth="1"/>
    <col min="33" max="35" width="25.140625" style="614" customWidth="1"/>
    <col min="36" max="38" width="23.7109375" style="624" customWidth="1"/>
    <col min="39" max="41" width="24.28515625" style="624" customWidth="1"/>
    <col min="42" max="44" width="25.140625" style="625" customWidth="1"/>
    <col min="45" max="47" width="26.42578125" style="624" customWidth="1"/>
    <col min="48" max="50" width="28.85546875" style="626" customWidth="1"/>
    <col min="51" max="53" width="30.85546875" style="612" customWidth="1"/>
    <col min="54" max="16384" width="11.42578125" style="2"/>
  </cols>
  <sheetData>
    <row r="1" spans="1:53" ht="16.5" customHeight="1" x14ac:dyDescent="0.25">
      <c r="A1" s="792" t="s">
        <v>722</v>
      </c>
      <c r="B1" s="793"/>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4"/>
      <c r="AZ1" s="1" t="s">
        <v>437</v>
      </c>
      <c r="BA1" s="661" t="s">
        <v>718</v>
      </c>
    </row>
    <row r="2" spans="1:53" ht="19.5" customHeight="1" x14ac:dyDescent="0.25">
      <c r="A2" s="792"/>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3"/>
      <c r="AP2" s="793"/>
      <c r="AQ2" s="793"/>
      <c r="AR2" s="793"/>
      <c r="AS2" s="793"/>
      <c r="AT2" s="793"/>
      <c r="AU2" s="793"/>
      <c r="AV2" s="793"/>
      <c r="AW2" s="793"/>
      <c r="AX2" s="793"/>
      <c r="AY2" s="794"/>
      <c r="AZ2" s="3" t="s">
        <v>438</v>
      </c>
      <c r="BA2" s="662">
        <v>2</v>
      </c>
    </row>
    <row r="3" spans="1:53" ht="19.5" customHeight="1" x14ac:dyDescent="0.25">
      <c r="A3" s="792"/>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793"/>
      <c r="AV3" s="793"/>
      <c r="AW3" s="793"/>
      <c r="AX3" s="793"/>
      <c r="AY3" s="794"/>
      <c r="AZ3" s="1" t="s">
        <v>439</v>
      </c>
      <c r="BA3" s="659" t="s">
        <v>440</v>
      </c>
    </row>
    <row r="4" spans="1:53" ht="13.5" customHeight="1" x14ac:dyDescent="0.25">
      <c r="A4" s="795"/>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7"/>
      <c r="AZ4" s="1" t="s">
        <v>441</v>
      </c>
      <c r="BA4" s="660" t="s">
        <v>442</v>
      </c>
    </row>
    <row r="5" spans="1:53" s="6" customFormat="1" ht="72" customHeight="1" x14ac:dyDescent="0.25">
      <c r="A5" s="816" t="s">
        <v>0</v>
      </c>
      <c r="B5" s="817" t="s">
        <v>1</v>
      </c>
      <c r="C5" s="813" t="s">
        <v>443</v>
      </c>
      <c r="D5" s="813"/>
      <c r="E5" s="815" t="s">
        <v>2</v>
      </c>
      <c r="F5" s="814" t="s">
        <v>444</v>
      </c>
      <c r="G5" s="814"/>
      <c r="H5" s="813" t="s">
        <v>445</v>
      </c>
      <c r="I5" s="813" t="s">
        <v>446</v>
      </c>
      <c r="J5" s="813" t="s">
        <v>3</v>
      </c>
      <c r="K5" s="813" t="s">
        <v>447</v>
      </c>
      <c r="L5" s="811" t="s">
        <v>760</v>
      </c>
      <c r="M5" s="811"/>
      <c r="N5" s="812"/>
      <c r="O5" s="810" t="s">
        <v>448</v>
      </c>
      <c r="P5" s="811"/>
      <c r="Q5" s="812"/>
      <c r="R5" s="810" t="s">
        <v>449</v>
      </c>
      <c r="S5" s="811"/>
      <c r="T5" s="812"/>
      <c r="U5" s="810" t="s">
        <v>450</v>
      </c>
      <c r="V5" s="811"/>
      <c r="W5" s="812"/>
      <c r="X5" s="810" t="s">
        <v>451</v>
      </c>
      <c r="Y5" s="811"/>
      <c r="Z5" s="812"/>
      <c r="AA5" s="810" t="s">
        <v>452</v>
      </c>
      <c r="AB5" s="811"/>
      <c r="AC5" s="812"/>
      <c r="AD5" s="810" t="s">
        <v>453</v>
      </c>
      <c r="AE5" s="811"/>
      <c r="AF5" s="812"/>
      <c r="AG5" s="810" t="s">
        <v>454</v>
      </c>
      <c r="AH5" s="811"/>
      <c r="AI5" s="812"/>
      <c r="AJ5" s="810" t="s">
        <v>455</v>
      </c>
      <c r="AK5" s="811"/>
      <c r="AL5" s="812"/>
      <c r="AM5" s="810" t="s">
        <v>456</v>
      </c>
      <c r="AN5" s="811"/>
      <c r="AO5" s="812"/>
      <c r="AP5" s="807" t="s">
        <v>457</v>
      </c>
      <c r="AQ5" s="808"/>
      <c r="AR5" s="809"/>
      <c r="AS5" s="804" t="s">
        <v>458</v>
      </c>
      <c r="AT5" s="805"/>
      <c r="AU5" s="806"/>
      <c r="AV5" s="801" t="s">
        <v>459</v>
      </c>
      <c r="AW5" s="802"/>
      <c r="AX5" s="803"/>
      <c r="AY5" s="798" t="s">
        <v>460</v>
      </c>
      <c r="AZ5" s="799"/>
      <c r="BA5" s="800"/>
    </row>
    <row r="6" spans="1:53" s="6" customFormat="1" ht="35.25" customHeight="1" x14ac:dyDescent="0.25">
      <c r="A6" s="816"/>
      <c r="B6" s="817"/>
      <c r="C6" s="813"/>
      <c r="D6" s="813"/>
      <c r="E6" s="815"/>
      <c r="F6" s="814"/>
      <c r="G6" s="814"/>
      <c r="H6" s="813"/>
      <c r="I6" s="813"/>
      <c r="J6" s="813"/>
      <c r="K6" s="813"/>
      <c r="L6" s="5" t="s">
        <v>719</v>
      </c>
      <c r="M6" s="5" t="s">
        <v>720</v>
      </c>
      <c r="N6" s="5" t="s">
        <v>721</v>
      </c>
      <c r="O6" s="5" t="s">
        <v>719</v>
      </c>
      <c r="P6" s="5" t="s">
        <v>720</v>
      </c>
      <c r="Q6" s="5" t="s">
        <v>721</v>
      </c>
      <c r="R6" s="5" t="s">
        <v>719</v>
      </c>
      <c r="S6" s="5" t="s">
        <v>720</v>
      </c>
      <c r="T6" s="5" t="s">
        <v>721</v>
      </c>
      <c r="U6" s="5" t="s">
        <v>719</v>
      </c>
      <c r="V6" s="5" t="s">
        <v>720</v>
      </c>
      <c r="W6" s="5" t="s">
        <v>721</v>
      </c>
      <c r="X6" s="5" t="s">
        <v>719</v>
      </c>
      <c r="Y6" s="5" t="s">
        <v>720</v>
      </c>
      <c r="Z6" s="5" t="s">
        <v>721</v>
      </c>
      <c r="AA6" s="5" t="s">
        <v>719</v>
      </c>
      <c r="AB6" s="5" t="s">
        <v>720</v>
      </c>
      <c r="AC6" s="5" t="s">
        <v>721</v>
      </c>
      <c r="AD6" s="5" t="s">
        <v>719</v>
      </c>
      <c r="AE6" s="5" t="s">
        <v>720</v>
      </c>
      <c r="AF6" s="5" t="s">
        <v>721</v>
      </c>
      <c r="AG6" s="5" t="s">
        <v>719</v>
      </c>
      <c r="AH6" s="5" t="s">
        <v>720</v>
      </c>
      <c r="AI6" s="5" t="s">
        <v>721</v>
      </c>
      <c r="AJ6" s="5" t="s">
        <v>719</v>
      </c>
      <c r="AK6" s="5" t="s">
        <v>720</v>
      </c>
      <c r="AL6" s="5" t="s">
        <v>721</v>
      </c>
      <c r="AM6" s="5" t="s">
        <v>719</v>
      </c>
      <c r="AN6" s="5" t="s">
        <v>720</v>
      </c>
      <c r="AO6" s="5" t="s">
        <v>721</v>
      </c>
      <c r="AP6" s="5" t="s">
        <v>719</v>
      </c>
      <c r="AQ6" s="5" t="s">
        <v>720</v>
      </c>
      <c r="AR6" s="5" t="s">
        <v>721</v>
      </c>
      <c r="AS6" s="5" t="s">
        <v>719</v>
      </c>
      <c r="AT6" s="5" t="s">
        <v>720</v>
      </c>
      <c r="AU6" s="5" t="s">
        <v>721</v>
      </c>
      <c r="AV6" s="5" t="s">
        <v>719</v>
      </c>
      <c r="AW6" s="5" t="s">
        <v>720</v>
      </c>
      <c r="AX6" s="5" t="s">
        <v>721</v>
      </c>
      <c r="AY6" s="5" t="s">
        <v>719</v>
      </c>
      <c r="AZ6" s="5" t="s">
        <v>720</v>
      </c>
      <c r="BA6" s="5" t="s">
        <v>721</v>
      </c>
    </row>
    <row r="7" spans="1:53" s="12" customFormat="1" ht="25.5" customHeight="1" x14ac:dyDescent="0.25">
      <c r="A7" s="7" t="s">
        <v>4</v>
      </c>
      <c r="B7" s="8"/>
      <c r="C7" s="9"/>
      <c r="D7" s="8"/>
      <c r="E7" s="8"/>
      <c r="F7" s="9"/>
      <c r="G7" s="8"/>
      <c r="H7" s="8"/>
      <c r="I7" s="680"/>
      <c r="J7" s="8"/>
      <c r="K7" s="9"/>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1"/>
      <c r="AZ7" s="11"/>
      <c r="BA7" s="11"/>
    </row>
    <row r="8" spans="1:53" s="12" customFormat="1" ht="21" customHeight="1" x14ac:dyDescent="0.25">
      <c r="A8" s="4">
        <v>5</v>
      </c>
      <c r="B8" s="13" t="s">
        <v>461</v>
      </c>
      <c r="C8" s="14"/>
      <c r="D8" s="13"/>
      <c r="E8" s="13"/>
      <c r="F8" s="14"/>
      <c r="G8" s="13"/>
      <c r="H8" s="13"/>
      <c r="I8" s="681"/>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5"/>
      <c r="AZ8" s="15"/>
      <c r="BA8" s="15"/>
    </row>
    <row r="9" spans="1:53" s="12" customFormat="1" ht="21.75" customHeight="1" x14ac:dyDescent="0.25">
      <c r="A9" s="16"/>
      <c r="B9" s="633">
        <v>28</v>
      </c>
      <c r="C9" s="634" t="s">
        <v>462</v>
      </c>
      <c r="D9" s="17"/>
      <c r="E9" s="17"/>
      <c r="F9" s="640"/>
      <c r="G9" s="17"/>
      <c r="H9" s="17"/>
      <c r="I9" s="682"/>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8"/>
      <c r="AZ9" s="18"/>
      <c r="BA9" s="18"/>
    </row>
    <row r="10" spans="1:53" s="12" customFormat="1" ht="28.5" customHeight="1" x14ac:dyDescent="0.25">
      <c r="A10" s="19"/>
      <c r="B10" s="20"/>
      <c r="C10" s="21"/>
      <c r="D10" s="22"/>
      <c r="E10" s="23">
        <v>89</v>
      </c>
      <c r="F10" s="24" t="s">
        <v>463</v>
      </c>
      <c r="G10" s="24"/>
      <c r="H10" s="25"/>
      <c r="I10" s="683"/>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6"/>
      <c r="AZ10" s="26"/>
      <c r="BA10" s="26"/>
    </row>
    <row r="11" spans="1:53" ht="74.25" customHeight="1" x14ac:dyDescent="0.25">
      <c r="A11" s="19"/>
      <c r="B11" s="27"/>
      <c r="C11" s="28">
        <v>38</v>
      </c>
      <c r="D11" s="29" t="s">
        <v>464</v>
      </c>
      <c r="E11" s="158"/>
      <c r="F11" s="31">
        <v>283</v>
      </c>
      <c r="G11" s="29" t="s">
        <v>5</v>
      </c>
      <c r="H11" s="32" t="s">
        <v>465</v>
      </c>
      <c r="I11" s="684" t="s">
        <v>6</v>
      </c>
      <c r="J11" s="29" t="s">
        <v>7</v>
      </c>
      <c r="K11" s="31" t="s">
        <v>466</v>
      </c>
      <c r="L11" s="33"/>
      <c r="M11" s="33"/>
      <c r="N11" s="33"/>
      <c r="O11" s="33"/>
      <c r="P11" s="33"/>
      <c r="Q11" s="33"/>
      <c r="R11" s="33"/>
      <c r="S11" s="33"/>
      <c r="T11" s="33"/>
      <c r="U11" s="33"/>
      <c r="V11" s="33"/>
      <c r="W11" s="33"/>
      <c r="X11" s="33"/>
      <c r="Y11" s="33"/>
      <c r="Z11" s="33"/>
      <c r="AA11" s="33"/>
      <c r="AB11" s="33"/>
      <c r="AC11" s="33"/>
      <c r="AD11" s="34"/>
      <c r="AE11" s="34"/>
      <c r="AF11" s="34"/>
      <c r="AG11" s="33"/>
      <c r="AH11" s="33"/>
      <c r="AI11" s="33"/>
      <c r="AJ11" s="33"/>
      <c r="AK11" s="33"/>
      <c r="AL11" s="33"/>
      <c r="AM11" s="33"/>
      <c r="AN11" s="36"/>
      <c r="AO11" s="36"/>
      <c r="AP11" s="35">
        <f>43248201+12032799+352</f>
        <v>55281352</v>
      </c>
      <c r="AQ11" s="35"/>
      <c r="AR11" s="35"/>
      <c r="AS11" s="36"/>
      <c r="AT11" s="36"/>
      <c r="AU11" s="36"/>
      <c r="AV11" s="36"/>
      <c r="AW11" s="36"/>
      <c r="AX11" s="36"/>
      <c r="AY11" s="37">
        <f t="shared" ref="AY11:AY13" si="0">+L11+O11+R11+U11+X11+AA11+AD11+AG11+AJ11+AM11+AP11+AS11+AV11</f>
        <v>55281352</v>
      </c>
      <c r="AZ11" s="37">
        <f t="shared" ref="AZ11:AZ13" si="1">+M11+P11+S11+V11+Y11+AB11+AE11+AH11+AK11+AN11+AQ11+AT11+AW11</f>
        <v>0</v>
      </c>
      <c r="BA11" s="37">
        <f t="shared" ref="BA11:BA13" si="2">+N11+Q11+T11+W11+Z11+AC11+AF11+AI11+AL11+AO11+AR11+AU11+AX11</f>
        <v>0</v>
      </c>
    </row>
    <row r="12" spans="1:53" ht="60" customHeight="1" x14ac:dyDescent="0.25">
      <c r="A12" s="19"/>
      <c r="B12" s="27"/>
      <c r="C12" s="28">
        <v>38</v>
      </c>
      <c r="D12" s="29" t="s">
        <v>464</v>
      </c>
      <c r="E12" s="100"/>
      <c r="F12" s="31">
        <v>281</v>
      </c>
      <c r="G12" s="29" t="s">
        <v>8</v>
      </c>
      <c r="H12" s="824" t="s">
        <v>465</v>
      </c>
      <c r="I12" s="821" t="s">
        <v>9</v>
      </c>
      <c r="J12" s="825" t="s">
        <v>10</v>
      </c>
      <c r="K12" s="31" t="s">
        <v>466</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6"/>
      <c r="AO12" s="36"/>
      <c r="AP12" s="35">
        <v>100000000</v>
      </c>
      <c r="AQ12" s="35"/>
      <c r="AR12" s="35"/>
      <c r="AS12" s="36"/>
      <c r="AT12" s="36"/>
      <c r="AU12" s="36"/>
      <c r="AV12" s="36"/>
      <c r="AW12" s="36"/>
      <c r="AX12" s="36"/>
      <c r="AY12" s="37">
        <f t="shared" si="0"/>
        <v>100000000</v>
      </c>
      <c r="AZ12" s="37">
        <f t="shared" si="1"/>
        <v>0</v>
      </c>
      <c r="BA12" s="37">
        <f t="shared" si="2"/>
        <v>0</v>
      </c>
    </row>
    <row r="13" spans="1:53" ht="57.75" customHeight="1" x14ac:dyDescent="0.25">
      <c r="A13" s="19"/>
      <c r="B13" s="27"/>
      <c r="C13" s="28">
        <v>38</v>
      </c>
      <c r="D13" s="29" t="s">
        <v>464</v>
      </c>
      <c r="E13" s="38"/>
      <c r="F13" s="31">
        <v>287</v>
      </c>
      <c r="G13" s="29" t="s">
        <v>11</v>
      </c>
      <c r="H13" s="824"/>
      <c r="I13" s="821"/>
      <c r="J13" s="825"/>
      <c r="K13" s="31" t="s">
        <v>466</v>
      </c>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6"/>
      <c r="AO13" s="36"/>
      <c r="AP13" s="35">
        <v>120000000</v>
      </c>
      <c r="AQ13" s="35"/>
      <c r="AR13" s="35"/>
      <c r="AS13" s="36"/>
      <c r="AT13" s="36"/>
      <c r="AU13" s="36"/>
      <c r="AV13" s="36"/>
      <c r="AW13" s="36"/>
      <c r="AX13" s="36"/>
      <c r="AY13" s="37">
        <f t="shared" si="0"/>
        <v>120000000</v>
      </c>
      <c r="AZ13" s="37">
        <f t="shared" si="1"/>
        <v>0</v>
      </c>
      <c r="BA13" s="37">
        <f t="shared" si="2"/>
        <v>0</v>
      </c>
    </row>
    <row r="14" spans="1:53" ht="15" x14ac:dyDescent="0.25">
      <c r="A14" s="19"/>
      <c r="B14" s="39"/>
      <c r="C14" s="28"/>
      <c r="D14" s="29"/>
      <c r="E14" s="40"/>
      <c r="F14" s="41"/>
      <c r="G14" s="40"/>
      <c r="H14" s="42"/>
      <c r="I14" s="685"/>
      <c r="J14" s="40"/>
      <c r="K14" s="41"/>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f>SUM(AP11:AP13)</f>
        <v>275281352</v>
      </c>
      <c r="AQ14" s="43">
        <f t="shared" ref="AQ14:AR14" si="3">SUM(AQ11:AQ13)</f>
        <v>0</v>
      </c>
      <c r="AR14" s="43">
        <f t="shared" si="3"/>
        <v>0</v>
      </c>
      <c r="AS14" s="43"/>
      <c r="AT14" s="43"/>
      <c r="AU14" s="43"/>
      <c r="AV14" s="43">
        <f>SUM(AV11:AV13)</f>
        <v>0</v>
      </c>
      <c r="AW14" s="43"/>
      <c r="AX14" s="43"/>
      <c r="AY14" s="43">
        <f>SUM(AY11:AY13)</f>
        <v>275281352</v>
      </c>
      <c r="AZ14" s="43">
        <f t="shared" ref="AZ14:BA14" si="4">SUM(AZ11:AZ13)</f>
        <v>0</v>
      </c>
      <c r="BA14" s="43">
        <f t="shared" si="4"/>
        <v>0</v>
      </c>
    </row>
    <row r="15" spans="1:53" ht="15" x14ac:dyDescent="0.25">
      <c r="A15" s="44"/>
      <c r="B15" s="45"/>
      <c r="C15" s="46"/>
      <c r="D15" s="45"/>
      <c r="E15" s="45"/>
      <c r="F15" s="46"/>
      <c r="G15" s="45"/>
      <c r="H15" s="47"/>
      <c r="I15" s="686"/>
      <c r="J15" s="45"/>
      <c r="K15" s="46"/>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f t="shared" ref="AP15:AR15" si="5">AP14</f>
        <v>275281352</v>
      </c>
      <c r="AQ15" s="48">
        <f t="shared" si="5"/>
        <v>0</v>
      </c>
      <c r="AR15" s="48">
        <f t="shared" si="5"/>
        <v>0</v>
      </c>
      <c r="AS15" s="48"/>
      <c r="AT15" s="48"/>
      <c r="AU15" s="48"/>
      <c r="AV15" s="48">
        <f t="shared" ref="AV15:AY15" si="6">AV14</f>
        <v>0</v>
      </c>
      <c r="AW15" s="48"/>
      <c r="AX15" s="48"/>
      <c r="AY15" s="48">
        <f t="shared" si="6"/>
        <v>275281352</v>
      </c>
      <c r="AZ15" s="48">
        <f t="shared" ref="AZ15:BA15" si="7">AZ14</f>
        <v>0</v>
      </c>
      <c r="BA15" s="48">
        <f t="shared" si="7"/>
        <v>0</v>
      </c>
    </row>
    <row r="16" spans="1:53" ht="15" x14ac:dyDescent="0.25">
      <c r="A16" s="49"/>
      <c r="B16" s="49"/>
      <c r="C16" s="50"/>
      <c r="D16" s="49"/>
      <c r="E16" s="49"/>
      <c r="F16" s="50"/>
      <c r="G16" s="49"/>
      <c r="H16" s="51"/>
      <c r="I16" s="687"/>
      <c r="J16" s="49"/>
      <c r="K16" s="50"/>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f t="shared" ref="AP16:AR16" si="8">+AP15</f>
        <v>275281352</v>
      </c>
      <c r="AQ16" s="52">
        <f t="shared" si="8"/>
        <v>0</v>
      </c>
      <c r="AR16" s="52">
        <f t="shared" si="8"/>
        <v>0</v>
      </c>
      <c r="AS16" s="52"/>
      <c r="AT16" s="52"/>
      <c r="AU16" s="52"/>
      <c r="AV16" s="52">
        <f t="shared" ref="AV16:AY16" si="9">+AV15</f>
        <v>0</v>
      </c>
      <c r="AW16" s="52"/>
      <c r="AX16" s="52"/>
      <c r="AY16" s="52">
        <f t="shared" si="9"/>
        <v>275281352</v>
      </c>
      <c r="AZ16" s="52">
        <f t="shared" ref="AZ16:BA16" si="10">+AZ15</f>
        <v>0</v>
      </c>
      <c r="BA16" s="52">
        <f t="shared" si="10"/>
        <v>0</v>
      </c>
    </row>
    <row r="17" spans="1:53" ht="19.5" customHeight="1" x14ac:dyDescent="0.25">
      <c r="A17" s="53"/>
      <c r="B17" s="53"/>
      <c r="C17" s="54"/>
      <c r="D17" s="53"/>
      <c r="E17" s="53"/>
      <c r="F17" s="54"/>
      <c r="G17" s="53"/>
      <c r="H17" s="55"/>
      <c r="I17" s="688"/>
      <c r="J17" s="53"/>
      <c r="K17" s="54"/>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f t="shared" ref="AP17:AR17" si="11">AP16</f>
        <v>275281352</v>
      </c>
      <c r="AQ17" s="56">
        <f t="shared" si="11"/>
        <v>0</v>
      </c>
      <c r="AR17" s="56">
        <f t="shared" si="11"/>
        <v>0</v>
      </c>
      <c r="AS17" s="56"/>
      <c r="AT17" s="56"/>
      <c r="AU17" s="56"/>
      <c r="AV17" s="56">
        <f t="shared" ref="AV17:AY17" si="12">AV16</f>
        <v>0</v>
      </c>
      <c r="AW17" s="56"/>
      <c r="AX17" s="56"/>
      <c r="AY17" s="56">
        <f t="shared" si="12"/>
        <v>275281352</v>
      </c>
      <c r="AZ17" s="56">
        <f t="shared" ref="AZ17:BA17" si="13">AZ16</f>
        <v>0</v>
      </c>
      <c r="BA17" s="56">
        <f t="shared" si="13"/>
        <v>0</v>
      </c>
    </row>
    <row r="18" spans="1:53" ht="26.25" customHeight="1" x14ac:dyDescent="0.25">
      <c r="A18" s="57"/>
      <c r="B18" s="58"/>
      <c r="C18" s="651"/>
      <c r="D18" s="58"/>
      <c r="E18" s="58"/>
      <c r="F18" s="651"/>
      <c r="G18" s="58"/>
      <c r="H18" s="59"/>
      <c r="I18" s="689"/>
      <c r="J18" s="58"/>
      <c r="K18" s="651"/>
      <c r="L18" s="60"/>
      <c r="M18" s="60"/>
      <c r="N18" s="60"/>
      <c r="O18" s="60"/>
      <c r="P18" s="60"/>
      <c r="Q18" s="60"/>
      <c r="R18" s="60"/>
      <c r="S18" s="60"/>
      <c r="T18" s="60"/>
      <c r="U18" s="60"/>
      <c r="V18" s="60"/>
      <c r="W18" s="60"/>
      <c r="X18" s="60"/>
      <c r="Y18" s="60"/>
      <c r="Z18" s="60"/>
      <c r="AA18" s="60"/>
      <c r="AB18" s="60"/>
      <c r="AC18" s="60"/>
      <c r="AD18" s="61"/>
      <c r="AE18" s="61"/>
      <c r="AF18" s="61"/>
      <c r="AG18" s="61"/>
      <c r="AH18" s="61"/>
      <c r="AI18" s="61"/>
      <c r="AJ18" s="60"/>
      <c r="AK18" s="60"/>
      <c r="AL18" s="60"/>
      <c r="AM18" s="60"/>
      <c r="AN18" s="60"/>
      <c r="AO18" s="60"/>
      <c r="AP18" s="62"/>
      <c r="AQ18" s="62"/>
      <c r="AR18" s="62"/>
      <c r="AS18" s="60"/>
      <c r="AT18" s="145"/>
      <c r="AU18" s="145"/>
      <c r="AV18" s="63"/>
      <c r="AW18" s="63"/>
      <c r="AX18" s="63"/>
      <c r="AY18" s="64"/>
      <c r="AZ18" s="64"/>
      <c r="BA18" s="64"/>
    </row>
    <row r="19" spans="1:53" s="12" customFormat="1" ht="20.25" x14ac:dyDescent="0.25">
      <c r="A19" s="7" t="s">
        <v>12</v>
      </c>
      <c r="B19" s="8"/>
      <c r="C19" s="9"/>
      <c r="D19" s="8"/>
      <c r="E19" s="8"/>
      <c r="F19" s="9"/>
      <c r="G19" s="8"/>
      <c r="H19" s="8"/>
      <c r="I19" s="680"/>
      <c r="J19" s="8"/>
      <c r="K19" s="9"/>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6"/>
      <c r="AQ19" s="66"/>
      <c r="AR19" s="66"/>
      <c r="AS19" s="65"/>
      <c r="AT19" s="65"/>
      <c r="AU19" s="65"/>
      <c r="AV19" s="65"/>
      <c r="AW19" s="65"/>
      <c r="AX19" s="65"/>
      <c r="AY19" s="67"/>
      <c r="AZ19" s="67"/>
      <c r="BA19" s="67"/>
    </row>
    <row r="20" spans="1:53" x14ac:dyDescent="0.25">
      <c r="A20" s="4">
        <v>5</v>
      </c>
      <c r="B20" s="13" t="s">
        <v>461</v>
      </c>
      <c r="C20" s="14"/>
      <c r="D20" s="13"/>
      <c r="E20" s="13"/>
      <c r="F20" s="14"/>
      <c r="G20" s="13"/>
      <c r="H20" s="13"/>
      <c r="I20" s="681"/>
      <c r="J20" s="13"/>
      <c r="K20" s="13"/>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9"/>
      <c r="AQ20" s="69"/>
      <c r="AR20" s="69"/>
      <c r="AS20" s="68"/>
      <c r="AT20" s="68"/>
      <c r="AU20" s="68"/>
      <c r="AV20" s="68"/>
      <c r="AW20" s="68"/>
      <c r="AX20" s="68"/>
      <c r="AY20" s="70"/>
      <c r="AZ20" s="70"/>
      <c r="BA20" s="70"/>
    </row>
    <row r="21" spans="1:53" x14ac:dyDescent="0.25">
      <c r="A21" s="71"/>
      <c r="B21" s="634">
        <v>26</v>
      </c>
      <c r="C21" s="634" t="s">
        <v>467</v>
      </c>
      <c r="D21" s="17"/>
      <c r="E21" s="17"/>
      <c r="F21" s="640"/>
      <c r="G21" s="17"/>
      <c r="H21" s="17"/>
      <c r="I21" s="682"/>
      <c r="J21" s="17"/>
      <c r="K21" s="17"/>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3"/>
      <c r="AQ21" s="73"/>
      <c r="AR21" s="73"/>
      <c r="AS21" s="72"/>
      <c r="AT21" s="72"/>
      <c r="AU21" s="72"/>
      <c r="AV21" s="72"/>
      <c r="AW21" s="72"/>
      <c r="AX21" s="72"/>
      <c r="AY21" s="74"/>
      <c r="AZ21" s="74"/>
      <c r="BA21" s="74"/>
    </row>
    <row r="22" spans="1:53" x14ac:dyDescent="0.25">
      <c r="A22" s="27"/>
      <c r="B22" s="71"/>
      <c r="C22" s="656"/>
      <c r="D22" s="75"/>
      <c r="E22" s="76">
        <v>83</v>
      </c>
      <c r="F22" s="77" t="s">
        <v>468</v>
      </c>
      <c r="G22" s="78"/>
      <c r="H22" s="78"/>
      <c r="I22" s="690"/>
      <c r="J22" s="78"/>
      <c r="K22" s="78"/>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80"/>
      <c r="AQ22" s="80"/>
      <c r="AR22" s="80"/>
      <c r="AS22" s="79"/>
      <c r="AT22" s="79"/>
      <c r="AU22" s="79"/>
      <c r="AV22" s="79"/>
      <c r="AW22" s="79"/>
      <c r="AX22" s="79"/>
      <c r="AY22" s="81"/>
      <c r="AZ22" s="81"/>
      <c r="BA22" s="81"/>
    </row>
    <row r="23" spans="1:53" ht="86.25" customHeight="1" x14ac:dyDescent="0.25">
      <c r="A23" s="27"/>
      <c r="B23" s="27"/>
      <c r="C23" s="31">
        <v>37</v>
      </c>
      <c r="D23" s="82" t="s">
        <v>469</v>
      </c>
      <c r="E23" s="29"/>
      <c r="F23" s="31">
        <v>246</v>
      </c>
      <c r="G23" s="29" t="s">
        <v>13</v>
      </c>
      <c r="H23" s="32" t="s">
        <v>465</v>
      </c>
      <c r="I23" s="691" t="s">
        <v>14</v>
      </c>
      <c r="J23" s="29" t="s">
        <v>15</v>
      </c>
      <c r="K23" s="31" t="s">
        <v>466</v>
      </c>
      <c r="L23" s="33"/>
      <c r="M23" s="33"/>
      <c r="N23" s="33"/>
      <c r="O23" s="33"/>
      <c r="P23" s="33"/>
      <c r="Q23" s="33"/>
      <c r="R23" s="33"/>
      <c r="S23" s="33"/>
      <c r="T23" s="33"/>
      <c r="U23" s="33"/>
      <c r="V23" s="33"/>
      <c r="W23" s="33"/>
      <c r="X23" s="33"/>
      <c r="Y23" s="33"/>
      <c r="Z23" s="33"/>
      <c r="AA23" s="33"/>
      <c r="AB23" s="33"/>
      <c r="AC23" s="33"/>
      <c r="AD23" s="33"/>
      <c r="AE23" s="33"/>
      <c r="AF23" s="33"/>
      <c r="AG23" s="33"/>
      <c r="AH23" s="36"/>
      <c r="AI23" s="36"/>
      <c r="AJ23" s="36"/>
      <c r="AK23" s="36"/>
      <c r="AL23" s="36"/>
      <c r="AM23" s="36"/>
      <c r="AN23" s="36"/>
      <c r="AO23" s="36"/>
      <c r="AP23" s="35">
        <v>30000000</v>
      </c>
      <c r="AQ23" s="35"/>
      <c r="AR23" s="35"/>
      <c r="AS23" s="36"/>
      <c r="AT23" s="36"/>
      <c r="AU23" s="36"/>
      <c r="AV23" s="36"/>
      <c r="AW23" s="36"/>
      <c r="AX23" s="36"/>
      <c r="AY23" s="37">
        <f t="shared" ref="AY23" si="14">+L23+O23+R23+U23+X23+AA23+AD23+AG23+AJ23+AM23+AP23+AS23+AV23</f>
        <v>30000000</v>
      </c>
      <c r="AZ23" s="37">
        <f t="shared" ref="AZ23" si="15">+M23+P23+S23+V23+Y23+AB23+AE23+AH23+AK23+AN23+AQ23+AT23+AW23</f>
        <v>0</v>
      </c>
      <c r="BA23" s="37">
        <f t="shared" ref="BA23" si="16">+N23+Q23+T23+W23+Z23+AC23+AF23+AI23+AL23+AO23+AR23+AU23+AX23</f>
        <v>0</v>
      </c>
    </row>
    <row r="24" spans="1:53" ht="15" x14ac:dyDescent="0.25">
      <c r="A24" s="27"/>
      <c r="B24" s="27"/>
      <c r="C24" s="31"/>
      <c r="D24" s="29"/>
      <c r="E24" s="83"/>
      <c r="F24" s="84"/>
      <c r="G24" s="85"/>
      <c r="H24" s="86"/>
      <c r="I24" s="692"/>
      <c r="J24" s="85"/>
      <c r="K24" s="84"/>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f t="shared" ref="AP24:AR24" si="17">SUM(AP23)</f>
        <v>30000000</v>
      </c>
      <c r="AQ24" s="87">
        <f t="shared" si="17"/>
        <v>0</v>
      </c>
      <c r="AR24" s="87">
        <f t="shared" si="17"/>
        <v>0</v>
      </c>
      <c r="AS24" s="87"/>
      <c r="AT24" s="87"/>
      <c r="AU24" s="87"/>
      <c r="AV24" s="87"/>
      <c r="AW24" s="87"/>
      <c r="AX24" s="87"/>
      <c r="AY24" s="87">
        <f t="shared" ref="AY24:BA24" si="18">SUM(AY23)</f>
        <v>30000000</v>
      </c>
      <c r="AZ24" s="87">
        <f t="shared" si="18"/>
        <v>0</v>
      </c>
      <c r="BA24" s="87">
        <f t="shared" si="18"/>
        <v>0</v>
      </c>
    </row>
    <row r="25" spans="1:53" ht="15" x14ac:dyDescent="0.25">
      <c r="A25" s="27"/>
      <c r="B25" s="27"/>
      <c r="C25" s="31"/>
      <c r="D25" s="58"/>
      <c r="E25" s="58"/>
      <c r="F25" s="651"/>
      <c r="G25" s="58"/>
      <c r="H25" s="59"/>
      <c r="I25" s="689"/>
      <c r="J25" s="58"/>
      <c r="K25" s="651"/>
      <c r="L25" s="60"/>
      <c r="M25" s="60"/>
      <c r="N25" s="60"/>
      <c r="O25" s="60"/>
      <c r="P25" s="60"/>
      <c r="Q25" s="60"/>
      <c r="R25" s="60"/>
      <c r="S25" s="60"/>
      <c r="T25" s="60"/>
      <c r="U25" s="60"/>
      <c r="V25" s="60"/>
      <c r="W25" s="60"/>
      <c r="X25" s="60"/>
      <c r="Y25" s="60"/>
      <c r="Z25" s="60"/>
      <c r="AA25" s="60"/>
      <c r="AB25" s="60"/>
      <c r="AC25" s="60"/>
      <c r="AD25" s="61"/>
      <c r="AE25" s="61"/>
      <c r="AF25" s="61"/>
      <c r="AG25" s="61"/>
      <c r="AH25" s="61"/>
      <c r="AI25" s="61"/>
      <c r="AJ25" s="60"/>
      <c r="AK25" s="60"/>
      <c r="AL25" s="60"/>
      <c r="AM25" s="60"/>
      <c r="AN25" s="60"/>
      <c r="AO25" s="60"/>
      <c r="AP25" s="88"/>
      <c r="AQ25" s="88"/>
      <c r="AR25" s="88"/>
      <c r="AS25" s="60"/>
      <c r="AT25" s="60"/>
      <c r="AU25" s="60"/>
      <c r="AV25" s="61"/>
      <c r="AW25" s="63"/>
      <c r="AX25" s="63"/>
      <c r="AY25" s="64"/>
      <c r="AZ25" s="64"/>
      <c r="BA25" s="64"/>
    </row>
    <row r="26" spans="1:53" x14ac:dyDescent="0.25">
      <c r="A26" s="27"/>
      <c r="B26" s="27"/>
      <c r="C26" s="31"/>
      <c r="D26" s="58"/>
      <c r="E26" s="89">
        <v>84</v>
      </c>
      <c r="F26" s="90" t="s">
        <v>470</v>
      </c>
      <c r="G26" s="91"/>
      <c r="H26" s="91"/>
      <c r="I26" s="693"/>
      <c r="J26" s="91"/>
      <c r="K26" s="91"/>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3"/>
      <c r="AQ26" s="93"/>
      <c r="AR26" s="93"/>
      <c r="AS26" s="92"/>
      <c r="AT26" s="92"/>
      <c r="AU26" s="92"/>
      <c r="AV26" s="92"/>
      <c r="AW26" s="92"/>
      <c r="AX26" s="92"/>
      <c r="AY26" s="94"/>
      <c r="AZ26" s="94"/>
      <c r="BA26" s="94"/>
    </row>
    <row r="27" spans="1:53" ht="81.75" customHeight="1" x14ac:dyDescent="0.25">
      <c r="A27" s="27"/>
      <c r="B27" s="27"/>
      <c r="C27" s="28">
        <v>37</v>
      </c>
      <c r="D27" s="29" t="s">
        <v>469</v>
      </c>
      <c r="E27" s="29"/>
      <c r="F27" s="31">
        <v>248</v>
      </c>
      <c r="G27" s="29" t="s">
        <v>16</v>
      </c>
      <c r="H27" s="32" t="s">
        <v>465</v>
      </c>
      <c r="I27" s="691" t="s">
        <v>17</v>
      </c>
      <c r="J27" s="29" t="s">
        <v>471</v>
      </c>
      <c r="K27" s="31" t="s">
        <v>466</v>
      </c>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6"/>
      <c r="AO27" s="36"/>
      <c r="AP27" s="35">
        <v>30000000</v>
      </c>
      <c r="AQ27" s="35"/>
      <c r="AR27" s="35"/>
      <c r="AS27" s="36"/>
      <c r="AT27" s="36"/>
      <c r="AU27" s="36"/>
      <c r="AV27" s="36"/>
      <c r="AW27" s="36"/>
      <c r="AX27" s="36"/>
      <c r="AY27" s="37">
        <f t="shared" ref="AY27" si="19">+L27+O27+R27+U27+X27+AA27+AD27+AG27+AJ27+AM27+AP27+AS27+AV27</f>
        <v>30000000</v>
      </c>
      <c r="AZ27" s="37">
        <f t="shared" ref="AZ27" si="20">+M27+P27+S27+V27+Y27+AB27+AE27+AH27+AK27+AN27+AQ27+AT27+AW27</f>
        <v>0</v>
      </c>
      <c r="BA27" s="37">
        <f t="shared" ref="BA27" si="21">+N27+Q27+T27+W27+Z27+AC27+AF27+AI27+AL27+AO27+AR27+AU27+AX27</f>
        <v>0</v>
      </c>
    </row>
    <row r="28" spans="1:53" s="12" customFormat="1" ht="20.25" x14ac:dyDescent="0.25">
      <c r="A28" s="27"/>
      <c r="B28" s="39"/>
      <c r="C28" s="28"/>
      <c r="D28" s="29"/>
      <c r="E28" s="40"/>
      <c r="F28" s="41"/>
      <c r="G28" s="40"/>
      <c r="H28" s="42"/>
      <c r="I28" s="685"/>
      <c r="J28" s="40"/>
      <c r="K28" s="41"/>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f t="shared" ref="AP28:AR28" si="22">AP27</f>
        <v>30000000</v>
      </c>
      <c r="AQ28" s="43">
        <f t="shared" si="22"/>
        <v>0</v>
      </c>
      <c r="AR28" s="43">
        <f t="shared" si="22"/>
        <v>0</v>
      </c>
      <c r="AS28" s="43"/>
      <c r="AT28" s="43"/>
      <c r="AU28" s="43"/>
      <c r="AV28" s="43"/>
      <c r="AW28" s="43"/>
      <c r="AX28" s="43"/>
      <c r="AY28" s="43">
        <f t="shared" ref="AY28:BA28" si="23">AY27</f>
        <v>30000000</v>
      </c>
      <c r="AZ28" s="43">
        <f t="shared" si="23"/>
        <v>0</v>
      </c>
      <c r="BA28" s="43">
        <f t="shared" si="23"/>
        <v>0</v>
      </c>
    </row>
    <row r="29" spans="1:53" ht="15" x14ac:dyDescent="0.25">
      <c r="A29" s="27"/>
      <c r="B29" s="95"/>
      <c r="C29" s="96"/>
      <c r="D29" s="95"/>
      <c r="E29" s="95"/>
      <c r="F29" s="96"/>
      <c r="G29" s="95"/>
      <c r="H29" s="97"/>
      <c r="I29" s="694"/>
      <c r="J29" s="95"/>
      <c r="K29" s="96"/>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f t="shared" ref="AP29:AR29" si="24">AP24+AP28</f>
        <v>60000000</v>
      </c>
      <c r="AQ29" s="98">
        <f t="shared" si="24"/>
        <v>0</v>
      </c>
      <c r="AR29" s="98">
        <f t="shared" si="24"/>
        <v>0</v>
      </c>
      <c r="AS29" s="98"/>
      <c r="AT29" s="98"/>
      <c r="AU29" s="98"/>
      <c r="AV29" s="98"/>
      <c r="AW29" s="98"/>
      <c r="AX29" s="98"/>
      <c r="AY29" s="48">
        <f t="shared" ref="AY29:BA29" si="25">AY24+AY28</f>
        <v>60000000</v>
      </c>
      <c r="AZ29" s="48">
        <f t="shared" si="25"/>
        <v>0</v>
      </c>
      <c r="BA29" s="48">
        <f t="shared" si="25"/>
        <v>0</v>
      </c>
    </row>
    <row r="30" spans="1:53" ht="15" x14ac:dyDescent="0.25">
      <c r="A30" s="27"/>
      <c r="B30" s="58"/>
      <c r="C30" s="651"/>
      <c r="D30" s="58"/>
      <c r="E30" s="58"/>
      <c r="F30" s="651"/>
      <c r="G30" s="58"/>
      <c r="H30" s="99"/>
      <c r="I30" s="689"/>
      <c r="J30" s="58"/>
      <c r="K30" s="651"/>
      <c r="L30" s="60"/>
      <c r="M30" s="60"/>
      <c r="N30" s="60"/>
      <c r="O30" s="60"/>
      <c r="P30" s="60"/>
      <c r="Q30" s="60"/>
      <c r="R30" s="60"/>
      <c r="S30" s="60"/>
      <c r="T30" s="60"/>
      <c r="U30" s="60"/>
      <c r="V30" s="60"/>
      <c r="W30" s="60"/>
      <c r="X30" s="60"/>
      <c r="Y30" s="60"/>
      <c r="Z30" s="60"/>
      <c r="AA30" s="60"/>
      <c r="AB30" s="60"/>
      <c r="AC30" s="60"/>
      <c r="AD30" s="61"/>
      <c r="AE30" s="61"/>
      <c r="AF30" s="61"/>
      <c r="AG30" s="61"/>
      <c r="AH30" s="61"/>
      <c r="AI30" s="61"/>
      <c r="AJ30" s="60"/>
      <c r="AK30" s="60"/>
      <c r="AL30" s="60"/>
      <c r="AM30" s="60"/>
      <c r="AN30" s="60"/>
      <c r="AO30" s="60"/>
      <c r="AP30" s="88"/>
      <c r="AQ30" s="88"/>
      <c r="AR30" s="88"/>
      <c r="AS30" s="60"/>
      <c r="AT30" s="60"/>
      <c r="AU30" s="60"/>
      <c r="AV30" s="61"/>
      <c r="AW30" s="63"/>
      <c r="AX30" s="63"/>
      <c r="AY30" s="64"/>
      <c r="AZ30" s="64"/>
      <c r="BA30" s="64"/>
    </row>
    <row r="31" spans="1:53" x14ac:dyDescent="0.25">
      <c r="A31" s="27"/>
      <c r="B31" s="634">
        <v>27</v>
      </c>
      <c r="C31" s="634" t="s">
        <v>472</v>
      </c>
      <c r="D31" s="17"/>
      <c r="E31" s="17"/>
      <c r="F31" s="640"/>
      <c r="G31" s="17"/>
      <c r="H31" s="17"/>
      <c r="I31" s="682"/>
      <c r="J31" s="17"/>
      <c r="K31" s="17"/>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3"/>
      <c r="AQ31" s="73"/>
      <c r="AR31" s="73"/>
      <c r="AS31" s="72"/>
      <c r="AT31" s="72"/>
      <c r="AU31" s="72"/>
      <c r="AV31" s="72"/>
      <c r="AW31" s="72"/>
      <c r="AX31" s="72"/>
      <c r="AY31" s="74"/>
      <c r="AZ31" s="74"/>
      <c r="BA31" s="74"/>
    </row>
    <row r="32" spans="1:53" x14ac:dyDescent="0.25">
      <c r="A32" s="27"/>
      <c r="B32" s="100"/>
      <c r="C32" s="651"/>
      <c r="D32" s="101"/>
      <c r="E32" s="76">
        <v>85</v>
      </c>
      <c r="F32" s="77" t="s">
        <v>473</v>
      </c>
      <c r="G32" s="78"/>
      <c r="H32" s="78"/>
      <c r="I32" s="690"/>
      <c r="J32" s="78"/>
      <c r="K32" s="78"/>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80"/>
      <c r="AQ32" s="80"/>
      <c r="AR32" s="80"/>
      <c r="AS32" s="79"/>
      <c r="AT32" s="79"/>
      <c r="AU32" s="79"/>
      <c r="AV32" s="79"/>
      <c r="AW32" s="79"/>
      <c r="AX32" s="79"/>
      <c r="AY32" s="81"/>
      <c r="AZ32" s="81"/>
      <c r="BA32" s="81"/>
    </row>
    <row r="33" spans="1:53" ht="73.5" customHeight="1" x14ac:dyDescent="0.25">
      <c r="A33" s="27"/>
      <c r="B33" s="30"/>
      <c r="C33" s="28">
        <v>37</v>
      </c>
      <c r="D33" s="29" t="s">
        <v>469</v>
      </c>
      <c r="E33" s="637"/>
      <c r="F33" s="646">
        <v>249</v>
      </c>
      <c r="G33" s="29" t="s">
        <v>18</v>
      </c>
      <c r="H33" s="32" t="s">
        <v>474</v>
      </c>
      <c r="I33" s="691" t="s">
        <v>475</v>
      </c>
      <c r="J33" s="29" t="s">
        <v>19</v>
      </c>
      <c r="K33" s="31" t="s">
        <v>466</v>
      </c>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6"/>
      <c r="AO33" s="36"/>
      <c r="AP33" s="35">
        <f>160000000+40000000</f>
        <v>200000000</v>
      </c>
      <c r="AQ33" s="35">
        <v>6425000</v>
      </c>
      <c r="AR33" s="35"/>
      <c r="AS33" s="36"/>
      <c r="AT33" s="36"/>
      <c r="AU33" s="36"/>
      <c r="AV33" s="36"/>
      <c r="AW33" s="36"/>
      <c r="AX33" s="36"/>
      <c r="AY33" s="37">
        <f t="shared" ref="AY33" si="26">+L33+O33+R33+U33+X33+AA33+AD33+AG33+AJ33+AM33+AP33+AS33+AV33</f>
        <v>200000000</v>
      </c>
      <c r="AZ33" s="37">
        <f t="shared" ref="AZ33" si="27">+M33+P33+S33+V33+Y33+AB33+AE33+AH33+AK33+AN33+AQ33+AT33+AW33</f>
        <v>6425000</v>
      </c>
      <c r="BA33" s="37">
        <f t="shared" ref="BA33" si="28">+N33+Q33+T33+W33+Z33+AC33+AF33+AI33+AL33+AO33+AR33+AU33+AX33</f>
        <v>0</v>
      </c>
    </row>
    <row r="34" spans="1:53" ht="15" x14ac:dyDescent="0.25">
      <c r="A34" s="27"/>
      <c r="B34" s="38"/>
      <c r="C34" s="28"/>
      <c r="D34" s="29"/>
      <c r="E34" s="102"/>
      <c r="F34" s="103"/>
      <c r="G34" s="40"/>
      <c r="H34" s="42"/>
      <c r="I34" s="685"/>
      <c r="J34" s="40"/>
      <c r="K34" s="41"/>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f t="shared" ref="AP34" si="29">SUM(AP33)</f>
        <v>200000000</v>
      </c>
      <c r="AQ34" s="43">
        <f t="shared" ref="AQ34:AR34" si="30">SUM(AQ33)</f>
        <v>6425000</v>
      </c>
      <c r="AR34" s="43">
        <f t="shared" si="30"/>
        <v>0</v>
      </c>
      <c r="AS34" s="43"/>
      <c r="AT34" s="43"/>
      <c r="AU34" s="43"/>
      <c r="AV34" s="43"/>
      <c r="AW34" s="43"/>
      <c r="AX34" s="43"/>
      <c r="AY34" s="43">
        <f t="shared" ref="AY34:BA34" si="31">SUM(AY33)</f>
        <v>200000000</v>
      </c>
      <c r="AZ34" s="43">
        <f t="shared" si="31"/>
        <v>6425000</v>
      </c>
      <c r="BA34" s="43">
        <f t="shared" si="31"/>
        <v>0</v>
      </c>
    </row>
    <row r="35" spans="1:53" ht="15" x14ac:dyDescent="0.25">
      <c r="A35" s="27"/>
      <c r="B35" s="104"/>
      <c r="C35" s="105"/>
      <c r="D35" s="95"/>
      <c r="E35" s="106"/>
      <c r="F35" s="107"/>
      <c r="G35" s="45"/>
      <c r="H35" s="47"/>
      <c r="I35" s="686"/>
      <c r="J35" s="45"/>
      <c r="K35" s="46"/>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f t="shared" ref="AP35" si="32">AP34</f>
        <v>200000000</v>
      </c>
      <c r="AQ35" s="48">
        <f t="shared" ref="AQ35:AR35" si="33">AQ34</f>
        <v>6425000</v>
      </c>
      <c r="AR35" s="48">
        <f t="shared" si="33"/>
        <v>0</v>
      </c>
      <c r="AS35" s="48"/>
      <c r="AT35" s="48"/>
      <c r="AU35" s="48"/>
      <c r="AV35" s="48"/>
      <c r="AW35" s="48"/>
      <c r="AX35" s="48"/>
      <c r="AY35" s="48">
        <f t="shared" ref="AY35:BA35" si="34">AY34</f>
        <v>200000000</v>
      </c>
      <c r="AZ35" s="48">
        <f t="shared" si="34"/>
        <v>6425000</v>
      </c>
      <c r="BA35" s="48">
        <f t="shared" si="34"/>
        <v>0</v>
      </c>
    </row>
    <row r="36" spans="1:53" ht="15" x14ac:dyDescent="0.25">
      <c r="A36" s="27"/>
      <c r="B36" s="58"/>
      <c r="C36" s="651"/>
      <c r="D36" s="58"/>
      <c r="E36" s="108"/>
      <c r="F36" s="109"/>
      <c r="G36" s="58"/>
      <c r="H36" s="59"/>
      <c r="I36" s="689"/>
      <c r="J36" s="58"/>
      <c r="K36" s="651"/>
      <c r="L36" s="60"/>
      <c r="M36" s="60"/>
      <c r="N36" s="60"/>
      <c r="O36" s="60"/>
      <c r="P36" s="60"/>
      <c r="Q36" s="60"/>
      <c r="R36" s="60"/>
      <c r="S36" s="60"/>
      <c r="T36" s="60"/>
      <c r="U36" s="60"/>
      <c r="V36" s="60"/>
      <c r="W36" s="60"/>
      <c r="X36" s="60"/>
      <c r="Y36" s="60"/>
      <c r="Z36" s="60"/>
      <c r="AA36" s="60"/>
      <c r="AB36" s="60"/>
      <c r="AC36" s="60"/>
      <c r="AD36" s="61"/>
      <c r="AE36" s="61"/>
      <c r="AF36" s="61"/>
      <c r="AG36" s="61"/>
      <c r="AH36" s="61"/>
      <c r="AI36" s="61"/>
      <c r="AJ36" s="60"/>
      <c r="AK36" s="60"/>
      <c r="AL36" s="60"/>
      <c r="AM36" s="60"/>
      <c r="AN36" s="60"/>
      <c r="AO36" s="60"/>
      <c r="AP36" s="88"/>
      <c r="AQ36" s="88"/>
      <c r="AR36" s="88"/>
      <c r="AS36" s="60"/>
      <c r="AT36" s="60"/>
      <c r="AU36" s="60"/>
      <c r="AV36" s="60"/>
      <c r="AW36" s="60"/>
      <c r="AX36" s="60"/>
      <c r="AY36" s="110"/>
      <c r="AZ36" s="110"/>
      <c r="BA36" s="110"/>
    </row>
    <row r="37" spans="1:53" x14ac:dyDescent="0.25">
      <c r="A37" s="19"/>
      <c r="B37" s="111">
        <v>28</v>
      </c>
      <c r="C37" s="818" t="s">
        <v>462</v>
      </c>
      <c r="D37" s="819"/>
      <c r="E37" s="17"/>
      <c r="F37" s="640"/>
      <c r="G37" s="17"/>
      <c r="H37" s="17"/>
      <c r="I37" s="682"/>
      <c r="J37" s="17"/>
      <c r="K37" s="17"/>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3"/>
      <c r="AQ37" s="73"/>
      <c r="AR37" s="73"/>
      <c r="AS37" s="72"/>
      <c r="AT37" s="72"/>
      <c r="AU37" s="72"/>
      <c r="AV37" s="72"/>
      <c r="AW37" s="72"/>
      <c r="AX37" s="72"/>
      <c r="AY37" s="74"/>
      <c r="AZ37" s="74"/>
      <c r="BA37" s="74"/>
    </row>
    <row r="38" spans="1:53" ht="15.75" customHeight="1" x14ac:dyDescent="0.25">
      <c r="A38" s="19"/>
      <c r="B38" s="100"/>
      <c r="C38" s="112"/>
      <c r="D38" s="100"/>
      <c r="E38" s="113">
        <v>87</v>
      </c>
      <c r="F38" s="114" t="s">
        <v>476</v>
      </c>
      <c r="G38" s="115"/>
      <c r="H38" s="115"/>
      <c r="I38" s="695"/>
      <c r="J38" s="115"/>
      <c r="K38" s="115"/>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7"/>
      <c r="AQ38" s="117"/>
      <c r="AR38" s="117"/>
      <c r="AS38" s="116"/>
      <c r="AT38" s="116"/>
      <c r="AU38" s="116"/>
      <c r="AV38" s="116"/>
      <c r="AW38" s="116"/>
      <c r="AX38" s="116"/>
      <c r="AY38" s="118"/>
      <c r="AZ38" s="118"/>
      <c r="BA38" s="118"/>
    </row>
    <row r="39" spans="1:53" ht="64.5" customHeight="1" x14ac:dyDescent="0.25">
      <c r="A39" s="119"/>
      <c r="B39" s="120"/>
      <c r="C39" s="653">
        <v>38</v>
      </c>
      <c r="D39" s="637" t="s">
        <v>464</v>
      </c>
      <c r="E39" s="121"/>
      <c r="F39" s="122">
        <v>256</v>
      </c>
      <c r="G39" s="123" t="s">
        <v>20</v>
      </c>
      <c r="H39" s="124" t="s">
        <v>465</v>
      </c>
      <c r="I39" s="672" t="s">
        <v>21</v>
      </c>
      <c r="J39" s="123" t="s">
        <v>22</v>
      </c>
      <c r="K39" s="125" t="s">
        <v>477</v>
      </c>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7">
        <f>150000000+36750000+40000000+142000</f>
        <v>226892000</v>
      </c>
      <c r="AQ39" s="127">
        <v>153233333</v>
      </c>
      <c r="AR39" s="127">
        <v>18400000</v>
      </c>
      <c r="AS39" s="126"/>
      <c r="AT39" s="126"/>
      <c r="AU39" s="126"/>
      <c r="AV39" s="126"/>
      <c r="AW39" s="126"/>
      <c r="AX39" s="126"/>
      <c r="AY39" s="37">
        <f t="shared" ref="AY39:AY51" si="35">+L39+O39+R39+U39+X39+AA39+AD39+AG39+AJ39+AM39+AP39+AS39+AV39</f>
        <v>226892000</v>
      </c>
      <c r="AZ39" s="37">
        <f t="shared" ref="AZ39:AZ51" si="36">+M39+P39+S39+V39+Y39+AB39+AE39+AH39+AK39+AN39+AQ39+AT39+AW39</f>
        <v>153233333</v>
      </c>
      <c r="BA39" s="37">
        <f t="shared" ref="BA39:BA51" si="37">+N39+Q39+T39+W39+Z39+AC39+AF39+AI39+AL39+AO39+AR39+AU39+AX39</f>
        <v>18400000</v>
      </c>
    </row>
    <row r="40" spans="1:53" s="135" customFormat="1" ht="55.5" customHeight="1" x14ac:dyDescent="0.25">
      <c r="A40" s="128"/>
      <c r="B40" s="128"/>
      <c r="C40" s="653">
        <v>38</v>
      </c>
      <c r="D40" s="637" t="s">
        <v>464</v>
      </c>
      <c r="E40" s="128"/>
      <c r="F40" s="129">
        <v>257</v>
      </c>
      <c r="G40" s="130" t="s">
        <v>23</v>
      </c>
      <c r="H40" s="820" t="s">
        <v>465</v>
      </c>
      <c r="I40" s="821" t="s">
        <v>24</v>
      </c>
      <c r="J40" s="822" t="s">
        <v>25</v>
      </c>
      <c r="K40" s="131" t="s">
        <v>466</v>
      </c>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4"/>
      <c r="AO40" s="134"/>
      <c r="AP40" s="133">
        <v>85000000</v>
      </c>
      <c r="AQ40" s="133"/>
      <c r="AR40" s="133"/>
      <c r="AS40" s="134"/>
      <c r="AT40" s="134"/>
      <c r="AU40" s="134"/>
      <c r="AV40" s="134"/>
      <c r="AW40" s="134"/>
      <c r="AX40" s="134"/>
      <c r="AY40" s="37">
        <f t="shared" si="35"/>
        <v>85000000</v>
      </c>
      <c r="AZ40" s="37">
        <f t="shared" si="36"/>
        <v>0</v>
      </c>
      <c r="BA40" s="37">
        <f t="shared" si="37"/>
        <v>0</v>
      </c>
    </row>
    <row r="41" spans="1:53" ht="58.5" customHeight="1" x14ac:dyDescent="0.25">
      <c r="A41" s="27"/>
      <c r="B41" s="30"/>
      <c r="C41" s="653">
        <v>38</v>
      </c>
      <c r="D41" s="637" t="s">
        <v>464</v>
      </c>
      <c r="E41" s="30"/>
      <c r="F41" s="31">
        <v>263</v>
      </c>
      <c r="G41" s="29" t="s">
        <v>26</v>
      </c>
      <c r="H41" s="820"/>
      <c r="I41" s="821"/>
      <c r="J41" s="822"/>
      <c r="K41" s="136" t="s">
        <v>466</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6"/>
      <c r="AO41" s="36"/>
      <c r="AP41" s="35">
        <v>120000000</v>
      </c>
      <c r="AQ41" s="35">
        <v>13916667</v>
      </c>
      <c r="AR41" s="35">
        <v>7100000</v>
      </c>
      <c r="AS41" s="36"/>
      <c r="AT41" s="36"/>
      <c r="AU41" s="36"/>
      <c r="AV41" s="36"/>
      <c r="AW41" s="36"/>
      <c r="AX41" s="36"/>
      <c r="AY41" s="37">
        <f t="shared" si="35"/>
        <v>120000000</v>
      </c>
      <c r="AZ41" s="37">
        <f t="shared" si="36"/>
        <v>13916667</v>
      </c>
      <c r="BA41" s="37">
        <f t="shared" si="37"/>
        <v>7100000</v>
      </c>
    </row>
    <row r="42" spans="1:53" ht="70.5" customHeight="1" x14ac:dyDescent="0.25">
      <c r="A42" s="27"/>
      <c r="B42" s="30"/>
      <c r="C42" s="646">
        <v>38</v>
      </c>
      <c r="D42" s="637" t="s">
        <v>464</v>
      </c>
      <c r="E42" s="30"/>
      <c r="F42" s="31">
        <v>262</v>
      </c>
      <c r="G42" s="29" t="s">
        <v>27</v>
      </c>
      <c r="H42" s="29" t="s">
        <v>465</v>
      </c>
      <c r="I42" s="691" t="s">
        <v>28</v>
      </c>
      <c r="J42" s="29" t="s">
        <v>29</v>
      </c>
      <c r="K42" s="136" t="s">
        <v>466</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6"/>
      <c r="AO42" s="36"/>
      <c r="AP42" s="35">
        <v>40000000</v>
      </c>
      <c r="AQ42" s="35">
        <v>6906666</v>
      </c>
      <c r="AR42" s="35"/>
      <c r="AS42" s="36"/>
      <c r="AT42" s="36"/>
      <c r="AU42" s="36"/>
      <c r="AV42" s="36"/>
      <c r="AW42" s="36"/>
      <c r="AX42" s="36"/>
      <c r="AY42" s="37">
        <f t="shared" si="35"/>
        <v>40000000</v>
      </c>
      <c r="AZ42" s="37">
        <f t="shared" si="36"/>
        <v>6906666</v>
      </c>
      <c r="BA42" s="37">
        <f t="shared" si="37"/>
        <v>0</v>
      </c>
    </row>
    <row r="43" spans="1:53" ht="96.75" customHeight="1" x14ac:dyDescent="0.25">
      <c r="A43" s="30"/>
      <c r="B43" s="30"/>
      <c r="C43" s="646">
        <v>38</v>
      </c>
      <c r="D43" s="637" t="s">
        <v>464</v>
      </c>
      <c r="E43" s="30"/>
      <c r="F43" s="31">
        <v>264</v>
      </c>
      <c r="G43" s="29" t="s">
        <v>30</v>
      </c>
      <c r="H43" s="29" t="s">
        <v>465</v>
      </c>
      <c r="I43" s="691" t="s">
        <v>31</v>
      </c>
      <c r="J43" s="29" t="s">
        <v>32</v>
      </c>
      <c r="K43" s="136" t="s">
        <v>466</v>
      </c>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6"/>
      <c r="AO43" s="36"/>
      <c r="AP43" s="35">
        <v>40000000</v>
      </c>
      <c r="AQ43" s="35"/>
      <c r="AR43" s="35"/>
      <c r="AS43" s="36"/>
      <c r="AT43" s="36"/>
      <c r="AU43" s="36"/>
      <c r="AV43" s="36"/>
      <c r="AW43" s="36"/>
      <c r="AX43" s="36"/>
      <c r="AY43" s="37">
        <f t="shared" si="35"/>
        <v>40000000</v>
      </c>
      <c r="AZ43" s="37">
        <f t="shared" si="36"/>
        <v>0</v>
      </c>
      <c r="BA43" s="37">
        <f t="shared" si="37"/>
        <v>0</v>
      </c>
    </row>
    <row r="44" spans="1:53" ht="73.5" customHeight="1" x14ac:dyDescent="0.25">
      <c r="A44" s="27"/>
      <c r="B44" s="30"/>
      <c r="C44" s="646">
        <v>38</v>
      </c>
      <c r="D44" s="637" t="s">
        <v>464</v>
      </c>
      <c r="E44" s="137"/>
      <c r="F44" s="31">
        <v>265</v>
      </c>
      <c r="G44" s="29" t="s">
        <v>33</v>
      </c>
      <c r="H44" s="31" t="s">
        <v>478</v>
      </c>
      <c r="I44" s="691" t="s">
        <v>34</v>
      </c>
      <c r="J44" s="29" t="s">
        <v>35</v>
      </c>
      <c r="K44" s="136" t="s">
        <v>466</v>
      </c>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6"/>
      <c r="AO44" s="36"/>
      <c r="AP44" s="35">
        <v>300000000</v>
      </c>
      <c r="AQ44" s="35">
        <v>61786666</v>
      </c>
      <c r="AR44" s="35">
        <v>22800000</v>
      </c>
      <c r="AS44" s="36"/>
      <c r="AT44" s="36"/>
      <c r="AU44" s="36"/>
      <c r="AV44" s="36"/>
      <c r="AW44" s="36"/>
      <c r="AX44" s="36"/>
      <c r="AY44" s="37">
        <f t="shared" si="35"/>
        <v>300000000</v>
      </c>
      <c r="AZ44" s="37">
        <f t="shared" si="36"/>
        <v>61786666</v>
      </c>
      <c r="BA44" s="37">
        <f t="shared" si="37"/>
        <v>22800000</v>
      </c>
    </row>
    <row r="45" spans="1:53" ht="84" customHeight="1" x14ac:dyDescent="0.25">
      <c r="A45" s="27"/>
      <c r="B45" s="30"/>
      <c r="C45" s="31">
        <v>38</v>
      </c>
      <c r="D45" s="29" t="s">
        <v>464</v>
      </c>
      <c r="E45" s="31"/>
      <c r="F45" s="31">
        <v>268</v>
      </c>
      <c r="G45" s="29" t="s">
        <v>36</v>
      </c>
      <c r="H45" s="823" t="s">
        <v>465</v>
      </c>
      <c r="I45" s="821" t="s">
        <v>37</v>
      </c>
      <c r="J45" s="824" t="s">
        <v>38</v>
      </c>
      <c r="K45" s="136" t="s">
        <v>466</v>
      </c>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6"/>
      <c r="AO45" s="36"/>
      <c r="AP45" s="35">
        <v>45000000</v>
      </c>
      <c r="AQ45" s="35">
        <v>2400000</v>
      </c>
      <c r="AR45" s="35">
        <v>800000</v>
      </c>
      <c r="AS45" s="36"/>
      <c r="AT45" s="36"/>
      <c r="AU45" s="36"/>
      <c r="AV45" s="36"/>
      <c r="AW45" s="36"/>
      <c r="AX45" s="36"/>
      <c r="AY45" s="37">
        <f t="shared" si="35"/>
        <v>45000000</v>
      </c>
      <c r="AZ45" s="37">
        <f t="shared" si="36"/>
        <v>2400000</v>
      </c>
      <c r="BA45" s="37">
        <f t="shared" si="37"/>
        <v>800000</v>
      </c>
    </row>
    <row r="46" spans="1:53" ht="75" customHeight="1" x14ac:dyDescent="0.25">
      <c r="A46" s="27"/>
      <c r="B46" s="30"/>
      <c r="C46" s="31">
        <v>38</v>
      </c>
      <c r="D46" s="29" t="s">
        <v>464</v>
      </c>
      <c r="E46" s="31"/>
      <c r="F46" s="31">
        <v>269</v>
      </c>
      <c r="G46" s="29" t="s">
        <v>39</v>
      </c>
      <c r="H46" s="823"/>
      <c r="I46" s="821"/>
      <c r="J46" s="824"/>
      <c r="K46" s="136" t="s">
        <v>466</v>
      </c>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6"/>
      <c r="AO46" s="36"/>
      <c r="AP46" s="35">
        <v>45000000</v>
      </c>
      <c r="AQ46" s="35"/>
      <c r="AR46" s="35"/>
      <c r="AS46" s="36"/>
      <c r="AT46" s="36"/>
      <c r="AU46" s="36"/>
      <c r="AV46" s="36"/>
      <c r="AW46" s="36"/>
      <c r="AX46" s="36"/>
      <c r="AY46" s="37">
        <f t="shared" si="35"/>
        <v>45000000</v>
      </c>
      <c r="AZ46" s="37">
        <f t="shared" si="36"/>
        <v>0</v>
      </c>
      <c r="BA46" s="37">
        <f t="shared" si="37"/>
        <v>0</v>
      </c>
    </row>
    <row r="47" spans="1:53" ht="89.25" customHeight="1" x14ac:dyDescent="0.25">
      <c r="A47" s="27"/>
      <c r="B47" s="30"/>
      <c r="C47" s="31">
        <v>38</v>
      </c>
      <c r="D47" s="29" t="s">
        <v>464</v>
      </c>
      <c r="E47" s="31"/>
      <c r="F47" s="31">
        <v>270</v>
      </c>
      <c r="G47" s="29" t="s">
        <v>40</v>
      </c>
      <c r="H47" s="823"/>
      <c r="I47" s="821"/>
      <c r="J47" s="824"/>
      <c r="K47" s="136" t="s">
        <v>466</v>
      </c>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6"/>
      <c r="AO47" s="36"/>
      <c r="AP47" s="35">
        <v>45000000</v>
      </c>
      <c r="AQ47" s="35">
        <v>17100000</v>
      </c>
      <c r="AR47" s="35">
        <v>5700000</v>
      </c>
      <c r="AS47" s="36"/>
      <c r="AT47" s="36"/>
      <c r="AU47" s="36"/>
      <c r="AV47" s="36"/>
      <c r="AW47" s="36"/>
      <c r="AX47" s="36"/>
      <c r="AY47" s="37">
        <f t="shared" si="35"/>
        <v>45000000</v>
      </c>
      <c r="AZ47" s="37">
        <f t="shared" si="36"/>
        <v>17100000</v>
      </c>
      <c r="BA47" s="37">
        <f t="shared" si="37"/>
        <v>5700000</v>
      </c>
    </row>
    <row r="48" spans="1:53" ht="102" customHeight="1" x14ac:dyDescent="0.25">
      <c r="A48" s="27"/>
      <c r="B48" s="30"/>
      <c r="C48" s="31">
        <v>38</v>
      </c>
      <c r="D48" s="29" t="s">
        <v>464</v>
      </c>
      <c r="E48" s="31"/>
      <c r="F48" s="31">
        <v>271</v>
      </c>
      <c r="G48" s="29" t="s">
        <v>41</v>
      </c>
      <c r="H48" s="823"/>
      <c r="I48" s="821"/>
      <c r="J48" s="824"/>
      <c r="K48" s="136" t="s">
        <v>466</v>
      </c>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6"/>
      <c r="AO48" s="36"/>
      <c r="AP48" s="35">
        <v>45000000</v>
      </c>
      <c r="AQ48" s="35">
        <v>9000000</v>
      </c>
      <c r="AR48" s="35">
        <v>3000000</v>
      </c>
      <c r="AS48" s="36"/>
      <c r="AT48" s="36"/>
      <c r="AU48" s="36"/>
      <c r="AV48" s="36"/>
      <c r="AW48" s="36"/>
      <c r="AX48" s="36"/>
      <c r="AY48" s="37">
        <f t="shared" si="35"/>
        <v>45000000</v>
      </c>
      <c r="AZ48" s="37">
        <f t="shared" si="36"/>
        <v>9000000</v>
      </c>
      <c r="BA48" s="37">
        <f t="shared" si="37"/>
        <v>3000000</v>
      </c>
    </row>
    <row r="49" spans="1:53" ht="77.25" customHeight="1" x14ac:dyDescent="0.25">
      <c r="A49" s="27"/>
      <c r="B49" s="30"/>
      <c r="C49" s="31">
        <v>38</v>
      </c>
      <c r="D49" s="29" t="s">
        <v>464</v>
      </c>
      <c r="E49" s="31"/>
      <c r="F49" s="31">
        <v>272</v>
      </c>
      <c r="G49" s="29" t="s">
        <v>42</v>
      </c>
      <c r="H49" s="823"/>
      <c r="I49" s="821"/>
      <c r="J49" s="824"/>
      <c r="K49" s="136" t="s">
        <v>466</v>
      </c>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6"/>
      <c r="AO49" s="36"/>
      <c r="AP49" s="35">
        <v>45000000</v>
      </c>
      <c r="AQ49" s="35"/>
      <c r="AR49" s="35"/>
      <c r="AS49" s="36"/>
      <c r="AT49" s="36"/>
      <c r="AU49" s="36"/>
      <c r="AV49" s="36"/>
      <c r="AW49" s="36"/>
      <c r="AX49" s="36"/>
      <c r="AY49" s="37">
        <f t="shared" si="35"/>
        <v>45000000</v>
      </c>
      <c r="AZ49" s="37">
        <f t="shared" si="36"/>
        <v>0</v>
      </c>
      <c r="BA49" s="37">
        <f t="shared" si="37"/>
        <v>0</v>
      </c>
    </row>
    <row r="50" spans="1:53" ht="89.25" customHeight="1" x14ac:dyDescent="0.25">
      <c r="A50" s="27"/>
      <c r="B50" s="30"/>
      <c r="C50" s="31">
        <v>38</v>
      </c>
      <c r="D50" s="29" t="s">
        <v>464</v>
      </c>
      <c r="E50" s="31"/>
      <c r="F50" s="31">
        <v>273</v>
      </c>
      <c r="G50" s="29" t="s">
        <v>43</v>
      </c>
      <c r="H50" s="823"/>
      <c r="I50" s="821"/>
      <c r="J50" s="824"/>
      <c r="K50" s="136" t="s">
        <v>466</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6"/>
      <c r="AO50" s="36"/>
      <c r="AP50" s="35">
        <f>15000000-1675000</f>
        <v>13325000</v>
      </c>
      <c r="AQ50" s="35"/>
      <c r="AR50" s="35"/>
      <c r="AS50" s="36"/>
      <c r="AT50" s="36"/>
      <c r="AU50" s="36"/>
      <c r="AV50" s="36"/>
      <c r="AW50" s="36"/>
      <c r="AX50" s="36"/>
      <c r="AY50" s="37">
        <f t="shared" si="35"/>
        <v>13325000</v>
      </c>
      <c r="AZ50" s="37">
        <f t="shared" si="36"/>
        <v>0</v>
      </c>
      <c r="BA50" s="37">
        <f t="shared" si="37"/>
        <v>0</v>
      </c>
    </row>
    <row r="51" spans="1:53" ht="64.5" customHeight="1" x14ac:dyDescent="0.25">
      <c r="A51" s="27"/>
      <c r="B51" s="30"/>
      <c r="C51" s="31">
        <v>38</v>
      </c>
      <c r="D51" s="29" t="s">
        <v>464</v>
      </c>
      <c r="E51" s="31"/>
      <c r="F51" s="31">
        <v>274</v>
      </c>
      <c r="G51" s="29" t="s">
        <v>44</v>
      </c>
      <c r="H51" s="823"/>
      <c r="I51" s="821"/>
      <c r="J51" s="824"/>
      <c r="K51" s="136" t="s">
        <v>466</v>
      </c>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6"/>
      <c r="AO51" s="36"/>
      <c r="AP51" s="35">
        <f>45000000</f>
        <v>45000000</v>
      </c>
      <c r="AQ51" s="35"/>
      <c r="AR51" s="35"/>
      <c r="AS51" s="36"/>
      <c r="AT51" s="36"/>
      <c r="AU51" s="36"/>
      <c r="AV51" s="36"/>
      <c r="AW51" s="36"/>
      <c r="AX51" s="36"/>
      <c r="AY51" s="37">
        <f t="shared" si="35"/>
        <v>45000000</v>
      </c>
      <c r="AZ51" s="37">
        <f t="shared" si="36"/>
        <v>0</v>
      </c>
      <c r="BA51" s="37">
        <f t="shared" si="37"/>
        <v>0</v>
      </c>
    </row>
    <row r="52" spans="1:53" ht="15" x14ac:dyDescent="0.25">
      <c r="A52" s="27"/>
      <c r="B52" s="30"/>
      <c r="C52" s="646"/>
      <c r="D52" s="637"/>
      <c r="E52" s="102"/>
      <c r="F52" s="103"/>
      <c r="G52" s="102"/>
      <c r="H52" s="138"/>
      <c r="I52" s="696"/>
      <c r="J52" s="102"/>
      <c r="K52" s="103"/>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f>SUM(AP39:AP51)</f>
        <v>1095217000</v>
      </c>
      <c r="AQ52" s="139">
        <f t="shared" ref="AQ52:AR52" si="38">SUM(AQ39:AQ51)</f>
        <v>264343332</v>
      </c>
      <c r="AR52" s="139">
        <f t="shared" si="38"/>
        <v>57800000</v>
      </c>
      <c r="AS52" s="139">
        <f>SUM(AS39:AS51)</f>
        <v>0</v>
      </c>
      <c r="AT52" s="139"/>
      <c r="AU52" s="139"/>
      <c r="AV52" s="139">
        <f>SUM(AV39:AV51)</f>
        <v>0</v>
      </c>
      <c r="AW52" s="139"/>
      <c r="AX52" s="139"/>
      <c r="AY52" s="139">
        <f>SUM(AY39:AY51)</f>
        <v>1095217000</v>
      </c>
      <c r="AZ52" s="139">
        <f t="shared" ref="AZ52:BA52" si="39">SUM(AZ39:AZ51)</f>
        <v>264343332</v>
      </c>
      <c r="BA52" s="139">
        <f t="shared" si="39"/>
        <v>57800000</v>
      </c>
    </row>
    <row r="53" spans="1:53" ht="15" x14ac:dyDescent="0.25">
      <c r="A53" s="19"/>
      <c r="B53" s="45"/>
      <c r="C53" s="46"/>
      <c r="D53" s="45"/>
      <c r="E53" s="45"/>
      <c r="F53" s="46"/>
      <c r="G53" s="45"/>
      <c r="H53" s="47"/>
      <c r="I53" s="686"/>
      <c r="J53" s="45"/>
      <c r="K53" s="46"/>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f t="shared" ref="AP53:AY53" si="40">AP52</f>
        <v>1095217000</v>
      </c>
      <c r="AQ53" s="48">
        <f t="shared" ref="AQ53:AR53" si="41">AQ52</f>
        <v>264343332</v>
      </c>
      <c r="AR53" s="48">
        <f t="shared" si="41"/>
        <v>57800000</v>
      </c>
      <c r="AS53" s="48">
        <f t="shared" si="40"/>
        <v>0</v>
      </c>
      <c r="AT53" s="48"/>
      <c r="AU53" s="48"/>
      <c r="AV53" s="48">
        <f t="shared" si="40"/>
        <v>0</v>
      </c>
      <c r="AW53" s="48"/>
      <c r="AX53" s="48"/>
      <c r="AY53" s="48">
        <f t="shared" si="40"/>
        <v>1095217000</v>
      </c>
      <c r="AZ53" s="48">
        <f t="shared" ref="AZ53:BA53" si="42">AZ52</f>
        <v>264343332</v>
      </c>
      <c r="BA53" s="48">
        <f t="shared" si="42"/>
        <v>57800000</v>
      </c>
    </row>
    <row r="54" spans="1:53" s="12" customFormat="1" ht="20.25" x14ac:dyDescent="0.25">
      <c r="A54" s="49"/>
      <c r="B54" s="49"/>
      <c r="C54" s="50"/>
      <c r="D54" s="49"/>
      <c r="E54" s="49"/>
      <c r="F54" s="50"/>
      <c r="G54" s="49"/>
      <c r="H54" s="51"/>
      <c r="I54" s="687"/>
      <c r="J54" s="49"/>
      <c r="K54" s="50"/>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f>AP29+AP35+AP53</f>
        <v>1355217000</v>
      </c>
      <c r="AQ54" s="52">
        <f t="shared" ref="AQ54:AR54" si="43">AQ29+AQ35+AQ53</f>
        <v>270768332</v>
      </c>
      <c r="AR54" s="52">
        <f t="shared" si="43"/>
        <v>57800000</v>
      </c>
      <c r="AS54" s="52"/>
      <c r="AT54" s="52"/>
      <c r="AU54" s="52"/>
      <c r="AV54" s="52"/>
      <c r="AW54" s="52"/>
      <c r="AX54" s="52"/>
      <c r="AY54" s="52">
        <f>AY29+AY35+AY53</f>
        <v>1355217000</v>
      </c>
      <c r="AZ54" s="52">
        <f t="shared" ref="AZ54:BA54" si="44">AZ29+AZ35+AZ53</f>
        <v>270768332</v>
      </c>
      <c r="BA54" s="52">
        <f t="shared" si="44"/>
        <v>57800000</v>
      </c>
    </row>
    <row r="55" spans="1:53" s="12" customFormat="1" ht="20.25" x14ac:dyDescent="0.25">
      <c r="A55" s="53"/>
      <c r="B55" s="53"/>
      <c r="C55" s="54"/>
      <c r="D55" s="53"/>
      <c r="E55" s="53"/>
      <c r="F55" s="54"/>
      <c r="G55" s="53"/>
      <c r="H55" s="55"/>
      <c r="I55" s="688"/>
      <c r="J55" s="53"/>
      <c r="K55" s="54"/>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f t="shared" ref="AP55:AR55" si="45">AP54</f>
        <v>1355217000</v>
      </c>
      <c r="AQ55" s="56">
        <f t="shared" si="45"/>
        <v>270768332</v>
      </c>
      <c r="AR55" s="56">
        <f t="shared" si="45"/>
        <v>57800000</v>
      </c>
      <c r="AS55" s="56"/>
      <c r="AT55" s="56"/>
      <c r="AU55" s="56"/>
      <c r="AV55" s="56"/>
      <c r="AW55" s="56"/>
      <c r="AX55" s="56"/>
      <c r="AY55" s="56">
        <f t="shared" ref="AY55:BA55" si="46">AY54</f>
        <v>1355217000</v>
      </c>
      <c r="AZ55" s="56">
        <f t="shared" si="46"/>
        <v>270768332</v>
      </c>
      <c r="BA55" s="56">
        <f t="shared" si="46"/>
        <v>57800000</v>
      </c>
    </row>
    <row r="56" spans="1:53" s="12" customFormat="1" ht="27.75" customHeight="1" x14ac:dyDescent="0.25">
      <c r="A56" s="140"/>
      <c r="B56" s="141"/>
      <c r="C56" s="142"/>
      <c r="D56" s="141"/>
      <c r="E56" s="141"/>
      <c r="F56" s="142"/>
      <c r="G56" s="141"/>
      <c r="H56" s="143"/>
      <c r="I56" s="697"/>
      <c r="J56" s="141"/>
      <c r="K56" s="144"/>
      <c r="L56" s="145"/>
      <c r="M56" s="145"/>
      <c r="N56" s="145"/>
      <c r="O56" s="145"/>
      <c r="P56" s="145"/>
      <c r="Q56" s="145"/>
      <c r="R56" s="145"/>
      <c r="S56" s="145"/>
      <c r="T56" s="145"/>
      <c r="U56" s="145"/>
      <c r="V56" s="145"/>
      <c r="W56" s="145"/>
      <c r="X56" s="145"/>
      <c r="Y56" s="145"/>
      <c r="Z56" s="145"/>
      <c r="AA56" s="145"/>
      <c r="AB56" s="145"/>
      <c r="AC56" s="145"/>
      <c r="AD56" s="63"/>
      <c r="AE56" s="63"/>
      <c r="AF56" s="63"/>
      <c r="AG56" s="63"/>
      <c r="AH56" s="63"/>
      <c r="AI56" s="63"/>
      <c r="AJ56" s="145"/>
      <c r="AK56" s="145"/>
      <c r="AL56" s="145"/>
      <c r="AM56" s="145"/>
      <c r="AN56" s="145"/>
      <c r="AO56" s="145"/>
      <c r="AP56" s="146"/>
      <c r="AQ56" s="146"/>
      <c r="AR56" s="146"/>
      <c r="AS56" s="145"/>
      <c r="AT56" s="145"/>
      <c r="AU56" s="145"/>
      <c r="AV56" s="63"/>
      <c r="AW56" s="63"/>
      <c r="AX56" s="63"/>
      <c r="AY56" s="147"/>
      <c r="AZ56" s="147"/>
      <c r="BA56" s="147"/>
    </row>
    <row r="57" spans="1:53" ht="20.25" x14ac:dyDescent="0.25">
      <c r="A57" s="148" t="s">
        <v>45</v>
      </c>
      <c r="B57" s="149"/>
      <c r="C57" s="150"/>
      <c r="D57" s="149"/>
      <c r="E57" s="149"/>
      <c r="F57" s="150"/>
      <c r="G57" s="149"/>
      <c r="H57" s="149"/>
      <c r="I57" s="698"/>
      <c r="J57" s="149"/>
      <c r="K57" s="9"/>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2"/>
      <c r="AQ57" s="152"/>
      <c r="AR57" s="152"/>
      <c r="AS57" s="151"/>
      <c r="AT57" s="151"/>
      <c r="AU57" s="151"/>
      <c r="AV57" s="151"/>
      <c r="AW57" s="151"/>
      <c r="AX57" s="151"/>
      <c r="AY57" s="153"/>
      <c r="AZ57" s="153"/>
      <c r="BA57" s="153"/>
    </row>
    <row r="58" spans="1:53" x14ac:dyDescent="0.25">
      <c r="A58" s="4">
        <v>5</v>
      </c>
      <c r="B58" s="13" t="s">
        <v>461</v>
      </c>
      <c r="C58" s="14"/>
      <c r="D58" s="13"/>
      <c r="E58" s="13"/>
      <c r="F58" s="14"/>
      <c r="G58" s="13"/>
      <c r="H58" s="13"/>
      <c r="I58" s="681"/>
      <c r="J58" s="13"/>
      <c r="K58" s="13"/>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9"/>
      <c r="AQ58" s="69"/>
      <c r="AR58" s="69"/>
      <c r="AS58" s="68"/>
      <c r="AT58" s="68"/>
      <c r="AU58" s="68"/>
      <c r="AV58" s="68"/>
      <c r="AW58" s="68"/>
      <c r="AX58" s="68"/>
      <c r="AY58" s="70"/>
      <c r="AZ58" s="70"/>
      <c r="BA58" s="70"/>
    </row>
    <row r="59" spans="1:53" x14ac:dyDescent="0.25">
      <c r="A59" s="71"/>
      <c r="B59" s="154">
        <v>28</v>
      </c>
      <c r="C59" s="832" t="s">
        <v>462</v>
      </c>
      <c r="D59" s="832"/>
      <c r="E59" s="17"/>
      <c r="F59" s="640"/>
      <c r="G59" s="17"/>
      <c r="H59" s="17"/>
      <c r="I59" s="682"/>
      <c r="J59" s="17"/>
      <c r="K59" s="17"/>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3"/>
      <c r="AQ59" s="73"/>
      <c r="AR59" s="73"/>
      <c r="AS59" s="72"/>
      <c r="AT59" s="72"/>
      <c r="AU59" s="72"/>
      <c r="AV59" s="72"/>
      <c r="AW59" s="72"/>
      <c r="AX59" s="72"/>
      <c r="AY59" s="74"/>
      <c r="AZ59" s="74"/>
      <c r="BA59" s="74"/>
    </row>
    <row r="60" spans="1:53" x14ac:dyDescent="0.25">
      <c r="A60" s="27"/>
      <c r="B60" s="155"/>
      <c r="C60" s="156"/>
      <c r="D60" s="75"/>
      <c r="E60" s="76">
        <v>88</v>
      </c>
      <c r="F60" s="77" t="s">
        <v>479</v>
      </c>
      <c r="G60" s="78"/>
      <c r="H60" s="78"/>
      <c r="I60" s="690"/>
      <c r="J60" s="78"/>
      <c r="K60" s="78"/>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80"/>
      <c r="AQ60" s="80"/>
      <c r="AR60" s="80"/>
      <c r="AS60" s="79"/>
      <c r="AT60" s="79"/>
      <c r="AU60" s="79"/>
      <c r="AV60" s="79"/>
      <c r="AW60" s="79"/>
      <c r="AX60" s="79"/>
      <c r="AY60" s="81"/>
      <c r="AZ60" s="81"/>
      <c r="BA60" s="81"/>
    </row>
    <row r="61" spans="1:53" ht="47.25" customHeight="1" x14ac:dyDescent="0.25">
      <c r="A61" s="27"/>
      <c r="B61" s="157"/>
      <c r="C61" s="31">
        <v>38</v>
      </c>
      <c r="D61" s="29" t="s">
        <v>464</v>
      </c>
      <c r="E61" s="158"/>
      <c r="F61" s="647">
        <v>275</v>
      </c>
      <c r="G61" s="639" t="s">
        <v>46</v>
      </c>
      <c r="H61" s="823" t="s">
        <v>465</v>
      </c>
      <c r="I61" s="827" t="s">
        <v>47</v>
      </c>
      <c r="J61" s="828" t="s">
        <v>48</v>
      </c>
      <c r="K61" s="647" t="s">
        <v>466</v>
      </c>
      <c r="L61" s="159"/>
      <c r="M61" s="160"/>
      <c r="N61" s="160"/>
      <c r="O61" s="160"/>
      <c r="P61" s="160"/>
      <c r="Q61" s="160"/>
      <c r="R61" s="161"/>
      <c r="S61" s="161"/>
      <c r="T61" s="161"/>
      <c r="U61" s="159"/>
      <c r="V61" s="159"/>
      <c r="W61" s="159"/>
      <c r="X61" s="159"/>
      <c r="Y61" s="159"/>
      <c r="Z61" s="159"/>
      <c r="AA61" s="159"/>
      <c r="AB61" s="159"/>
      <c r="AC61" s="159"/>
      <c r="AD61" s="159"/>
      <c r="AE61" s="159"/>
      <c r="AF61" s="159"/>
      <c r="AG61" s="159"/>
      <c r="AH61" s="159"/>
      <c r="AI61" s="159"/>
      <c r="AJ61" s="159"/>
      <c r="AK61" s="159"/>
      <c r="AL61" s="159"/>
      <c r="AM61" s="159"/>
      <c r="AN61" s="159"/>
      <c r="AO61" s="159"/>
      <c r="AP61" s="162">
        <v>1100000000</v>
      </c>
      <c r="AQ61" s="198">
        <v>483447537</v>
      </c>
      <c r="AR61" s="198">
        <v>69050000</v>
      </c>
      <c r="AS61" s="159"/>
      <c r="AT61" s="159"/>
      <c r="AU61" s="159"/>
      <c r="AV61" s="159"/>
      <c r="AW61" s="159"/>
      <c r="AX61" s="159"/>
      <c r="AY61" s="37">
        <f t="shared" ref="AY61:AY64" si="47">+L61+O61+R61+U61+X61+AA61+AD61+AG61+AJ61+AM61+AP61+AS61+AV61</f>
        <v>1100000000</v>
      </c>
      <c r="AZ61" s="37">
        <f t="shared" ref="AZ61:AZ64" si="48">+M61+P61+S61+V61+Y61+AB61+AE61+AH61+AK61+AN61+AQ61+AT61+AW61</f>
        <v>483447537</v>
      </c>
      <c r="BA61" s="37">
        <f t="shared" ref="BA61:BA64" si="49">+N61+Q61+T61+W61+Z61+AC61+AF61+AI61+AL61+AO61+AR61+AU61+AX61</f>
        <v>69050000</v>
      </c>
    </row>
    <row r="62" spans="1:53" ht="53.25" customHeight="1" x14ac:dyDescent="0.25">
      <c r="A62" s="27"/>
      <c r="B62" s="157"/>
      <c r="C62" s="31">
        <v>38</v>
      </c>
      <c r="D62" s="29" t="s">
        <v>464</v>
      </c>
      <c r="E62" s="158"/>
      <c r="F62" s="647">
        <v>276</v>
      </c>
      <c r="G62" s="29" t="s">
        <v>49</v>
      </c>
      <c r="H62" s="823"/>
      <c r="I62" s="821"/>
      <c r="J62" s="824"/>
      <c r="K62" s="31" t="s">
        <v>466</v>
      </c>
      <c r="L62" s="159"/>
      <c r="M62" s="163"/>
      <c r="N62" s="163"/>
      <c r="O62" s="163"/>
      <c r="P62" s="163"/>
      <c r="Q62" s="163"/>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62">
        <f>200000000+50270000</f>
        <v>250270000</v>
      </c>
      <c r="AQ62" s="198">
        <v>163004998</v>
      </c>
      <c r="AR62" s="198">
        <v>71900000</v>
      </c>
      <c r="AS62" s="159"/>
      <c r="AT62" s="159"/>
      <c r="AU62" s="159"/>
      <c r="AV62" s="159"/>
      <c r="AW62" s="159"/>
      <c r="AX62" s="159"/>
      <c r="AY62" s="37">
        <f t="shared" si="47"/>
        <v>250270000</v>
      </c>
      <c r="AZ62" s="37">
        <f t="shared" si="48"/>
        <v>163004998</v>
      </c>
      <c r="BA62" s="37">
        <f t="shared" si="49"/>
        <v>71900000</v>
      </c>
    </row>
    <row r="63" spans="1:53" s="12" customFormat="1" ht="49.5" customHeight="1" x14ac:dyDescent="0.25">
      <c r="A63" s="164"/>
      <c r="B63" s="165"/>
      <c r="C63" s="31">
        <v>38</v>
      </c>
      <c r="D63" s="29" t="s">
        <v>464</v>
      </c>
      <c r="E63" s="158"/>
      <c r="F63" s="166">
        <v>277</v>
      </c>
      <c r="G63" s="167" t="s">
        <v>50</v>
      </c>
      <c r="H63" s="829"/>
      <c r="I63" s="830"/>
      <c r="J63" s="831"/>
      <c r="K63" s="122" t="s">
        <v>466</v>
      </c>
      <c r="L63" s="168"/>
      <c r="M63" s="169"/>
      <c r="N63" s="169"/>
      <c r="O63" s="169"/>
      <c r="P63" s="169"/>
      <c r="Q63" s="169"/>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675"/>
      <c r="AO63" s="675"/>
      <c r="AP63" s="170"/>
      <c r="AQ63" s="170"/>
      <c r="AR63" s="170"/>
      <c r="AS63" s="171"/>
      <c r="AT63" s="171"/>
      <c r="AU63" s="171"/>
      <c r="AV63" s="171">
        <v>250000000</v>
      </c>
      <c r="AW63" s="171"/>
      <c r="AX63" s="171"/>
      <c r="AY63" s="37">
        <f t="shared" si="47"/>
        <v>250000000</v>
      </c>
      <c r="AZ63" s="37">
        <f t="shared" si="48"/>
        <v>0</v>
      </c>
      <c r="BA63" s="37">
        <f t="shared" si="49"/>
        <v>0</v>
      </c>
    </row>
    <row r="64" spans="1:53" ht="72.75" customHeight="1" x14ac:dyDescent="0.25">
      <c r="A64" s="27"/>
      <c r="B64" s="157"/>
      <c r="C64" s="31">
        <v>38</v>
      </c>
      <c r="D64" s="29" t="s">
        <v>464</v>
      </c>
      <c r="E64" s="158"/>
      <c r="F64" s="647">
        <v>279</v>
      </c>
      <c r="G64" s="29" t="s">
        <v>51</v>
      </c>
      <c r="H64" s="638" t="s">
        <v>465</v>
      </c>
      <c r="I64" s="668" t="s">
        <v>52</v>
      </c>
      <c r="J64" s="639" t="s">
        <v>53</v>
      </c>
      <c r="K64" s="31" t="s">
        <v>466</v>
      </c>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6"/>
      <c r="AO64" s="36"/>
      <c r="AP64" s="35">
        <f>200000000+70864000</f>
        <v>270864000</v>
      </c>
      <c r="AQ64" s="35">
        <v>143466664</v>
      </c>
      <c r="AR64" s="35">
        <v>59200000</v>
      </c>
      <c r="AS64" s="36"/>
      <c r="AT64" s="36"/>
      <c r="AU64" s="36"/>
      <c r="AV64" s="36"/>
      <c r="AW64" s="36"/>
      <c r="AX64" s="36"/>
      <c r="AY64" s="37">
        <f t="shared" si="47"/>
        <v>270864000</v>
      </c>
      <c r="AZ64" s="37">
        <f t="shared" si="48"/>
        <v>143466664</v>
      </c>
      <c r="BA64" s="37">
        <f t="shared" si="49"/>
        <v>59200000</v>
      </c>
    </row>
    <row r="65" spans="1:53" ht="20.25" customHeight="1" x14ac:dyDescent="0.25">
      <c r="A65" s="27"/>
      <c r="B65" s="172"/>
      <c r="C65" s="31"/>
      <c r="D65" s="158"/>
      <c r="E65" s="40"/>
      <c r="F65" s="41"/>
      <c r="G65" s="40"/>
      <c r="H65" s="42"/>
      <c r="I65" s="685"/>
      <c r="J65" s="40"/>
      <c r="K65" s="41"/>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173">
        <f>SUM(AP61:AP64)</f>
        <v>1621134000</v>
      </c>
      <c r="AQ65" s="173">
        <f t="shared" ref="AQ65:AR65" si="50">SUM(AQ61:AQ64)</f>
        <v>789919199</v>
      </c>
      <c r="AR65" s="173">
        <f t="shared" si="50"/>
        <v>200150000</v>
      </c>
      <c r="AS65" s="173">
        <f>SUM(AS61:AS64)</f>
        <v>0</v>
      </c>
      <c r="AT65" s="173"/>
      <c r="AU65" s="173"/>
      <c r="AV65" s="173">
        <f>SUM(AV61:AV64)</f>
        <v>250000000</v>
      </c>
      <c r="AW65" s="173">
        <f t="shared" ref="AW65:AX65" si="51">SUM(AW61:AW64)</f>
        <v>0</v>
      </c>
      <c r="AX65" s="173">
        <f t="shared" si="51"/>
        <v>0</v>
      </c>
      <c r="AY65" s="173">
        <f>SUM(AY61:AY64)</f>
        <v>1871134000</v>
      </c>
      <c r="AZ65" s="173">
        <f t="shared" ref="AZ65:BA65" si="52">SUM(AZ61:AZ64)</f>
        <v>789919199</v>
      </c>
      <c r="BA65" s="173">
        <f t="shared" si="52"/>
        <v>200150000</v>
      </c>
    </row>
    <row r="66" spans="1:53" ht="20.25" customHeight="1" x14ac:dyDescent="0.25">
      <c r="A66" s="39"/>
      <c r="B66" s="104"/>
      <c r="C66" s="46"/>
      <c r="D66" s="45"/>
      <c r="E66" s="45"/>
      <c r="F66" s="46"/>
      <c r="G66" s="45"/>
      <c r="H66" s="47"/>
      <c r="I66" s="686"/>
      <c r="J66" s="45"/>
      <c r="K66" s="46"/>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174">
        <f t="shared" ref="AP66:AY68" si="53">AP65</f>
        <v>1621134000</v>
      </c>
      <c r="AQ66" s="174">
        <f t="shared" ref="AQ66:AR66" si="54">AQ65</f>
        <v>789919199</v>
      </c>
      <c r="AR66" s="174">
        <f t="shared" si="54"/>
        <v>200150000</v>
      </c>
      <c r="AS66" s="174">
        <f t="shared" si="53"/>
        <v>0</v>
      </c>
      <c r="AT66" s="174"/>
      <c r="AU66" s="174"/>
      <c r="AV66" s="174">
        <f t="shared" si="53"/>
        <v>250000000</v>
      </c>
      <c r="AW66" s="174">
        <f t="shared" ref="AW66:AX66" si="55">AW65</f>
        <v>0</v>
      </c>
      <c r="AX66" s="174">
        <f t="shared" si="55"/>
        <v>0</v>
      </c>
      <c r="AY66" s="174">
        <f t="shared" si="53"/>
        <v>1871134000</v>
      </c>
      <c r="AZ66" s="174">
        <f t="shared" ref="AZ66:BA66" si="56">AZ65</f>
        <v>789919199</v>
      </c>
      <c r="BA66" s="174">
        <f t="shared" si="56"/>
        <v>200150000</v>
      </c>
    </row>
    <row r="67" spans="1:53" ht="21" customHeight="1" x14ac:dyDescent="0.25">
      <c r="A67" s="49"/>
      <c r="B67" s="49"/>
      <c r="C67" s="50"/>
      <c r="D67" s="49"/>
      <c r="E67" s="49"/>
      <c r="F67" s="50"/>
      <c r="G67" s="49"/>
      <c r="H67" s="51"/>
      <c r="I67" s="687"/>
      <c r="J67" s="49"/>
      <c r="K67" s="50"/>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175">
        <f t="shared" si="53"/>
        <v>1621134000</v>
      </c>
      <c r="AQ67" s="175">
        <f t="shared" ref="AQ67:AR67" si="57">AQ66</f>
        <v>789919199</v>
      </c>
      <c r="AR67" s="175">
        <f t="shared" si="57"/>
        <v>200150000</v>
      </c>
      <c r="AS67" s="175">
        <f t="shared" si="53"/>
        <v>0</v>
      </c>
      <c r="AT67" s="175"/>
      <c r="AU67" s="175"/>
      <c r="AV67" s="175">
        <f t="shared" si="53"/>
        <v>250000000</v>
      </c>
      <c r="AW67" s="175">
        <f t="shared" ref="AW67:AX67" si="58">AW66</f>
        <v>0</v>
      </c>
      <c r="AX67" s="175">
        <f t="shared" si="58"/>
        <v>0</v>
      </c>
      <c r="AY67" s="175">
        <f t="shared" si="53"/>
        <v>1871134000</v>
      </c>
      <c r="AZ67" s="175">
        <f t="shared" ref="AZ67:BA67" si="59">AZ66</f>
        <v>789919199</v>
      </c>
      <c r="BA67" s="175">
        <f t="shared" si="59"/>
        <v>200150000</v>
      </c>
    </row>
    <row r="68" spans="1:53" ht="24" customHeight="1" x14ac:dyDescent="0.25">
      <c r="A68" s="53"/>
      <c r="B68" s="53"/>
      <c r="C68" s="54"/>
      <c r="D68" s="53"/>
      <c r="E68" s="53"/>
      <c r="F68" s="54"/>
      <c r="G68" s="53"/>
      <c r="H68" s="55"/>
      <c r="I68" s="688"/>
      <c r="J68" s="53"/>
      <c r="K68" s="54"/>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176">
        <f t="shared" si="53"/>
        <v>1621134000</v>
      </c>
      <c r="AQ68" s="176">
        <f t="shared" ref="AQ68:AR68" si="60">AQ67</f>
        <v>789919199</v>
      </c>
      <c r="AR68" s="176">
        <f t="shared" si="60"/>
        <v>200150000</v>
      </c>
      <c r="AS68" s="176">
        <f t="shared" si="53"/>
        <v>0</v>
      </c>
      <c r="AT68" s="176"/>
      <c r="AU68" s="176"/>
      <c r="AV68" s="176">
        <f t="shared" si="53"/>
        <v>250000000</v>
      </c>
      <c r="AW68" s="176">
        <f t="shared" ref="AW68:AX68" si="61">AW67</f>
        <v>0</v>
      </c>
      <c r="AX68" s="176">
        <f t="shared" si="61"/>
        <v>0</v>
      </c>
      <c r="AY68" s="176">
        <f t="shared" si="53"/>
        <v>1871134000</v>
      </c>
      <c r="AZ68" s="176">
        <f t="shared" ref="AZ68:BA68" si="62">AZ67</f>
        <v>789919199</v>
      </c>
      <c r="BA68" s="176">
        <f t="shared" si="62"/>
        <v>200150000</v>
      </c>
    </row>
    <row r="69" spans="1:53" ht="26.25" customHeight="1" x14ac:dyDescent="0.25">
      <c r="A69" s="57"/>
      <c r="B69" s="58"/>
      <c r="C69" s="651"/>
      <c r="D69" s="58"/>
      <c r="E69" s="58"/>
      <c r="F69" s="651"/>
      <c r="G69" s="58"/>
      <c r="H69" s="59"/>
      <c r="I69" s="689"/>
      <c r="J69" s="58"/>
      <c r="K69" s="651"/>
      <c r="L69" s="60"/>
      <c r="M69" s="60"/>
      <c r="N69" s="60"/>
      <c r="O69" s="60"/>
      <c r="P69" s="60"/>
      <c r="Q69" s="60"/>
      <c r="R69" s="60"/>
      <c r="S69" s="60"/>
      <c r="T69" s="60"/>
      <c r="U69" s="60"/>
      <c r="V69" s="60"/>
      <c r="W69" s="60"/>
      <c r="X69" s="60"/>
      <c r="Y69" s="60"/>
      <c r="Z69" s="60"/>
      <c r="AA69" s="60"/>
      <c r="AB69" s="60"/>
      <c r="AC69" s="60"/>
      <c r="AD69" s="61"/>
      <c r="AE69" s="61"/>
      <c r="AF69" s="61"/>
      <c r="AG69" s="61"/>
      <c r="AH69" s="61"/>
      <c r="AI69" s="61"/>
      <c r="AJ69" s="60"/>
      <c r="AK69" s="60"/>
      <c r="AL69" s="60"/>
      <c r="AM69" s="60"/>
      <c r="AN69" s="60"/>
      <c r="AO69" s="60"/>
      <c r="AP69" s="62"/>
      <c r="AQ69" s="62"/>
      <c r="AR69" s="62"/>
      <c r="AS69" s="60"/>
      <c r="AT69" s="60"/>
      <c r="AU69" s="60"/>
      <c r="AV69" s="61"/>
      <c r="AW69" s="63"/>
      <c r="AX69" s="63"/>
      <c r="AY69" s="64"/>
      <c r="AZ69" s="64"/>
      <c r="BA69" s="64"/>
    </row>
    <row r="70" spans="1:53" ht="20.25" x14ac:dyDescent="0.25">
      <c r="A70" s="7" t="s">
        <v>480</v>
      </c>
      <c r="B70" s="8"/>
      <c r="C70" s="9"/>
      <c r="D70" s="8"/>
      <c r="E70" s="8"/>
      <c r="F70" s="9"/>
      <c r="G70" s="8"/>
      <c r="H70" s="8"/>
      <c r="I70" s="680"/>
      <c r="J70" s="8"/>
      <c r="K70" s="9"/>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6"/>
      <c r="AQ70" s="66"/>
      <c r="AR70" s="66"/>
      <c r="AS70" s="65"/>
      <c r="AT70" s="65"/>
      <c r="AU70" s="65"/>
      <c r="AV70" s="65"/>
      <c r="AW70" s="65"/>
      <c r="AX70" s="65"/>
      <c r="AY70" s="67"/>
      <c r="AZ70" s="67"/>
      <c r="BA70" s="67"/>
    </row>
    <row r="71" spans="1:53" ht="23.25" customHeight="1" x14ac:dyDescent="0.25">
      <c r="A71" s="4">
        <v>2</v>
      </c>
      <c r="B71" s="13" t="s">
        <v>481</v>
      </c>
      <c r="C71" s="14"/>
      <c r="D71" s="13"/>
      <c r="E71" s="13"/>
      <c r="F71" s="14"/>
      <c r="G71" s="13"/>
      <c r="H71" s="13"/>
      <c r="I71" s="681"/>
      <c r="J71" s="13"/>
      <c r="K71" s="13"/>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9"/>
      <c r="AQ71" s="69"/>
      <c r="AR71" s="69"/>
      <c r="AS71" s="68"/>
      <c r="AT71" s="68"/>
      <c r="AU71" s="68"/>
      <c r="AV71" s="68"/>
      <c r="AW71" s="68"/>
      <c r="AX71" s="68"/>
      <c r="AY71" s="70"/>
      <c r="AZ71" s="70"/>
      <c r="BA71" s="70"/>
    </row>
    <row r="72" spans="1:53" x14ac:dyDescent="0.25">
      <c r="A72" s="71"/>
      <c r="B72" s="154">
        <v>4</v>
      </c>
      <c r="C72" s="634" t="s">
        <v>482</v>
      </c>
      <c r="D72" s="17"/>
      <c r="E72" s="17"/>
      <c r="F72" s="640"/>
      <c r="G72" s="17"/>
      <c r="H72" s="17"/>
      <c r="I72" s="682"/>
      <c r="J72" s="17"/>
      <c r="K72" s="17"/>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3"/>
      <c r="AQ72" s="73"/>
      <c r="AR72" s="73"/>
      <c r="AS72" s="72"/>
      <c r="AT72" s="72"/>
      <c r="AU72" s="72"/>
      <c r="AV72" s="72"/>
      <c r="AW72" s="72"/>
      <c r="AX72" s="72"/>
      <c r="AY72" s="74"/>
      <c r="AZ72" s="74"/>
      <c r="BA72" s="74"/>
    </row>
    <row r="73" spans="1:53" x14ac:dyDescent="0.25">
      <c r="A73" s="27"/>
      <c r="B73" s="177"/>
      <c r="C73" s="156"/>
      <c r="D73" s="75"/>
      <c r="E73" s="76">
        <v>14</v>
      </c>
      <c r="F73" s="78" t="s">
        <v>483</v>
      </c>
      <c r="G73" s="78"/>
      <c r="H73" s="78"/>
      <c r="I73" s="690"/>
      <c r="J73" s="78"/>
      <c r="K73" s="78"/>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80"/>
      <c r="AQ73" s="80"/>
      <c r="AR73" s="80"/>
      <c r="AS73" s="79"/>
      <c r="AT73" s="79"/>
      <c r="AU73" s="79"/>
      <c r="AV73" s="79"/>
      <c r="AW73" s="79"/>
      <c r="AX73" s="79"/>
      <c r="AY73" s="81"/>
      <c r="AZ73" s="81"/>
      <c r="BA73" s="81"/>
    </row>
    <row r="74" spans="1:53" ht="71.25" customHeight="1" x14ac:dyDescent="0.25">
      <c r="A74" s="178"/>
      <c r="B74" s="179"/>
      <c r="C74" s="648">
        <v>9</v>
      </c>
      <c r="D74" s="645" t="s">
        <v>484</v>
      </c>
      <c r="E74" s="180"/>
      <c r="F74" s="181">
        <v>54</v>
      </c>
      <c r="G74" s="641" t="s">
        <v>54</v>
      </c>
      <c r="H74" s="648" t="s">
        <v>485</v>
      </c>
      <c r="I74" s="669" t="s">
        <v>55</v>
      </c>
      <c r="J74" s="645" t="s">
        <v>56</v>
      </c>
      <c r="K74" s="182" t="s">
        <v>466</v>
      </c>
      <c r="L74" s="183"/>
      <c r="M74" s="183"/>
      <c r="N74" s="183"/>
      <c r="O74" s="183"/>
      <c r="P74" s="183"/>
      <c r="Q74" s="183"/>
      <c r="R74" s="184">
        <v>1158478847</v>
      </c>
      <c r="S74" s="184">
        <v>92028666</v>
      </c>
      <c r="T74" s="184">
        <v>20233333</v>
      </c>
      <c r="U74" s="183"/>
      <c r="V74" s="183"/>
      <c r="W74" s="183"/>
      <c r="X74" s="183"/>
      <c r="Y74" s="183"/>
      <c r="Z74" s="183"/>
      <c r="AA74" s="183"/>
      <c r="AB74" s="183"/>
      <c r="AC74" s="183"/>
      <c r="AD74" s="183"/>
      <c r="AE74" s="183"/>
      <c r="AF74" s="183"/>
      <c r="AG74" s="183"/>
      <c r="AH74" s="183"/>
      <c r="AI74" s="183"/>
      <c r="AJ74" s="183"/>
      <c r="AK74" s="183"/>
      <c r="AL74" s="183"/>
      <c r="AM74" s="183"/>
      <c r="AN74" s="186"/>
      <c r="AO74" s="186"/>
      <c r="AP74" s="185">
        <f>100000000-50000000+23393000+100000000+25000000</f>
        <v>198393000</v>
      </c>
      <c r="AQ74" s="185">
        <v>59190666</v>
      </c>
      <c r="AR74" s="185">
        <v>29825000</v>
      </c>
      <c r="AS74" s="186"/>
      <c r="AT74" s="186"/>
      <c r="AU74" s="186"/>
      <c r="AV74" s="186"/>
      <c r="AW74" s="186"/>
      <c r="AX74" s="186"/>
      <c r="AY74" s="37">
        <f t="shared" ref="AY74" si="63">+L74+O74+R74+U74+X74+AA74+AD74+AG74+AJ74+AM74+AP74+AS74+AV74</f>
        <v>1356871847</v>
      </c>
      <c r="AZ74" s="37">
        <f t="shared" ref="AZ74" si="64">+M74+P74+S74+V74+Y74+AB74+AE74+AH74+AK74+AN74+AQ74+AT74+AW74</f>
        <v>151219332</v>
      </c>
      <c r="BA74" s="37">
        <f t="shared" ref="BA74" si="65">+N74+Q74+T74+W74+Z74+AC74+AF74+AI74+AL74+AO74+AR74+AU74+AX74</f>
        <v>50058333</v>
      </c>
    </row>
    <row r="75" spans="1:53" ht="18.75" customHeight="1" x14ac:dyDescent="0.25">
      <c r="A75" s="30"/>
      <c r="B75" s="137"/>
      <c r="C75" s="31"/>
      <c r="D75" s="29"/>
      <c r="E75" s="40"/>
      <c r="F75" s="41"/>
      <c r="G75" s="40"/>
      <c r="H75" s="41"/>
      <c r="I75" s="685"/>
      <c r="J75" s="40"/>
      <c r="K75" s="41"/>
      <c r="L75" s="43"/>
      <c r="M75" s="43"/>
      <c r="N75" s="43"/>
      <c r="O75" s="43"/>
      <c r="P75" s="43"/>
      <c r="Q75" s="43"/>
      <c r="R75" s="43">
        <f t="shared" ref="R75:AY75" si="66">SUM(R74:R74)</f>
        <v>1158478847</v>
      </c>
      <c r="S75" s="43"/>
      <c r="T75" s="43"/>
      <c r="U75" s="43">
        <f t="shared" si="66"/>
        <v>0</v>
      </c>
      <c r="V75" s="43"/>
      <c r="W75" s="43"/>
      <c r="X75" s="43">
        <f t="shared" si="66"/>
        <v>0</v>
      </c>
      <c r="Y75" s="43"/>
      <c r="Z75" s="43"/>
      <c r="AA75" s="43">
        <f t="shared" si="66"/>
        <v>0</v>
      </c>
      <c r="AB75" s="43"/>
      <c r="AC75" s="43"/>
      <c r="AD75" s="43">
        <f t="shared" si="66"/>
        <v>0</v>
      </c>
      <c r="AE75" s="43"/>
      <c r="AF75" s="43"/>
      <c r="AG75" s="43">
        <f t="shared" si="66"/>
        <v>0</v>
      </c>
      <c r="AH75" s="43"/>
      <c r="AI75" s="43"/>
      <c r="AJ75" s="43">
        <f t="shared" si="66"/>
        <v>0</v>
      </c>
      <c r="AK75" s="43"/>
      <c r="AL75" s="43"/>
      <c r="AM75" s="43">
        <f t="shared" si="66"/>
        <v>0</v>
      </c>
      <c r="AN75" s="43"/>
      <c r="AO75" s="43"/>
      <c r="AP75" s="43">
        <f t="shared" si="66"/>
        <v>198393000</v>
      </c>
      <c r="AQ75" s="43">
        <f t="shared" si="66"/>
        <v>59190666</v>
      </c>
      <c r="AR75" s="43">
        <f t="shared" si="66"/>
        <v>29825000</v>
      </c>
      <c r="AS75" s="43">
        <f t="shared" si="66"/>
        <v>0</v>
      </c>
      <c r="AT75" s="43"/>
      <c r="AU75" s="43"/>
      <c r="AV75" s="43">
        <f t="shared" si="66"/>
        <v>0</v>
      </c>
      <c r="AW75" s="43"/>
      <c r="AX75" s="43"/>
      <c r="AY75" s="43">
        <f t="shared" si="66"/>
        <v>1356871847</v>
      </c>
      <c r="AZ75" s="43">
        <f t="shared" ref="AZ75:BA75" si="67">SUM(AZ74:AZ74)</f>
        <v>151219332</v>
      </c>
      <c r="BA75" s="43">
        <f t="shared" si="67"/>
        <v>50058333</v>
      </c>
    </row>
    <row r="76" spans="1:53" ht="15" x14ac:dyDescent="0.25">
      <c r="A76" s="27"/>
      <c r="B76" s="187"/>
      <c r="C76" s="31"/>
      <c r="D76" s="29"/>
      <c r="E76" s="29"/>
      <c r="F76" s="31"/>
      <c r="G76" s="29"/>
      <c r="H76" s="31"/>
      <c r="I76" s="691"/>
      <c r="J76" s="29"/>
      <c r="K76" s="31"/>
      <c r="L76" s="33"/>
      <c r="M76" s="33"/>
      <c r="N76" s="33"/>
      <c r="O76" s="33"/>
      <c r="P76" s="33"/>
      <c r="Q76" s="33"/>
      <c r="R76" s="33"/>
      <c r="S76" s="33"/>
      <c r="T76" s="33"/>
      <c r="U76" s="33"/>
      <c r="V76" s="33"/>
      <c r="W76" s="33"/>
      <c r="X76" s="33"/>
      <c r="Y76" s="33"/>
      <c r="Z76" s="33"/>
      <c r="AA76" s="33"/>
      <c r="AB76" s="33"/>
      <c r="AC76" s="33"/>
      <c r="AD76" s="188"/>
      <c r="AE76" s="188"/>
      <c r="AF76" s="188"/>
      <c r="AG76" s="188"/>
      <c r="AH76" s="188"/>
      <c r="AI76" s="188"/>
      <c r="AJ76" s="33"/>
      <c r="AK76" s="33"/>
      <c r="AL76" s="33"/>
      <c r="AM76" s="33"/>
      <c r="AN76" s="36"/>
      <c r="AO76" s="36"/>
      <c r="AP76" s="189"/>
      <c r="AQ76" s="189"/>
      <c r="AR76" s="189"/>
      <c r="AS76" s="36"/>
      <c r="AT76" s="36"/>
      <c r="AU76" s="36"/>
      <c r="AV76" s="171"/>
      <c r="AW76" s="63"/>
      <c r="AX76" s="63"/>
      <c r="AY76" s="64"/>
      <c r="AZ76" s="64"/>
      <c r="BA76" s="64"/>
    </row>
    <row r="77" spans="1:53" x14ac:dyDescent="0.25">
      <c r="A77" s="27"/>
      <c r="B77" s="187"/>
      <c r="C77" s="190"/>
      <c r="D77" s="101"/>
      <c r="E77" s="191">
        <v>15</v>
      </c>
      <c r="F77" s="192" t="s">
        <v>486</v>
      </c>
      <c r="G77" s="78"/>
      <c r="H77" s="78"/>
      <c r="I77" s="690"/>
      <c r="J77" s="193"/>
      <c r="K77" s="78"/>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80"/>
      <c r="AQ77" s="80"/>
      <c r="AR77" s="80"/>
      <c r="AS77" s="79"/>
      <c r="AT77" s="79"/>
      <c r="AU77" s="79"/>
      <c r="AV77" s="79"/>
      <c r="AW77" s="79"/>
      <c r="AX77" s="79"/>
      <c r="AY77" s="81"/>
      <c r="AZ77" s="81"/>
      <c r="BA77" s="81"/>
    </row>
    <row r="78" spans="1:53" ht="60.75" customHeight="1" x14ac:dyDescent="0.25">
      <c r="A78" s="178"/>
      <c r="B78" s="179"/>
      <c r="C78" s="648">
        <v>14</v>
      </c>
      <c r="D78" s="194" t="s">
        <v>487</v>
      </c>
      <c r="E78" s="180"/>
      <c r="F78" s="182">
        <v>57</v>
      </c>
      <c r="G78" s="641" t="s">
        <v>57</v>
      </c>
      <c r="H78" s="194" t="s">
        <v>488</v>
      </c>
      <c r="I78" s="833" t="s">
        <v>58</v>
      </c>
      <c r="J78" s="834" t="s">
        <v>59</v>
      </c>
      <c r="K78" s="182" t="s">
        <v>477</v>
      </c>
      <c r="L78" s="195">
        <v>1405091000</v>
      </c>
      <c r="M78" s="195">
        <v>168888333</v>
      </c>
      <c r="N78" s="195">
        <v>59305000</v>
      </c>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6"/>
      <c r="AO78" s="186"/>
      <c r="AP78" s="185"/>
      <c r="AQ78" s="185"/>
      <c r="AR78" s="185"/>
      <c r="AS78" s="186"/>
      <c r="AT78" s="186"/>
      <c r="AU78" s="186"/>
      <c r="AV78" s="196"/>
      <c r="AW78" s="196"/>
      <c r="AX78" s="196"/>
      <c r="AY78" s="37">
        <f t="shared" ref="AY78:AY81" si="68">+L78+O78+R78+U78+X78+AA78+AD78+AG78+AJ78+AM78+AP78+AS78+AV78</f>
        <v>1405091000</v>
      </c>
      <c r="AZ78" s="37">
        <f t="shared" ref="AZ78:AZ81" si="69">+M78+P78+S78+V78+Y78+AB78+AE78+AH78+AK78+AN78+AQ78+AT78+AW78</f>
        <v>168888333</v>
      </c>
      <c r="BA78" s="37">
        <f t="shared" ref="BA78:BA81" si="70">+N78+Q78+T78+W78+Z78+AC78+AF78+AI78+AL78+AO78+AR78+AU78+AX78</f>
        <v>59305000</v>
      </c>
    </row>
    <row r="79" spans="1:53" ht="75" customHeight="1" x14ac:dyDescent="0.25">
      <c r="A79" s="178"/>
      <c r="B79" s="179"/>
      <c r="C79" s="182">
        <v>36</v>
      </c>
      <c r="D79" s="197" t="s">
        <v>489</v>
      </c>
      <c r="E79" s="197"/>
      <c r="F79" s="182">
        <v>59</v>
      </c>
      <c r="G79" s="641" t="s">
        <v>60</v>
      </c>
      <c r="H79" s="194" t="s">
        <v>490</v>
      </c>
      <c r="I79" s="833"/>
      <c r="J79" s="834"/>
      <c r="K79" s="182" t="s">
        <v>477</v>
      </c>
      <c r="L79" s="195">
        <v>3273930000</v>
      </c>
      <c r="M79" s="195">
        <v>85692000</v>
      </c>
      <c r="N79" s="195">
        <v>19050000</v>
      </c>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6"/>
      <c r="AO79" s="186"/>
      <c r="AP79" s="185"/>
      <c r="AQ79" s="185"/>
      <c r="AR79" s="185"/>
      <c r="AS79" s="186"/>
      <c r="AT79" s="186"/>
      <c r="AU79" s="186"/>
      <c r="AV79" s="186"/>
      <c r="AW79" s="186"/>
      <c r="AX79" s="186"/>
      <c r="AY79" s="37">
        <f t="shared" si="68"/>
        <v>3273930000</v>
      </c>
      <c r="AZ79" s="37">
        <f t="shared" si="69"/>
        <v>85692000</v>
      </c>
      <c r="BA79" s="37">
        <f t="shared" si="70"/>
        <v>19050000</v>
      </c>
    </row>
    <row r="80" spans="1:53" ht="88.5" customHeight="1" x14ac:dyDescent="0.25">
      <c r="A80" s="178"/>
      <c r="B80" s="179"/>
      <c r="C80" s="182">
        <v>22</v>
      </c>
      <c r="D80" s="197" t="s">
        <v>491</v>
      </c>
      <c r="E80" s="197"/>
      <c r="F80" s="182">
        <v>62</v>
      </c>
      <c r="G80" s="641" t="s">
        <v>61</v>
      </c>
      <c r="H80" s="197" t="s">
        <v>490</v>
      </c>
      <c r="I80" s="833"/>
      <c r="J80" s="834"/>
      <c r="K80" s="182" t="s">
        <v>466</v>
      </c>
      <c r="L80" s="195"/>
      <c r="M80" s="195"/>
      <c r="N80" s="195"/>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98">
        <f>100000000-75000000+50000000</f>
        <v>75000000</v>
      </c>
      <c r="AQ80" s="185"/>
      <c r="AR80" s="185"/>
      <c r="AS80" s="186"/>
      <c r="AT80" s="186"/>
      <c r="AU80" s="186"/>
      <c r="AV80" s="186"/>
      <c r="AW80" s="186"/>
      <c r="AX80" s="186"/>
      <c r="AY80" s="37">
        <f t="shared" si="68"/>
        <v>75000000</v>
      </c>
      <c r="AZ80" s="37">
        <f t="shared" si="69"/>
        <v>0</v>
      </c>
      <c r="BA80" s="37">
        <f t="shared" si="70"/>
        <v>0</v>
      </c>
    </row>
    <row r="81" spans="1:53" ht="75" customHeight="1" x14ac:dyDescent="0.25">
      <c r="A81" s="178"/>
      <c r="B81" s="179"/>
      <c r="C81" s="199">
        <v>32</v>
      </c>
      <c r="D81" s="641" t="s">
        <v>492</v>
      </c>
      <c r="E81" s="197"/>
      <c r="F81" s="182">
        <v>63</v>
      </c>
      <c r="G81" s="641" t="s">
        <v>62</v>
      </c>
      <c r="H81" s="197" t="s">
        <v>493</v>
      </c>
      <c r="I81" s="833"/>
      <c r="J81" s="834"/>
      <c r="K81" s="182" t="s">
        <v>477</v>
      </c>
      <c r="L81" s="195">
        <f>702545660+505</f>
        <v>702546165</v>
      </c>
      <c r="M81" s="195"/>
      <c r="N81" s="195"/>
      <c r="O81" s="183"/>
      <c r="P81" s="183"/>
      <c r="Q81" s="183"/>
      <c r="R81" s="183"/>
      <c r="S81" s="183"/>
      <c r="T81" s="183"/>
      <c r="U81" s="183"/>
      <c r="V81" s="183"/>
      <c r="W81" s="183"/>
      <c r="X81" s="183"/>
      <c r="Y81" s="183"/>
      <c r="Z81" s="183"/>
      <c r="AA81" s="183"/>
      <c r="AB81" s="183"/>
      <c r="AC81" s="183"/>
      <c r="AD81" s="183"/>
      <c r="AE81" s="183"/>
      <c r="AF81" s="183"/>
      <c r="AG81" s="183"/>
      <c r="AH81" s="186"/>
      <c r="AI81" s="186"/>
      <c r="AJ81" s="186"/>
      <c r="AK81" s="186"/>
      <c r="AL81" s="186"/>
      <c r="AM81" s="186"/>
      <c r="AN81" s="186"/>
      <c r="AO81" s="186"/>
      <c r="AP81" s="198"/>
      <c r="AQ81" s="185"/>
      <c r="AR81" s="185"/>
      <c r="AS81" s="186"/>
      <c r="AT81" s="186"/>
      <c r="AU81" s="186"/>
      <c r="AV81" s="186"/>
      <c r="AW81" s="186"/>
      <c r="AX81" s="186"/>
      <c r="AY81" s="37">
        <f t="shared" si="68"/>
        <v>702546165</v>
      </c>
      <c r="AZ81" s="37">
        <f t="shared" si="69"/>
        <v>0</v>
      </c>
      <c r="BA81" s="37">
        <f t="shared" si="70"/>
        <v>0</v>
      </c>
    </row>
    <row r="82" spans="1:53" ht="26.25" customHeight="1" x14ac:dyDescent="0.25">
      <c r="A82" s="27"/>
      <c r="B82" s="200"/>
      <c r="C82" s="31"/>
      <c r="D82" s="29"/>
      <c r="E82" s="40"/>
      <c r="F82" s="41"/>
      <c r="G82" s="201"/>
      <c r="H82" s="202"/>
      <c r="I82" s="685"/>
      <c r="J82" s="201"/>
      <c r="K82" s="41"/>
      <c r="L82" s="43">
        <f t="shared" ref="L82:AY82" si="71">SUM(L78:L81)</f>
        <v>5381567165</v>
      </c>
      <c r="M82" s="43">
        <f t="shared" ref="M82:N82" si="72">SUM(M78:M81)</f>
        <v>254580333</v>
      </c>
      <c r="N82" s="43">
        <f t="shared" si="72"/>
        <v>78355000</v>
      </c>
      <c r="O82" s="43">
        <f t="shared" si="71"/>
        <v>0</v>
      </c>
      <c r="P82" s="43"/>
      <c r="Q82" s="43"/>
      <c r="R82" s="43">
        <f t="shared" si="71"/>
        <v>0</v>
      </c>
      <c r="S82" s="43"/>
      <c r="T82" s="43"/>
      <c r="U82" s="43">
        <f t="shared" si="71"/>
        <v>0</v>
      </c>
      <c r="V82" s="43"/>
      <c r="W82" s="43"/>
      <c r="X82" s="43">
        <f t="shared" si="71"/>
        <v>0</v>
      </c>
      <c r="Y82" s="43"/>
      <c r="Z82" s="43"/>
      <c r="AA82" s="43">
        <f t="shared" si="71"/>
        <v>0</v>
      </c>
      <c r="AB82" s="43"/>
      <c r="AC82" s="43"/>
      <c r="AD82" s="43">
        <f t="shared" si="71"/>
        <v>0</v>
      </c>
      <c r="AE82" s="43"/>
      <c r="AF82" s="43"/>
      <c r="AG82" s="43">
        <f t="shared" si="71"/>
        <v>0</v>
      </c>
      <c r="AH82" s="43"/>
      <c r="AI82" s="43"/>
      <c r="AJ82" s="43">
        <f t="shared" si="71"/>
        <v>0</v>
      </c>
      <c r="AK82" s="43"/>
      <c r="AL82" s="43"/>
      <c r="AM82" s="43">
        <f t="shared" si="71"/>
        <v>0</v>
      </c>
      <c r="AN82" s="43"/>
      <c r="AO82" s="43"/>
      <c r="AP82" s="43">
        <f t="shared" si="71"/>
        <v>75000000</v>
      </c>
      <c r="AQ82" s="43">
        <f t="shared" ref="AQ82:AR82" si="73">SUM(AQ78:AQ81)</f>
        <v>0</v>
      </c>
      <c r="AR82" s="43">
        <f t="shared" si="73"/>
        <v>0</v>
      </c>
      <c r="AS82" s="43">
        <f t="shared" si="71"/>
        <v>0</v>
      </c>
      <c r="AT82" s="43"/>
      <c r="AU82" s="43"/>
      <c r="AV82" s="43">
        <f t="shared" si="71"/>
        <v>0</v>
      </c>
      <c r="AW82" s="43"/>
      <c r="AX82" s="43"/>
      <c r="AY82" s="43">
        <f t="shared" si="71"/>
        <v>5456567165</v>
      </c>
      <c r="AZ82" s="43">
        <f t="shared" ref="AZ82:BA82" si="74">SUM(AZ78:AZ81)</f>
        <v>254580333</v>
      </c>
      <c r="BA82" s="43">
        <f t="shared" si="74"/>
        <v>78355000</v>
      </c>
    </row>
    <row r="83" spans="1:53" ht="22.5" customHeight="1" x14ac:dyDescent="0.25">
      <c r="A83" s="39"/>
      <c r="B83" s="104"/>
      <c r="C83" s="46"/>
      <c r="D83" s="45"/>
      <c r="E83" s="45"/>
      <c r="F83" s="46"/>
      <c r="G83" s="45"/>
      <c r="H83" s="46"/>
      <c r="I83" s="686"/>
      <c r="J83" s="45"/>
      <c r="K83" s="46"/>
      <c r="L83" s="48">
        <f t="shared" ref="L83:AY83" si="75">+L82+L75</f>
        <v>5381567165</v>
      </c>
      <c r="M83" s="48">
        <f t="shared" ref="M83:N83" si="76">+M82+M75</f>
        <v>254580333</v>
      </c>
      <c r="N83" s="48">
        <f t="shared" si="76"/>
        <v>78355000</v>
      </c>
      <c r="O83" s="48">
        <f t="shared" si="75"/>
        <v>0</v>
      </c>
      <c r="P83" s="48"/>
      <c r="Q83" s="48"/>
      <c r="R83" s="48">
        <f t="shared" si="75"/>
        <v>1158478847</v>
      </c>
      <c r="S83" s="48"/>
      <c r="T83" s="48"/>
      <c r="U83" s="48">
        <f t="shared" si="75"/>
        <v>0</v>
      </c>
      <c r="V83" s="48"/>
      <c r="W83" s="48"/>
      <c r="X83" s="48">
        <f t="shared" si="75"/>
        <v>0</v>
      </c>
      <c r="Y83" s="48"/>
      <c r="Z83" s="48"/>
      <c r="AA83" s="48">
        <f t="shared" si="75"/>
        <v>0</v>
      </c>
      <c r="AB83" s="48"/>
      <c r="AC83" s="48"/>
      <c r="AD83" s="48">
        <f t="shared" si="75"/>
        <v>0</v>
      </c>
      <c r="AE83" s="48"/>
      <c r="AF83" s="48"/>
      <c r="AG83" s="48">
        <f t="shared" si="75"/>
        <v>0</v>
      </c>
      <c r="AH83" s="48"/>
      <c r="AI83" s="48"/>
      <c r="AJ83" s="48">
        <f t="shared" si="75"/>
        <v>0</v>
      </c>
      <c r="AK83" s="48"/>
      <c r="AL83" s="48"/>
      <c r="AM83" s="48">
        <f t="shared" si="75"/>
        <v>0</v>
      </c>
      <c r="AN83" s="48"/>
      <c r="AO83" s="48"/>
      <c r="AP83" s="48">
        <f t="shared" si="75"/>
        <v>273393000</v>
      </c>
      <c r="AQ83" s="48">
        <f t="shared" ref="AQ83:AR83" si="77">+AQ82+AQ75</f>
        <v>59190666</v>
      </c>
      <c r="AR83" s="48">
        <f t="shared" si="77"/>
        <v>29825000</v>
      </c>
      <c r="AS83" s="48">
        <f t="shared" si="75"/>
        <v>0</v>
      </c>
      <c r="AT83" s="48"/>
      <c r="AU83" s="48"/>
      <c r="AV83" s="48">
        <f t="shared" si="75"/>
        <v>0</v>
      </c>
      <c r="AW83" s="48"/>
      <c r="AX83" s="48"/>
      <c r="AY83" s="48">
        <f t="shared" si="75"/>
        <v>6813439012</v>
      </c>
      <c r="AZ83" s="48">
        <f t="shared" ref="AZ83:BA83" si="78">+AZ82+AZ75</f>
        <v>405799665</v>
      </c>
      <c r="BA83" s="48">
        <f t="shared" si="78"/>
        <v>128413333</v>
      </c>
    </row>
    <row r="84" spans="1:53" ht="24" customHeight="1" x14ac:dyDescent="0.25">
      <c r="A84" s="49"/>
      <c r="B84" s="203"/>
      <c r="C84" s="50"/>
      <c r="D84" s="49"/>
      <c r="E84" s="49"/>
      <c r="F84" s="50"/>
      <c r="G84" s="49"/>
      <c r="H84" s="50"/>
      <c r="I84" s="687"/>
      <c r="J84" s="49"/>
      <c r="K84" s="50"/>
      <c r="L84" s="52">
        <f t="shared" ref="L84:AY84" si="79">+L83</f>
        <v>5381567165</v>
      </c>
      <c r="M84" s="52">
        <f t="shared" ref="M84:N84" si="80">+M83</f>
        <v>254580333</v>
      </c>
      <c r="N84" s="52">
        <f t="shared" si="80"/>
        <v>78355000</v>
      </c>
      <c r="O84" s="52">
        <f t="shared" si="79"/>
        <v>0</v>
      </c>
      <c r="P84" s="52"/>
      <c r="Q84" s="52"/>
      <c r="R84" s="52">
        <f t="shared" si="79"/>
        <v>1158478847</v>
      </c>
      <c r="S84" s="52"/>
      <c r="T84" s="52"/>
      <c r="U84" s="52">
        <f t="shared" si="79"/>
        <v>0</v>
      </c>
      <c r="V84" s="52"/>
      <c r="W84" s="52"/>
      <c r="X84" s="52">
        <f t="shared" si="79"/>
        <v>0</v>
      </c>
      <c r="Y84" s="52"/>
      <c r="Z84" s="52"/>
      <c r="AA84" s="52">
        <f t="shared" si="79"/>
        <v>0</v>
      </c>
      <c r="AB84" s="52"/>
      <c r="AC84" s="52"/>
      <c r="AD84" s="52">
        <f t="shared" si="79"/>
        <v>0</v>
      </c>
      <c r="AE84" s="52"/>
      <c r="AF84" s="52"/>
      <c r="AG84" s="52">
        <f t="shared" si="79"/>
        <v>0</v>
      </c>
      <c r="AH84" s="52"/>
      <c r="AI84" s="52"/>
      <c r="AJ84" s="52">
        <f t="shared" si="79"/>
        <v>0</v>
      </c>
      <c r="AK84" s="52"/>
      <c r="AL84" s="52"/>
      <c r="AM84" s="52">
        <f t="shared" si="79"/>
        <v>0</v>
      </c>
      <c r="AN84" s="52"/>
      <c r="AO84" s="52"/>
      <c r="AP84" s="52">
        <f t="shared" si="79"/>
        <v>273393000</v>
      </c>
      <c r="AQ84" s="52">
        <f t="shared" ref="AQ84:AR84" si="81">+AQ83</f>
        <v>59190666</v>
      </c>
      <c r="AR84" s="52">
        <f t="shared" si="81"/>
        <v>29825000</v>
      </c>
      <c r="AS84" s="52">
        <f t="shared" si="79"/>
        <v>0</v>
      </c>
      <c r="AT84" s="52"/>
      <c r="AU84" s="52"/>
      <c r="AV84" s="52">
        <f t="shared" si="79"/>
        <v>0</v>
      </c>
      <c r="AW84" s="52"/>
      <c r="AX84" s="52"/>
      <c r="AY84" s="52">
        <f t="shared" si="79"/>
        <v>6813439012</v>
      </c>
      <c r="AZ84" s="52">
        <f t="shared" ref="AZ84:BA84" si="82">+AZ83</f>
        <v>405799665</v>
      </c>
      <c r="BA84" s="52">
        <f t="shared" si="82"/>
        <v>128413333</v>
      </c>
    </row>
    <row r="85" spans="1:53" ht="15" x14ac:dyDescent="0.25">
      <c r="A85" s="57"/>
      <c r="B85" s="58"/>
      <c r="C85" s="651"/>
      <c r="D85" s="58"/>
      <c r="E85" s="58"/>
      <c r="F85" s="651"/>
      <c r="G85" s="58"/>
      <c r="H85" s="651"/>
      <c r="I85" s="689"/>
      <c r="J85" s="58"/>
      <c r="K85" s="651"/>
      <c r="L85" s="60"/>
      <c r="M85" s="60"/>
      <c r="N85" s="60"/>
      <c r="O85" s="60"/>
      <c r="P85" s="60"/>
      <c r="Q85" s="60"/>
      <c r="R85" s="60"/>
      <c r="S85" s="60"/>
      <c r="T85" s="60"/>
      <c r="U85" s="60"/>
      <c r="V85" s="60"/>
      <c r="W85" s="60"/>
      <c r="X85" s="60"/>
      <c r="Y85" s="145"/>
      <c r="Z85" s="145"/>
      <c r="AA85" s="145"/>
      <c r="AB85" s="145"/>
      <c r="AC85" s="145"/>
      <c r="AD85" s="63"/>
      <c r="AE85" s="63"/>
      <c r="AF85" s="63"/>
      <c r="AG85" s="63"/>
      <c r="AH85" s="63"/>
      <c r="AI85" s="63"/>
      <c r="AJ85" s="145"/>
      <c r="AK85" s="145"/>
      <c r="AL85" s="145"/>
      <c r="AM85" s="60"/>
      <c r="AN85" s="60"/>
      <c r="AO85" s="60"/>
      <c r="AP85" s="88"/>
      <c r="AQ85" s="88"/>
      <c r="AR85" s="88"/>
      <c r="AS85" s="60"/>
      <c r="AT85" s="60"/>
      <c r="AU85" s="60"/>
      <c r="AV85" s="61"/>
      <c r="AW85" s="63"/>
      <c r="AX85" s="63"/>
      <c r="AY85" s="64"/>
      <c r="AZ85" s="64"/>
      <c r="BA85" s="64"/>
    </row>
    <row r="86" spans="1:53" x14ac:dyDescent="0.25">
      <c r="A86" s="4">
        <v>1</v>
      </c>
      <c r="B86" s="13" t="s">
        <v>494</v>
      </c>
      <c r="C86" s="14"/>
      <c r="D86" s="13"/>
      <c r="E86" s="13"/>
      <c r="F86" s="14"/>
      <c r="G86" s="13"/>
      <c r="H86" s="13"/>
      <c r="I86" s="681"/>
      <c r="J86" s="13"/>
      <c r="K86" s="13"/>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9"/>
      <c r="AQ86" s="69"/>
      <c r="AR86" s="69"/>
      <c r="AS86" s="68"/>
      <c r="AT86" s="68"/>
      <c r="AU86" s="68"/>
      <c r="AV86" s="68"/>
      <c r="AW86" s="68"/>
      <c r="AX86" s="68"/>
      <c r="AY86" s="70"/>
      <c r="AZ86" s="70"/>
      <c r="BA86" s="70"/>
    </row>
    <row r="87" spans="1:53" x14ac:dyDescent="0.25">
      <c r="A87" s="71"/>
      <c r="B87" s="111">
        <v>1</v>
      </c>
      <c r="C87" s="634" t="s">
        <v>495</v>
      </c>
      <c r="D87" s="17"/>
      <c r="E87" s="17"/>
      <c r="F87" s="640"/>
      <c r="G87" s="17"/>
      <c r="H87" s="17"/>
      <c r="I87" s="682"/>
      <c r="J87" s="17"/>
      <c r="K87" s="17"/>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3"/>
      <c r="AQ87" s="73"/>
      <c r="AR87" s="73"/>
      <c r="AS87" s="72"/>
      <c r="AT87" s="72"/>
      <c r="AU87" s="72"/>
      <c r="AV87" s="72"/>
      <c r="AW87" s="72"/>
      <c r="AX87" s="72"/>
      <c r="AY87" s="74"/>
      <c r="AZ87" s="74"/>
      <c r="BA87" s="74"/>
    </row>
    <row r="88" spans="1:53" ht="15" x14ac:dyDescent="0.25">
      <c r="A88" s="27"/>
      <c r="B88" s="71"/>
      <c r="C88" s="156"/>
      <c r="D88" s="75"/>
      <c r="E88" s="76">
        <v>2</v>
      </c>
      <c r="F88" s="78" t="s">
        <v>496</v>
      </c>
      <c r="G88" s="78"/>
      <c r="H88" s="78"/>
      <c r="I88" s="222"/>
      <c r="J88" s="78"/>
      <c r="K88" s="78"/>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80"/>
      <c r="AQ88" s="80"/>
      <c r="AR88" s="80"/>
      <c r="AS88" s="79"/>
      <c r="AT88" s="79"/>
      <c r="AU88" s="79"/>
      <c r="AV88" s="79"/>
      <c r="AW88" s="79"/>
      <c r="AX88" s="79"/>
      <c r="AY88" s="81"/>
      <c r="AZ88" s="81"/>
      <c r="BA88" s="81"/>
    </row>
    <row r="89" spans="1:53" ht="78" customHeight="1" x14ac:dyDescent="0.25">
      <c r="A89" s="178"/>
      <c r="B89" s="178"/>
      <c r="C89" s="204">
        <v>3</v>
      </c>
      <c r="D89" s="641" t="s">
        <v>497</v>
      </c>
      <c r="E89" s="194"/>
      <c r="F89" s="182">
        <v>9</v>
      </c>
      <c r="G89" s="641" t="s">
        <v>63</v>
      </c>
      <c r="H89" s="641" t="s">
        <v>498</v>
      </c>
      <c r="I89" s="699" t="s">
        <v>64</v>
      </c>
      <c r="J89" s="641" t="s">
        <v>65</v>
      </c>
      <c r="K89" s="182" t="s">
        <v>477</v>
      </c>
      <c r="L89" s="205">
        <v>76050000</v>
      </c>
      <c r="M89" s="205"/>
      <c r="N89" s="205"/>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205">
        <v>4200000</v>
      </c>
      <c r="AN89" s="676"/>
      <c r="AO89" s="676"/>
      <c r="AP89" s="185"/>
      <c r="AQ89" s="185"/>
      <c r="AR89" s="185"/>
      <c r="AS89" s="186"/>
      <c r="AT89" s="186"/>
      <c r="AU89" s="186"/>
      <c r="AV89" s="186"/>
      <c r="AW89" s="186"/>
      <c r="AX89" s="186"/>
      <c r="AY89" s="37">
        <f t="shared" ref="AY89:AY94" si="83">+L89+O89+R89+U89+X89+AA89+AD89+AG89+AJ89+AM89+AP89+AS89+AV89</f>
        <v>80250000</v>
      </c>
      <c r="AZ89" s="37">
        <f t="shared" ref="AZ89:AZ94" si="84">+M89+P89+S89+V89+Y89+AB89+AE89+AH89+AK89+AN89+AQ89+AT89+AW89</f>
        <v>0</v>
      </c>
      <c r="BA89" s="37">
        <f t="shared" ref="BA89:BA94" si="85">+N89+Q89+T89+W89+Z89+AC89+AF89+AI89+AL89+AO89+AR89+AU89+AX89</f>
        <v>0</v>
      </c>
    </row>
    <row r="90" spans="1:53" ht="84.75" customHeight="1" x14ac:dyDescent="0.25">
      <c r="A90" s="178"/>
      <c r="B90" s="178"/>
      <c r="C90" s="204">
        <v>3</v>
      </c>
      <c r="D90" s="641" t="s">
        <v>497</v>
      </c>
      <c r="E90" s="180"/>
      <c r="F90" s="182">
        <v>9</v>
      </c>
      <c r="G90" s="641" t="s">
        <v>63</v>
      </c>
      <c r="H90" s="641" t="s">
        <v>498</v>
      </c>
      <c r="I90" s="699" t="s">
        <v>66</v>
      </c>
      <c r="J90" s="641" t="s">
        <v>67</v>
      </c>
      <c r="K90" s="182" t="s">
        <v>477</v>
      </c>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6"/>
      <c r="AI90" s="186"/>
      <c r="AJ90" s="186"/>
      <c r="AK90" s="186"/>
      <c r="AL90" s="186"/>
      <c r="AM90" s="206">
        <v>1044000000</v>
      </c>
      <c r="AN90" s="206"/>
      <c r="AO90" s="206"/>
      <c r="AP90" s="185"/>
      <c r="AQ90" s="185"/>
      <c r="AR90" s="185"/>
      <c r="AS90" s="186"/>
      <c r="AT90" s="186"/>
      <c r="AU90" s="186"/>
      <c r="AV90" s="186"/>
      <c r="AW90" s="186"/>
      <c r="AX90" s="186"/>
      <c r="AY90" s="37">
        <f t="shared" si="83"/>
        <v>1044000000</v>
      </c>
      <c r="AZ90" s="37">
        <f t="shared" si="84"/>
        <v>0</v>
      </c>
      <c r="BA90" s="37">
        <f t="shared" si="85"/>
        <v>0</v>
      </c>
    </row>
    <row r="91" spans="1:53" ht="83.25" customHeight="1" x14ac:dyDescent="0.25">
      <c r="A91" s="178"/>
      <c r="B91" s="178"/>
      <c r="C91" s="204">
        <v>3</v>
      </c>
      <c r="D91" s="641" t="s">
        <v>497</v>
      </c>
      <c r="E91" s="180"/>
      <c r="F91" s="182">
        <v>10</v>
      </c>
      <c r="G91" s="641" t="s">
        <v>68</v>
      </c>
      <c r="H91" s="641" t="s">
        <v>498</v>
      </c>
      <c r="I91" s="699" t="s">
        <v>69</v>
      </c>
      <c r="J91" s="641" t="s">
        <v>499</v>
      </c>
      <c r="K91" s="182" t="s">
        <v>477</v>
      </c>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4">
        <v>80000000</v>
      </c>
      <c r="AN91" s="206"/>
      <c r="AO91" s="206"/>
      <c r="AP91" s="185"/>
      <c r="AQ91" s="185"/>
      <c r="AR91" s="185"/>
      <c r="AS91" s="186"/>
      <c r="AT91" s="186"/>
      <c r="AU91" s="186"/>
      <c r="AV91" s="186"/>
      <c r="AW91" s="186"/>
      <c r="AX91" s="186"/>
      <c r="AY91" s="37">
        <f t="shared" si="83"/>
        <v>80000000</v>
      </c>
      <c r="AZ91" s="37">
        <f t="shared" si="84"/>
        <v>0</v>
      </c>
      <c r="BA91" s="37">
        <f t="shared" si="85"/>
        <v>0</v>
      </c>
    </row>
    <row r="92" spans="1:53" s="12" customFormat="1" ht="81" customHeight="1" x14ac:dyDescent="0.25">
      <c r="A92" s="178"/>
      <c r="B92" s="178"/>
      <c r="C92" s="204">
        <v>3</v>
      </c>
      <c r="D92" s="641" t="s">
        <v>497</v>
      </c>
      <c r="E92" s="180"/>
      <c r="F92" s="182">
        <v>11</v>
      </c>
      <c r="G92" s="641" t="s">
        <v>70</v>
      </c>
      <c r="H92" s="641" t="s">
        <v>498</v>
      </c>
      <c r="I92" s="699" t="s">
        <v>71</v>
      </c>
      <c r="J92" s="207" t="s">
        <v>72</v>
      </c>
      <c r="K92" s="182" t="s">
        <v>466</v>
      </c>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4">
        <v>200000000</v>
      </c>
      <c r="AN92" s="206"/>
      <c r="AO92" s="206"/>
      <c r="AP92" s="185"/>
      <c r="AQ92" s="185"/>
      <c r="AR92" s="185"/>
      <c r="AS92" s="186"/>
      <c r="AT92" s="186"/>
      <c r="AU92" s="186"/>
      <c r="AV92" s="186"/>
      <c r="AW92" s="186"/>
      <c r="AX92" s="186"/>
      <c r="AY92" s="37">
        <f t="shared" si="83"/>
        <v>200000000</v>
      </c>
      <c r="AZ92" s="37">
        <f t="shared" si="84"/>
        <v>0</v>
      </c>
      <c r="BA92" s="37">
        <f t="shared" si="85"/>
        <v>0</v>
      </c>
    </row>
    <row r="93" spans="1:53" ht="114" customHeight="1" x14ac:dyDescent="0.25">
      <c r="A93" s="178"/>
      <c r="B93" s="178"/>
      <c r="C93" s="204">
        <v>3</v>
      </c>
      <c r="D93" s="641" t="s">
        <v>497</v>
      </c>
      <c r="E93" s="180"/>
      <c r="F93" s="182">
        <v>12</v>
      </c>
      <c r="G93" s="641" t="s">
        <v>73</v>
      </c>
      <c r="H93" s="641" t="s">
        <v>498</v>
      </c>
      <c r="I93" s="699" t="s">
        <v>74</v>
      </c>
      <c r="J93" s="207" t="s">
        <v>75</v>
      </c>
      <c r="K93" s="182" t="s">
        <v>466</v>
      </c>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4">
        <v>1145000000</v>
      </c>
      <c r="AN93" s="206"/>
      <c r="AO93" s="206"/>
      <c r="AP93" s="185"/>
      <c r="AQ93" s="185"/>
      <c r="AR93" s="185"/>
      <c r="AS93" s="186"/>
      <c r="AT93" s="186"/>
      <c r="AU93" s="186"/>
      <c r="AV93" s="186"/>
      <c r="AW93" s="186"/>
      <c r="AX93" s="186"/>
      <c r="AY93" s="37">
        <f t="shared" si="83"/>
        <v>1145000000</v>
      </c>
      <c r="AZ93" s="37">
        <f t="shared" si="84"/>
        <v>0</v>
      </c>
      <c r="BA93" s="37">
        <f t="shared" si="85"/>
        <v>0</v>
      </c>
    </row>
    <row r="94" spans="1:53" ht="90" customHeight="1" x14ac:dyDescent="0.25">
      <c r="A94" s="178"/>
      <c r="B94" s="178"/>
      <c r="C94" s="204">
        <v>3</v>
      </c>
      <c r="D94" s="641" t="s">
        <v>497</v>
      </c>
      <c r="E94" s="180"/>
      <c r="F94" s="182">
        <v>13</v>
      </c>
      <c r="G94" s="641" t="s">
        <v>76</v>
      </c>
      <c r="H94" s="641" t="s">
        <v>498</v>
      </c>
      <c r="I94" s="699" t="s">
        <v>77</v>
      </c>
      <c r="J94" s="207" t="s">
        <v>78</v>
      </c>
      <c r="K94" s="182" t="s">
        <v>466</v>
      </c>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4">
        <v>200000000</v>
      </c>
      <c r="AN94" s="206"/>
      <c r="AO94" s="206"/>
      <c r="AP94" s="185"/>
      <c r="AQ94" s="185"/>
      <c r="AR94" s="185"/>
      <c r="AS94" s="186"/>
      <c r="AT94" s="186"/>
      <c r="AU94" s="186"/>
      <c r="AV94" s="186"/>
      <c r="AW94" s="186"/>
      <c r="AX94" s="186"/>
      <c r="AY94" s="37">
        <f t="shared" si="83"/>
        <v>200000000</v>
      </c>
      <c r="AZ94" s="37">
        <f t="shared" si="84"/>
        <v>0</v>
      </c>
      <c r="BA94" s="37">
        <f t="shared" si="85"/>
        <v>0</v>
      </c>
    </row>
    <row r="95" spans="1:53" ht="24" customHeight="1" x14ac:dyDescent="0.25">
      <c r="A95" s="27"/>
      <c r="B95" s="39"/>
      <c r="C95" s="28"/>
      <c r="D95" s="29"/>
      <c r="E95" s="40"/>
      <c r="F95" s="41"/>
      <c r="G95" s="201"/>
      <c r="H95" s="202"/>
      <c r="I95" s="685"/>
      <c r="J95" s="201"/>
      <c r="K95" s="41"/>
      <c r="L95" s="43">
        <f>SUM(L89:L94)</f>
        <v>76050000</v>
      </c>
      <c r="M95" s="43">
        <f t="shared" ref="M95:N95" si="86">SUM(M89:M94)</f>
        <v>0</v>
      </c>
      <c r="N95" s="43">
        <f t="shared" si="86"/>
        <v>0</v>
      </c>
      <c r="O95" s="43">
        <f t="shared" ref="O95:AY95" si="87">SUM(O89:O94)</f>
        <v>0</v>
      </c>
      <c r="P95" s="43"/>
      <c r="Q95" s="43"/>
      <c r="R95" s="43">
        <f t="shared" si="87"/>
        <v>0</v>
      </c>
      <c r="S95" s="43">
        <f t="shared" ref="S95:T95" si="88">SUM(S89:S94)</f>
        <v>0</v>
      </c>
      <c r="T95" s="43">
        <f t="shared" si="88"/>
        <v>0</v>
      </c>
      <c r="U95" s="43">
        <f t="shared" si="87"/>
        <v>0</v>
      </c>
      <c r="V95" s="43"/>
      <c r="W95" s="43"/>
      <c r="X95" s="43">
        <f t="shared" si="87"/>
        <v>0</v>
      </c>
      <c r="Y95" s="43"/>
      <c r="Z95" s="43"/>
      <c r="AA95" s="43">
        <f t="shared" si="87"/>
        <v>0</v>
      </c>
      <c r="AB95" s="43"/>
      <c r="AC95" s="43"/>
      <c r="AD95" s="43">
        <f t="shared" si="87"/>
        <v>0</v>
      </c>
      <c r="AE95" s="43"/>
      <c r="AF95" s="43"/>
      <c r="AG95" s="43">
        <f t="shared" si="87"/>
        <v>0</v>
      </c>
      <c r="AH95" s="43"/>
      <c r="AI95" s="43"/>
      <c r="AJ95" s="43">
        <f t="shared" si="87"/>
        <v>0</v>
      </c>
      <c r="AK95" s="43"/>
      <c r="AL95" s="43"/>
      <c r="AM95" s="43">
        <f t="shared" si="87"/>
        <v>2673200000</v>
      </c>
      <c r="AN95" s="43">
        <f t="shared" ref="AN95:AO95" si="89">SUM(AN89:AN94)</f>
        <v>0</v>
      </c>
      <c r="AO95" s="43">
        <f t="shared" si="89"/>
        <v>0</v>
      </c>
      <c r="AP95" s="43">
        <f t="shared" si="87"/>
        <v>0</v>
      </c>
      <c r="AQ95" s="43">
        <f t="shared" ref="AQ95:AR95" si="90">SUM(AQ89:AQ94)</f>
        <v>0</v>
      </c>
      <c r="AR95" s="43">
        <f t="shared" si="90"/>
        <v>0</v>
      </c>
      <c r="AS95" s="43">
        <f t="shared" si="87"/>
        <v>0</v>
      </c>
      <c r="AT95" s="43"/>
      <c r="AU95" s="43"/>
      <c r="AV95" s="43">
        <f t="shared" si="87"/>
        <v>0</v>
      </c>
      <c r="AW95" s="43"/>
      <c r="AX95" s="43"/>
      <c r="AY95" s="43">
        <f t="shared" si="87"/>
        <v>2749250000</v>
      </c>
      <c r="AZ95" s="43">
        <f t="shared" ref="AZ95:BA95" si="91">SUM(AZ89:AZ94)</f>
        <v>0</v>
      </c>
      <c r="BA95" s="43">
        <f t="shared" si="91"/>
        <v>0</v>
      </c>
    </row>
    <row r="96" spans="1:53" ht="24" customHeight="1" x14ac:dyDescent="0.25">
      <c r="A96" s="39"/>
      <c r="B96" s="45"/>
      <c r="C96" s="208"/>
      <c r="D96" s="45"/>
      <c r="E96" s="45"/>
      <c r="F96" s="46"/>
      <c r="G96" s="45"/>
      <c r="H96" s="46"/>
      <c r="I96" s="686"/>
      <c r="J96" s="45"/>
      <c r="K96" s="46"/>
      <c r="L96" s="48">
        <f t="shared" ref="L96:AY97" si="92">L95</f>
        <v>76050000</v>
      </c>
      <c r="M96" s="48">
        <f t="shared" ref="M96:N96" si="93">M95</f>
        <v>0</v>
      </c>
      <c r="N96" s="48">
        <f t="shared" si="93"/>
        <v>0</v>
      </c>
      <c r="O96" s="48">
        <f t="shared" si="92"/>
        <v>0</v>
      </c>
      <c r="P96" s="48"/>
      <c r="Q96" s="48"/>
      <c r="R96" s="48">
        <f t="shared" si="92"/>
        <v>0</v>
      </c>
      <c r="S96" s="48">
        <f t="shared" ref="S96:T96" si="94">S95</f>
        <v>0</v>
      </c>
      <c r="T96" s="48">
        <f t="shared" si="94"/>
        <v>0</v>
      </c>
      <c r="U96" s="48">
        <f t="shared" si="92"/>
        <v>0</v>
      </c>
      <c r="V96" s="48"/>
      <c r="W96" s="48"/>
      <c r="X96" s="48">
        <f t="shared" si="92"/>
        <v>0</v>
      </c>
      <c r="Y96" s="48"/>
      <c r="Z96" s="48"/>
      <c r="AA96" s="48">
        <f t="shared" si="92"/>
        <v>0</v>
      </c>
      <c r="AB96" s="48"/>
      <c r="AC96" s="48"/>
      <c r="AD96" s="48">
        <f t="shared" si="92"/>
        <v>0</v>
      </c>
      <c r="AE96" s="48"/>
      <c r="AF96" s="48"/>
      <c r="AG96" s="48">
        <f t="shared" si="92"/>
        <v>0</v>
      </c>
      <c r="AH96" s="48"/>
      <c r="AI96" s="48"/>
      <c r="AJ96" s="48">
        <f t="shared" si="92"/>
        <v>0</v>
      </c>
      <c r="AK96" s="48"/>
      <c r="AL96" s="48"/>
      <c r="AM96" s="48">
        <f t="shared" si="92"/>
        <v>2673200000</v>
      </c>
      <c r="AN96" s="48">
        <f t="shared" ref="AN96:AO96" si="95">AN95</f>
        <v>0</v>
      </c>
      <c r="AO96" s="48">
        <f t="shared" si="95"/>
        <v>0</v>
      </c>
      <c r="AP96" s="48">
        <f t="shared" si="92"/>
        <v>0</v>
      </c>
      <c r="AQ96" s="48">
        <f t="shared" ref="AQ96:AR96" si="96">AQ95</f>
        <v>0</v>
      </c>
      <c r="AR96" s="48">
        <f t="shared" si="96"/>
        <v>0</v>
      </c>
      <c r="AS96" s="48">
        <f t="shared" si="92"/>
        <v>0</v>
      </c>
      <c r="AT96" s="48"/>
      <c r="AU96" s="48"/>
      <c r="AV96" s="48">
        <f t="shared" si="92"/>
        <v>0</v>
      </c>
      <c r="AW96" s="48"/>
      <c r="AX96" s="48"/>
      <c r="AY96" s="48">
        <f t="shared" si="92"/>
        <v>2749250000</v>
      </c>
      <c r="AZ96" s="48">
        <f t="shared" ref="AZ96:BA96" si="97">AZ95</f>
        <v>0</v>
      </c>
      <c r="BA96" s="48">
        <f t="shared" si="97"/>
        <v>0</v>
      </c>
    </row>
    <row r="97" spans="1:53" ht="24" customHeight="1" x14ac:dyDescent="0.25">
      <c r="A97" s="49"/>
      <c r="B97" s="49"/>
      <c r="C97" s="50"/>
      <c r="D97" s="49"/>
      <c r="E97" s="49"/>
      <c r="F97" s="50"/>
      <c r="G97" s="49"/>
      <c r="H97" s="50"/>
      <c r="I97" s="687"/>
      <c r="J97" s="49"/>
      <c r="K97" s="50"/>
      <c r="L97" s="52">
        <f t="shared" si="92"/>
        <v>76050000</v>
      </c>
      <c r="M97" s="52">
        <f t="shared" ref="M97:N97" si="98">M96</f>
        <v>0</v>
      </c>
      <c r="N97" s="52">
        <f t="shared" si="98"/>
        <v>0</v>
      </c>
      <c r="O97" s="52">
        <f t="shared" si="92"/>
        <v>0</v>
      </c>
      <c r="P97" s="52"/>
      <c r="Q97" s="52"/>
      <c r="R97" s="52">
        <f t="shared" si="92"/>
        <v>0</v>
      </c>
      <c r="S97" s="52">
        <f t="shared" ref="S97:T97" si="99">S96</f>
        <v>0</v>
      </c>
      <c r="T97" s="52">
        <f t="shared" si="99"/>
        <v>0</v>
      </c>
      <c r="U97" s="52">
        <f t="shared" si="92"/>
        <v>0</v>
      </c>
      <c r="V97" s="52"/>
      <c r="W97" s="52"/>
      <c r="X97" s="52">
        <f t="shared" si="92"/>
        <v>0</v>
      </c>
      <c r="Y97" s="52"/>
      <c r="Z97" s="52"/>
      <c r="AA97" s="52">
        <f t="shared" si="92"/>
        <v>0</v>
      </c>
      <c r="AB97" s="52"/>
      <c r="AC97" s="52"/>
      <c r="AD97" s="52">
        <f t="shared" si="92"/>
        <v>0</v>
      </c>
      <c r="AE97" s="52"/>
      <c r="AF97" s="52"/>
      <c r="AG97" s="52">
        <f t="shared" si="92"/>
        <v>0</v>
      </c>
      <c r="AH97" s="52"/>
      <c r="AI97" s="52"/>
      <c r="AJ97" s="52">
        <f t="shared" si="92"/>
        <v>0</v>
      </c>
      <c r="AK97" s="52"/>
      <c r="AL97" s="52"/>
      <c r="AM97" s="52">
        <f t="shared" si="92"/>
        <v>2673200000</v>
      </c>
      <c r="AN97" s="52">
        <f t="shared" ref="AN97:AO97" si="100">AN96</f>
        <v>0</v>
      </c>
      <c r="AO97" s="52">
        <f t="shared" si="100"/>
        <v>0</v>
      </c>
      <c r="AP97" s="52">
        <f t="shared" si="92"/>
        <v>0</v>
      </c>
      <c r="AQ97" s="52">
        <f t="shared" ref="AQ97:AR97" si="101">AQ96</f>
        <v>0</v>
      </c>
      <c r="AR97" s="52">
        <f t="shared" si="101"/>
        <v>0</v>
      </c>
      <c r="AS97" s="52">
        <f t="shared" si="92"/>
        <v>0</v>
      </c>
      <c r="AT97" s="52"/>
      <c r="AU97" s="52"/>
      <c r="AV97" s="52">
        <f t="shared" si="92"/>
        <v>0</v>
      </c>
      <c r="AW97" s="52"/>
      <c r="AX97" s="52"/>
      <c r="AY97" s="52">
        <f t="shared" si="92"/>
        <v>2749250000</v>
      </c>
      <c r="AZ97" s="52">
        <f t="shared" ref="AZ97:BA97" si="102">AZ96</f>
        <v>0</v>
      </c>
      <c r="BA97" s="52">
        <f t="shared" si="102"/>
        <v>0</v>
      </c>
    </row>
    <row r="98" spans="1:53" ht="24" customHeight="1" x14ac:dyDescent="0.25">
      <c r="A98" s="53"/>
      <c r="B98" s="53"/>
      <c r="C98" s="54"/>
      <c r="D98" s="53"/>
      <c r="E98" s="53"/>
      <c r="F98" s="54"/>
      <c r="G98" s="53"/>
      <c r="H98" s="54"/>
      <c r="I98" s="688"/>
      <c r="J98" s="53"/>
      <c r="K98" s="54"/>
      <c r="L98" s="56">
        <f t="shared" ref="L98:AY98" si="103">L97+L84</f>
        <v>5457617165</v>
      </c>
      <c r="M98" s="56">
        <f t="shared" ref="M98:N98" si="104">M97+M84</f>
        <v>254580333</v>
      </c>
      <c r="N98" s="56">
        <f t="shared" si="104"/>
        <v>78355000</v>
      </c>
      <c r="O98" s="56">
        <f t="shared" si="103"/>
        <v>0</v>
      </c>
      <c r="P98" s="56"/>
      <c r="Q98" s="56"/>
      <c r="R98" s="56">
        <f t="shared" si="103"/>
        <v>1158478847</v>
      </c>
      <c r="S98" s="56">
        <f t="shared" ref="S98:T98" si="105">S97+S84</f>
        <v>0</v>
      </c>
      <c r="T98" s="56">
        <f t="shared" si="105"/>
        <v>0</v>
      </c>
      <c r="U98" s="56">
        <f t="shared" si="103"/>
        <v>0</v>
      </c>
      <c r="V98" s="56"/>
      <c r="W98" s="56"/>
      <c r="X98" s="56">
        <f t="shared" si="103"/>
        <v>0</v>
      </c>
      <c r="Y98" s="56"/>
      <c r="Z98" s="56"/>
      <c r="AA98" s="56">
        <f t="shared" si="103"/>
        <v>0</v>
      </c>
      <c r="AB98" s="56"/>
      <c r="AC98" s="56"/>
      <c r="AD98" s="56">
        <f t="shared" si="103"/>
        <v>0</v>
      </c>
      <c r="AE98" s="56"/>
      <c r="AF98" s="56"/>
      <c r="AG98" s="56">
        <f t="shared" si="103"/>
        <v>0</v>
      </c>
      <c r="AH98" s="56"/>
      <c r="AI98" s="56"/>
      <c r="AJ98" s="56">
        <f t="shared" si="103"/>
        <v>0</v>
      </c>
      <c r="AK98" s="56"/>
      <c r="AL98" s="56"/>
      <c r="AM98" s="56">
        <f t="shared" si="103"/>
        <v>2673200000</v>
      </c>
      <c r="AN98" s="56">
        <f t="shared" ref="AN98:AO98" si="106">AN97+AN84</f>
        <v>0</v>
      </c>
      <c r="AO98" s="56">
        <f t="shared" si="106"/>
        <v>0</v>
      </c>
      <c r="AP98" s="56">
        <f t="shared" si="103"/>
        <v>273393000</v>
      </c>
      <c r="AQ98" s="56">
        <f t="shared" si="103"/>
        <v>59190666</v>
      </c>
      <c r="AR98" s="56">
        <f t="shared" si="103"/>
        <v>29825000</v>
      </c>
      <c r="AS98" s="56">
        <f t="shared" si="103"/>
        <v>0</v>
      </c>
      <c r="AT98" s="56"/>
      <c r="AU98" s="56"/>
      <c r="AV98" s="56">
        <f t="shared" si="103"/>
        <v>0</v>
      </c>
      <c r="AW98" s="56"/>
      <c r="AX98" s="56"/>
      <c r="AY98" s="56">
        <f t="shared" si="103"/>
        <v>9562689012</v>
      </c>
      <c r="AZ98" s="56">
        <f t="shared" ref="AZ98:BA98" si="107">AZ97+AZ84</f>
        <v>405799665</v>
      </c>
      <c r="BA98" s="56">
        <f t="shared" si="107"/>
        <v>128413333</v>
      </c>
    </row>
    <row r="99" spans="1:53" ht="25.5" customHeight="1" x14ac:dyDescent="0.25">
      <c r="A99" s="57"/>
      <c r="B99" s="58"/>
      <c r="C99" s="651"/>
      <c r="D99" s="108"/>
      <c r="E99" s="58"/>
      <c r="F99" s="651"/>
      <c r="G99" s="58"/>
      <c r="H99" s="651"/>
      <c r="I99" s="689"/>
      <c r="J99" s="58"/>
      <c r="K99" s="651"/>
      <c r="L99" s="60"/>
      <c r="M99" s="60"/>
      <c r="N99" s="60"/>
      <c r="O99" s="60"/>
      <c r="P99" s="60"/>
      <c r="Q99" s="60"/>
      <c r="R99" s="60"/>
      <c r="S99" s="60"/>
      <c r="T99" s="60"/>
      <c r="U99" s="60"/>
      <c r="V99" s="60"/>
      <c r="W99" s="60"/>
      <c r="X99" s="60"/>
      <c r="Y99" s="60"/>
      <c r="Z99" s="60"/>
      <c r="AA99" s="60"/>
      <c r="AB99" s="60"/>
      <c r="AC99" s="60"/>
      <c r="AD99" s="61"/>
      <c r="AE99" s="61"/>
      <c r="AF99" s="61"/>
      <c r="AG99" s="61"/>
      <c r="AH99" s="61"/>
      <c r="AI99" s="61"/>
      <c r="AJ99" s="60"/>
      <c r="AK99" s="60"/>
      <c r="AL99" s="60"/>
      <c r="AM99" s="60"/>
      <c r="AN99" s="60"/>
      <c r="AO99" s="60"/>
      <c r="AP99" s="62"/>
      <c r="AQ99" s="62"/>
      <c r="AR99" s="62"/>
      <c r="AS99" s="60"/>
      <c r="AT99" s="60"/>
      <c r="AU99" s="60"/>
      <c r="AV99" s="61"/>
      <c r="AW99" s="63"/>
      <c r="AX99" s="63"/>
      <c r="AY99" s="64"/>
      <c r="AZ99" s="64"/>
      <c r="BA99" s="64"/>
    </row>
    <row r="100" spans="1:53" ht="20.25" x14ac:dyDescent="0.25">
      <c r="A100" s="7" t="s">
        <v>79</v>
      </c>
      <c r="B100" s="8"/>
      <c r="C100" s="9"/>
      <c r="D100" s="149"/>
      <c r="E100" s="8"/>
      <c r="F100" s="9"/>
      <c r="G100" s="8"/>
      <c r="H100" s="8"/>
      <c r="I100" s="680"/>
      <c r="J100" s="8"/>
      <c r="K100" s="9"/>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6"/>
      <c r="AQ100" s="66"/>
      <c r="AR100" s="66"/>
      <c r="AS100" s="65"/>
      <c r="AT100" s="65"/>
      <c r="AU100" s="65"/>
      <c r="AV100" s="65"/>
      <c r="AW100" s="65"/>
      <c r="AX100" s="65"/>
      <c r="AY100" s="67" t="s">
        <v>500</v>
      </c>
      <c r="AZ100" s="67" t="s">
        <v>500</v>
      </c>
      <c r="BA100" s="67" t="s">
        <v>500</v>
      </c>
    </row>
    <row r="101" spans="1:53" x14ac:dyDescent="0.25">
      <c r="A101" s="4">
        <v>4</v>
      </c>
      <c r="B101" s="13" t="s">
        <v>501</v>
      </c>
      <c r="C101" s="14"/>
      <c r="D101" s="13"/>
      <c r="E101" s="13"/>
      <c r="F101" s="14"/>
      <c r="G101" s="13"/>
      <c r="H101" s="13"/>
      <c r="I101" s="681"/>
      <c r="J101" s="13"/>
      <c r="K101" s="13"/>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9"/>
      <c r="AQ101" s="69"/>
      <c r="AR101" s="69"/>
      <c r="AS101" s="68"/>
      <c r="AT101" s="68"/>
      <c r="AU101" s="68"/>
      <c r="AV101" s="68"/>
      <c r="AW101" s="68"/>
      <c r="AX101" s="68"/>
      <c r="AY101" s="70"/>
      <c r="AZ101" s="70"/>
      <c r="BA101" s="70"/>
    </row>
    <row r="102" spans="1:53" x14ac:dyDescent="0.25">
      <c r="A102" s="71"/>
      <c r="B102" s="111">
        <v>23</v>
      </c>
      <c r="C102" s="634" t="s">
        <v>502</v>
      </c>
      <c r="D102" s="640"/>
      <c r="E102" s="17"/>
      <c r="F102" s="640"/>
      <c r="G102" s="17"/>
      <c r="H102" s="17"/>
      <c r="I102" s="682"/>
      <c r="J102" s="17"/>
      <c r="K102" s="17"/>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3"/>
      <c r="AQ102" s="73"/>
      <c r="AR102" s="73"/>
      <c r="AS102" s="72"/>
      <c r="AT102" s="72"/>
      <c r="AU102" s="72"/>
      <c r="AV102" s="72"/>
      <c r="AW102" s="72"/>
      <c r="AX102" s="72"/>
      <c r="AY102" s="74"/>
      <c r="AZ102" s="74"/>
      <c r="BA102" s="74"/>
    </row>
    <row r="103" spans="1:53" x14ac:dyDescent="0.25">
      <c r="A103" s="27"/>
      <c r="B103" s="71"/>
      <c r="C103" s="156"/>
      <c r="D103" s="75"/>
      <c r="E103" s="76">
        <v>75</v>
      </c>
      <c r="F103" s="78" t="s">
        <v>503</v>
      </c>
      <c r="G103" s="78"/>
      <c r="H103" s="78"/>
      <c r="I103" s="690"/>
      <c r="J103" s="78"/>
      <c r="K103" s="78"/>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80"/>
      <c r="AQ103" s="80"/>
      <c r="AR103" s="80"/>
      <c r="AS103" s="79"/>
      <c r="AT103" s="79"/>
      <c r="AU103" s="79"/>
      <c r="AV103" s="79"/>
      <c r="AW103" s="79"/>
      <c r="AX103" s="79"/>
      <c r="AY103" s="81"/>
      <c r="AZ103" s="81"/>
      <c r="BA103" s="81"/>
    </row>
    <row r="104" spans="1:53" ht="85.5" customHeight="1" x14ac:dyDescent="0.25">
      <c r="A104" s="27"/>
      <c r="B104" s="27"/>
      <c r="C104" s="28">
        <v>10</v>
      </c>
      <c r="D104" s="158" t="s">
        <v>504</v>
      </c>
      <c r="E104" s="100"/>
      <c r="F104" s="31">
        <v>214</v>
      </c>
      <c r="G104" s="29" t="s">
        <v>80</v>
      </c>
      <c r="H104" s="826" t="s">
        <v>505</v>
      </c>
      <c r="I104" s="827" t="s">
        <v>81</v>
      </c>
      <c r="J104" s="828" t="s">
        <v>82</v>
      </c>
      <c r="K104" s="209" t="s">
        <v>477</v>
      </c>
      <c r="L104" s="33"/>
      <c r="M104" s="161"/>
      <c r="N104" s="161"/>
      <c r="O104" s="210"/>
      <c r="P104" s="210"/>
      <c r="Q104" s="210"/>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6"/>
      <c r="AO104" s="36"/>
      <c r="AP104" s="35">
        <f>15000000</f>
        <v>15000000</v>
      </c>
      <c r="AQ104" s="35">
        <v>620000</v>
      </c>
      <c r="AR104" s="35"/>
      <c r="AS104" s="36"/>
      <c r="AT104" s="36"/>
      <c r="AU104" s="36"/>
      <c r="AV104" s="211"/>
      <c r="AW104" s="211"/>
      <c r="AX104" s="211"/>
      <c r="AY104" s="37">
        <f t="shared" ref="AY104:AY106" si="108">+L104+O104+R104+U104+X104+AA104+AD104+AG104+AJ104+AM104+AP104+AS104+AV104</f>
        <v>15000000</v>
      </c>
      <c r="AZ104" s="37">
        <f t="shared" ref="AZ104:AZ106" si="109">+M104+P104+S104+V104+Y104+AB104+AE104+AH104+AK104+AN104+AQ104+AT104+AW104</f>
        <v>620000</v>
      </c>
      <c r="BA104" s="37">
        <f t="shared" ref="BA104:BA106" si="110">+N104+Q104+T104+W104+Z104+AC104+AF104+AI104+AL104+AO104+AR104+AU104+AX104</f>
        <v>0</v>
      </c>
    </row>
    <row r="105" spans="1:53" ht="73.5" customHeight="1" x14ac:dyDescent="0.25">
      <c r="A105" s="178"/>
      <c r="B105" s="178"/>
      <c r="C105" s="31">
        <v>32</v>
      </c>
      <c r="D105" s="158" t="s">
        <v>506</v>
      </c>
      <c r="E105" s="180"/>
      <c r="F105" s="182">
        <v>215</v>
      </c>
      <c r="G105" s="641" t="s">
        <v>83</v>
      </c>
      <c r="H105" s="823"/>
      <c r="I105" s="821"/>
      <c r="J105" s="824"/>
      <c r="K105" s="212" t="s">
        <v>477</v>
      </c>
      <c r="L105" s="183"/>
      <c r="M105" s="343"/>
      <c r="N105" s="343"/>
      <c r="O105" s="213"/>
      <c r="P105" s="213"/>
      <c r="Q105" s="21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98">
        <f>15000000</f>
        <v>15000000</v>
      </c>
      <c r="AQ105" s="198">
        <v>620000</v>
      </c>
      <c r="AR105" s="198"/>
      <c r="AS105" s="183"/>
      <c r="AT105" s="183"/>
      <c r="AU105" s="183"/>
      <c r="AV105" s="183"/>
      <c r="AW105" s="183"/>
      <c r="AX105" s="183"/>
      <c r="AY105" s="37">
        <f t="shared" si="108"/>
        <v>15000000</v>
      </c>
      <c r="AZ105" s="37">
        <f t="shared" si="109"/>
        <v>620000</v>
      </c>
      <c r="BA105" s="37">
        <f t="shared" si="110"/>
        <v>0</v>
      </c>
    </row>
    <row r="106" spans="1:53" ht="63" customHeight="1" x14ac:dyDescent="0.25">
      <c r="A106" s="178"/>
      <c r="B106" s="178"/>
      <c r="C106" s="214">
        <v>12</v>
      </c>
      <c r="D106" s="644" t="s">
        <v>507</v>
      </c>
      <c r="E106" s="180"/>
      <c r="F106" s="182">
        <v>217</v>
      </c>
      <c r="G106" s="641" t="s">
        <v>84</v>
      </c>
      <c r="H106" s="823"/>
      <c r="I106" s="821"/>
      <c r="J106" s="824"/>
      <c r="K106" s="215" t="s">
        <v>466</v>
      </c>
      <c r="L106" s="183"/>
      <c r="M106" s="343"/>
      <c r="N106" s="343"/>
      <c r="O106" s="213">
        <f>1600000000+160000000</f>
        <v>1760000000</v>
      </c>
      <c r="P106" s="213">
        <v>18600000</v>
      </c>
      <c r="Q106" s="21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6"/>
      <c r="AO106" s="186"/>
      <c r="AP106" s="185"/>
      <c r="AQ106" s="185"/>
      <c r="AR106" s="185"/>
      <c r="AS106" s="186"/>
      <c r="AT106" s="186"/>
      <c r="AU106" s="186"/>
      <c r="AV106" s="186"/>
      <c r="AW106" s="186"/>
      <c r="AX106" s="186"/>
      <c r="AY106" s="37">
        <f t="shared" si="108"/>
        <v>1760000000</v>
      </c>
      <c r="AZ106" s="37">
        <f t="shared" si="109"/>
        <v>18600000</v>
      </c>
      <c r="BA106" s="37">
        <f t="shared" si="110"/>
        <v>0</v>
      </c>
    </row>
    <row r="107" spans="1:53" ht="15" x14ac:dyDescent="0.25">
      <c r="A107" s="27"/>
      <c r="B107" s="27"/>
      <c r="C107" s="28"/>
      <c r="D107" s="639"/>
      <c r="E107" s="40"/>
      <c r="F107" s="41"/>
      <c r="G107" s="40"/>
      <c r="H107" s="42"/>
      <c r="I107" s="685"/>
      <c r="J107" s="40"/>
      <c r="K107" s="41"/>
      <c r="L107" s="43"/>
      <c r="M107" s="43"/>
      <c r="N107" s="43"/>
      <c r="O107" s="43">
        <f>SUM(O104:O106)</f>
        <v>1760000000</v>
      </c>
      <c r="P107" s="43">
        <f t="shared" ref="P107:Q107" si="111">SUM(P104:P106)</f>
        <v>18600000</v>
      </c>
      <c r="Q107" s="43">
        <f t="shared" si="111"/>
        <v>0</v>
      </c>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f>SUM(AP104:AP106)</f>
        <v>30000000</v>
      </c>
      <c r="AQ107" s="43">
        <f t="shared" ref="AQ107:AR107" si="112">SUM(AQ104:AQ106)</f>
        <v>1240000</v>
      </c>
      <c r="AR107" s="43">
        <f t="shared" si="112"/>
        <v>0</v>
      </c>
      <c r="AS107" s="43"/>
      <c r="AT107" s="43"/>
      <c r="AU107" s="43"/>
      <c r="AV107" s="43"/>
      <c r="AW107" s="43"/>
      <c r="AX107" s="43"/>
      <c r="AY107" s="43">
        <f>SUM(AY104:AY106)</f>
        <v>1790000000</v>
      </c>
      <c r="AZ107" s="43">
        <f t="shared" ref="AZ107:BA107" si="113">SUM(AZ104:AZ106)</f>
        <v>19840000</v>
      </c>
      <c r="BA107" s="43">
        <f t="shared" si="113"/>
        <v>0</v>
      </c>
    </row>
    <row r="108" spans="1:53" ht="15" x14ac:dyDescent="0.25">
      <c r="A108" s="27"/>
      <c r="B108" s="27"/>
      <c r="C108" s="28"/>
      <c r="D108" s="639"/>
      <c r="E108" s="29"/>
      <c r="F108" s="190"/>
      <c r="G108" s="58"/>
      <c r="H108" s="216"/>
      <c r="I108" s="700"/>
      <c r="J108" s="108"/>
      <c r="K108" s="651"/>
      <c r="L108" s="60"/>
      <c r="M108" s="60"/>
      <c r="N108" s="60"/>
      <c r="O108" s="60"/>
      <c r="P108" s="60"/>
      <c r="Q108" s="60"/>
      <c r="R108" s="60"/>
      <c r="S108" s="60"/>
      <c r="T108" s="60"/>
      <c r="U108" s="60"/>
      <c r="V108" s="60"/>
      <c r="W108" s="60"/>
      <c r="X108" s="60"/>
      <c r="Y108" s="60"/>
      <c r="Z108" s="60"/>
      <c r="AA108" s="60"/>
      <c r="AB108" s="60"/>
      <c r="AC108" s="60"/>
      <c r="AD108" s="61"/>
      <c r="AE108" s="61"/>
      <c r="AF108" s="61"/>
      <c r="AG108" s="61"/>
      <c r="AH108" s="61"/>
      <c r="AI108" s="61"/>
      <c r="AJ108" s="60"/>
      <c r="AK108" s="60"/>
      <c r="AL108" s="60"/>
      <c r="AM108" s="60"/>
      <c r="AN108" s="60"/>
      <c r="AO108" s="60"/>
      <c r="AP108" s="88"/>
      <c r="AQ108" s="88"/>
      <c r="AR108" s="88"/>
      <c r="AS108" s="60"/>
      <c r="AT108" s="60"/>
      <c r="AU108" s="60"/>
      <c r="AV108" s="61"/>
      <c r="AW108" s="61"/>
      <c r="AX108" s="61"/>
      <c r="AY108" s="110"/>
      <c r="AZ108" s="110"/>
      <c r="BA108" s="110"/>
    </row>
    <row r="109" spans="1:53" ht="15" x14ac:dyDescent="0.25">
      <c r="A109" s="27"/>
      <c r="B109" s="27"/>
      <c r="C109" s="28"/>
      <c r="D109" s="639"/>
      <c r="E109" s="191">
        <v>76</v>
      </c>
      <c r="F109" s="221" t="s">
        <v>508</v>
      </c>
      <c r="G109" s="78"/>
      <c r="H109" s="78"/>
      <c r="I109" s="222"/>
      <c r="J109" s="78"/>
      <c r="K109" s="78"/>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80"/>
      <c r="AQ109" s="80"/>
      <c r="AR109" s="80"/>
      <c r="AS109" s="79"/>
      <c r="AT109" s="79"/>
      <c r="AU109" s="79"/>
      <c r="AV109" s="79"/>
      <c r="AW109" s="79"/>
      <c r="AX109" s="79"/>
      <c r="AY109" s="81"/>
      <c r="AZ109" s="81"/>
      <c r="BA109" s="81"/>
    </row>
    <row r="110" spans="1:53" ht="57.75" customHeight="1" x14ac:dyDescent="0.25">
      <c r="A110" s="178"/>
      <c r="B110" s="178"/>
      <c r="C110" s="28">
        <v>10</v>
      </c>
      <c r="D110" s="158" t="s">
        <v>504</v>
      </c>
      <c r="E110" s="180"/>
      <c r="F110" s="664">
        <v>220</v>
      </c>
      <c r="G110" s="665" t="s">
        <v>85</v>
      </c>
      <c r="H110" s="823" t="s">
        <v>509</v>
      </c>
      <c r="I110" s="821" t="s">
        <v>86</v>
      </c>
      <c r="J110" s="824" t="s">
        <v>87</v>
      </c>
      <c r="K110" s="182" t="s">
        <v>477</v>
      </c>
      <c r="L110" s="183"/>
      <c r="M110" s="183"/>
      <c r="N110" s="183"/>
      <c r="O110" s="218"/>
      <c r="P110" s="218"/>
      <c r="Q110" s="218"/>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6"/>
      <c r="AO110" s="186"/>
      <c r="AP110" s="185">
        <f>80000000+140000000-30000000</f>
        <v>190000000</v>
      </c>
      <c r="AQ110" s="185"/>
      <c r="AR110" s="185"/>
      <c r="AS110" s="186"/>
      <c r="AT110" s="186"/>
      <c r="AU110" s="186"/>
      <c r="AV110" s="186"/>
      <c r="AW110" s="186"/>
      <c r="AX110" s="186"/>
      <c r="AY110" s="37">
        <f t="shared" ref="AY110:AY111" si="114">+L110+O110+R110+U110+X110+AA110+AD110+AG110+AJ110+AM110+AP110+AS110+AV110</f>
        <v>190000000</v>
      </c>
      <c r="AZ110" s="37">
        <f t="shared" ref="AZ110:AZ111" si="115">+M110+P110+S110+V110+Y110+AB110+AE110+AH110+AK110+AN110+AQ110+AT110+AW110</f>
        <v>0</v>
      </c>
      <c r="BA110" s="37">
        <f t="shared" ref="BA110:BA111" si="116">+N110+Q110+T110+W110+Z110+AC110+AF110+AI110+AL110+AO110+AR110+AU110+AX110</f>
        <v>0</v>
      </c>
    </row>
    <row r="111" spans="1:53" ht="60.75" customHeight="1" x14ac:dyDescent="0.25">
      <c r="A111" s="178"/>
      <c r="B111" s="178"/>
      <c r="C111" s="219">
        <v>13</v>
      </c>
      <c r="D111" s="124" t="s">
        <v>510</v>
      </c>
      <c r="E111" s="220"/>
      <c r="F111" s="182">
        <v>222</v>
      </c>
      <c r="G111" s="641" t="s">
        <v>88</v>
      </c>
      <c r="H111" s="829"/>
      <c r="I111" s="830"/>
      <c r="J111" s="831"/>
      <c r="K111" s="182" t="s">
        <v>466</v>
      </c>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6"/>
      <c r="AI111" s="186"/>
      <c r="AJ111" s="186"/>
      <c r="AK111" s="186"/>
      <c r="AL111" s="186"/>
      <c r="AM111" s="186"/>
      <c r="AN111" s="186"/>
      <c r="AO111" s="186"/>
      <c r="AP111" s="185">
        <f>10000000+10000000</f>
        <v>20000000</v>
      </c>
      <c r="AQ111" s="185">
        <v>11200000</v>
      </c>
      <c r="AR111" s="185">
        <v>5600000</v>
      </c>
      <c r="AS111" s="186"/>
      <c r="AT111" s="186"/>
      <c r="AU111" s="186"/>
      <c r="AV111" s="186"/>
      <c r="AW111" s="186"/>
      <c r="AX111" s="186"/>
      <c r="AY111" s="37">
        <f t="shared" si="114"/>
        <v>20000000</v>
      </c>
      <c r="AZ111" s="37">
        <f t="shared" si="115"/>
        <v>11200000</v>
      </c>
      <c r="BA111" s="37">
        <f t="shared" si="116"/>
        <v>5600000</v>
      </c>
    </row>
    <row r="112" spans="1:53" ht="21" customHeight="1" x14ac:dyDescent="0.25">
      <c r="A112" s="27"/>
      <c r="B112" s="39"/>
      <c r="C112" s="28"/>
      <c r="D112" s="29"/>
      <c r="E112" s="221"/>
      <c r="F112" s="222"/>
      <c r="G112" s="78"/>
      <c r="H112" s="78"/>
      <c r="I112" s="690"/>
      <c r="J112" s="78"/>
      <c r="K112" s="78"/>
      <c r="L112" s="223"/>
      <c r="M112" s="223"/>
      <c r="N112" s="223"/>
      <c r="O112" s="223">
        <f>SUM(O110:O111)</f>
        <v>0</v>
      </c>
      <c r="P112" s="223">
        <f t="shared" ref="P112:Q112" si="117">SUM(P110:P111)</f>
        <v>0</v>
      </c>
      <c r="Q112" s="223">
        <f t="shared" si="117"/>
        <v>0</v>
      </c>
      <c r="R112" s="223">
        <f>SUM(R110:R111)</f>
        <v>0</v>
      </c>
      <c r="S112" s="223"/>
      <c r="T112" s="223"/>
      <c r="U112" s="223">
        <f>SUM(U110:U111)</f>
        <v>0</v>
      </c>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4">
        <f>SUM(AP110:AP111)</f>
        <v>210000000</v>
      </c>
      <c r="AQ112" s="224">
        <f t="shared" ref="AQ112:AR112" si="118">SUM(AQ110:AQ111)</f>
        <v>11200000</v>
      </c>
      <c r="AR112" s="224">
        <f t="shared" si="118"/>
        <v>5600000</v>
      </c>
      <c r="AS112" s="224">
        <f>SUM(AS110:AS111)</f>
        <v>0</v>
      </c>
      <c r="AT112" s="224"/>
      <c r="AU112" s="224"/>
      <c r="AV112" s="224">
        <f>SUM(AV110:AV111)</f>
        <v>0</v>
      </c>
      <c r="AW112" s="224"/>
      <c r="AX112" s="224"/>
      <c r="AY112" s="225">
        <f>SUM(AY110:AY111)</f>
        <v>210000000</v>
      </c>
      <c r="AZ112" s="225">
        <f t="shared" ref="AZ112:BA112" si="119">SUM(AZ110:AZ111)</f>
        <v>11200000</v>
      </c>
      <c r="BA112" s="225">
        <f t="shared" si="119"/>
        <v>5600000</v>
      </c>
    </row>
    <row r="113" spans="1:53" ht="22.5" customHeight="1" x14ac:dyDescent="0.25">
      <c r="A113" s="27"/>
      <c r="B113" s="45"/>
      <c r="C113" s="208"/>
      <c r="D113" s="45"/>
      <c r="E113" s="45"/>
      <c r="F113" s="46"/>
      <c r="G113" s="45"/>
      <c r="H113" s="47"/>
      <c r="I113" s="686"/>
      <c r="J113" s="45"/>
      <c r="K113" s="46"/>
      <c r="L113" s="48"/>
      <c r="M113" s="48"/>
      <c r="N113" s="48"/>
      <c r="O113" s="48">
        <f>O112+O107</f>
        <v>1760000000</v>
      </c>
      <c r="P113" s="48">
        <f t="shared" ref="P113:Q113" si="120">P112+P107</f>
        <v>18600000</v>
      </c>
      <c r="Q113" s="48">
        <f t="shared" si="120"/>
        <v>0</v>
      </c>
      <c r="R113" s="48">
        <f>R112+R107</f>
        <v>0</v>
      </c>
      <c r="S113" s="48"/>
      <c r="T113" s="48"/>
      <c r="U113" s="48">
        <f>U112+U107</f>
        <v>0</v>
      </c>
      <c r="V113" s="48"/>
      <c r="W113" s="48"/>
      <c r="X113" s="48"/>
      <c r="Y113" s="48"/>
      <c r="Z113" s="48"/>
      <c r="AA113" s="48"/>
      <c r="AB113" s="48"/>
      <c r="AC113" s="48"/>
      <c r="AD113" s="48"/>
      <c r="AE113" s="48"/>
      <c r="AF113" s="48"/>
      <c r="AG113" s="48"/>
      <c r="AH113" s="48"/>
      <c r="AI113" s="48"/>
      <c r="AJ113" s="48"/>
      <c r="AK113" s="48"/>
      <c r="AL113" s="48"/>
      <c r="AM113" s="48"/>
      <c r="AN113" s="48"/>
      <c r="AO113" s="48"/>
      <c r="AP113" s="48">
        <f>AP112+AP107</f>
        <v>240000000</v>
      </c>
      <c r="AQ113" s="48">
        <f t="shared" ref="AQ113:AR113" si="121">AQ112+AQ107</f>
        <v>12440000</v>
      </c>
      <c r="AR113" s="48">
        <f t="shared" si="121"/>
        <v>5600000</v>
      </c>
      <c r="AS113" s="48">
        <f>AS112+AS107</f>
        <v>0</v>
      </c>
      <c r="AT113" s="48"/>
      <c r="AU113" s="48"/>
      <c r="AV113" s="48">
        <f>AV112+AV107</f>
        <v>0</v>
      </c>
      <c r="AW113" s="48"/>
      <c r="AX113" s="48"/>
      <c r="AY113" s="48">
        <f>AY112+AY107</f>
        <v>2000000000</v>
      </c>
      <c r="AZ113" s="48">
        <f t="shared" ref="AZ113:BA113" si="122">AZ112+AZ107</f>
        <v>31040000</v>
      </c>
      <c r="BA113" s="48">
        <f t="shared" si="122"/>
        <v>5600000</v>
      </c>
    </row>
    <row r="114" spans="1:53" ht="15" x14ac:dyDescent="0.25">
      <c r="A114" s="27"/>
      <c r="B114" s="29"/>
      <c r="C114" s="651"/>
      <c r="D114" s="58"/>
      <c r="E114" s="58"/>
      <c r="F114" s="651"/>
      <c r="G114" s="58"/>
      <c r="H114" s="216"/>
      <c r="I114" s="700"/>
      <c r="J114" s="108"/>
      <c r="K114" s="651"/>
      <c r="L114" s="60"/>
      <c r="M114" s="60"/>
      <c r="N114" s="60"/>
      <c r="O114" s="60"/>
      <c r="P114" s="60"/>
      <c r="Q114" s="60"/>
      <c r="R114" s="60"/>
      <c r="S114" s="60"/>
      <c r="T114" s="60"/>
      <c r="U114" s="60"/>
      <c r="V114" s="60"/>
      <c r="W114" s="60"/>
      <c r="X114" s="60"/>
      <c r="Y114" s="60"/>
      <c r="Z114" s="60"/>
      <c r="AA114" s="60"/>
      <c r="AB114" s="60"/>
      <c r="AC114" s="60"/>
      <c r="AD114" s="61"/>
      <c r="AE114" s="61"/>
      <c r="AF114" s="61"/>
      <c r="AG114" s="61"/>
      <c r="AH114" s="61"/>
      <c r="AI114" s="61"/>
      <c r="AJ114" s="60"/>
      <c r="AK114" s="60"/>
      <c r="AL114" s="60"/>
      <c r="AM114" s="60"/>
      <c r="AN114" s="60"/>
      <c r="AO114" s="60"/>
      <c r="AP114" s="88"/>
      <c r="AQ114" s="88"/>
      <c r="AR114" s="88"/>
      <c r="AS114" s="60"/>
      <c r="AT114" s="60"/>
      <c r="AU114" s="60"/>
      <c r="AV114" s="61"/>
      <c r="AW114" s="61"/>
      <c r="AX114" s="61"/>
      <c r="AY114" s="110"/>
      <c r="AZ114" s="110"/>
      <c r="BA114" s="110"/>
    </row>
    <row r="115" spans="1:53" x14ac:dyDescent="0.25">
      <c r="A115" s="27"/>
      <c r="B115" s="111">
        <v>24</v>
      </c>
      <c r="C115" s="634" t="s">
        <v>511</v>
      </c>
      <c r="D115" s="17"/>
      <c r="E115" s="17"/>
      <c r="F115" s="640"/>
      <c r="G115" s="17"/>
      <c r="H115" s="17"/>
      <c r="I115" s="682"/>
      <c r="J115" s="17"/>
      <c r="K115" s="17"/>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3"/>
      <c r="AQ115" s="73"/>
      <c r="AR115" s="73"/>
      <c r="AS115" s="72"/>
      <c r="AT115" s="72"/>
      <c r="AU115" s="72"/>
      <c r="AV115" s="72"/>
      <c r="AW115" s="72"/>
      <c r="AX115" s="72"/>
      <c r="AY115" s="74"/>
      <c r="AZ115" s="74"/>
      <c r="BA115" s="74"/>
    </row>
    <row r="116" spans="1:53" ht="15" x14ac:dyDescent="0.25">
      <c r="A116" s="27"/>
      <c r="B116" s="100"/>
      <c r="C116" s="651"/>
      <c r="D116" s="226"/>
      <c r="E116" s="227">
        <v>78</v>
      </c>
      <c r="F116" s="25" t="s">
        <v>512</v>
      </c>
      <c r="G116" s="25"/>
      <c r="H116" s="25"/>
      <c r="I116" s="701"/>
      <c r="J116" s="25"/>
      <c r="K116" s="25"/>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9"/>
      <c r="AQ116" s="229"/>
      <c r="AR116" s="229"/>
      <c r="AS116" s="228"/>
      <c r="AT116" s="228"/>
      <c r="AU116" s="228"/>
      <c r="AV116" s="228"/>
      <c r="AW116" s="228"/>
      <c r="AX116" s="228"/>
      <c r="AY116" s="230"/>
      <c r="AZ116" s="230"/>
      <c r="BA116" s="230"/>
    </row>
    <row r="117" spans="1:53" ht="69" customHeight="1" x14ac:dyDescent="0.25">
      <c r="A117" s="178"/>
      <c r="B117" s="180"/>
      <c r="C117" s="653">
        <v>13</v>
      </c>
      <c r="D117" s="100" t="s">
        <v>513</v>
      </c>
      <c r="E117" s="194"/>
      <c r="F117" s="182">
        <v>226</v>
      </c>
      <c r="G117" s="641" t="s">
        <v>89</v>
      </c>
      <c r="H117" s="826" t="s">
        <v>514</v>
      </c>
      <c r="I117" s="827" t="s">
        <v>90</v>
      </c>
      <c r="J117" s="828" t="s">
        <v>91</v>
      </c>
      <c r="K117" s="215" t="s">
        <v>466</v>
      </c>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6"/>
      <c r="AO117" s="186"/>
      <c r="AP117" s="185">
        <v>200000000</v>
      </c>
      <c r="AQ117" s="185">
        <v>14797840</v>
      </c>
      <c r="AR117" s="185">
        <v>4870000</v>
      </c>
      <c r="AS117" s="186"/>
      <c r="AT117" s="186"/>
      <c r="AU117" s="186"/>
      <c r="AV117" s="186"/>
      <c r="AW117" s="186"/>
      <c r="AX117" s="186"/>
      <c r="AY117" s="37">
        <f t="shared" ref="AY117:AY121" si="123">+L117+O117+R117+U117+X117+AA117+AD117+AG117+AJ117+AM117+AP117+AS117+AV117</f>
        <v>200000000</v>
      </c>
      <c r="AZ117" s="37">
        <f t="shared" ref="AZ117:AZ121" si="124">+M117+P117+S117+V117+Y117+AB117+AE117+AH117+AK117+AN117+AQ117+AT117+AW117</f>
        <v>14797840</v>
      </c>
      <c r="BA117" s="37">
        <f t="shared" ref="BA117:BA121" si="125">+N117+Q117+T117+W117+Z117+AC117+AF117+AI117+AL117+AO117+AR117+AU117+AX117</f>
        <v>4870000</v>
      </c>
    </row>
    <row r="118" spans="1:53" ht="54.75" customHeight="1" x14ac:dyDescent="0.25">
      <c r="A118" s="27"/>
      <c r="B118" s="30"/>
      <c r="C118" s="653">
        <v>13</v>
      </c>
      <c r="D118" s="100" t="s">
        <v>513</v>
      </c>
      <c r="E118" s="30"/>
      <c r="F118" s="31">
        <v>227</v>
      </c>
      <c r="G118" s="29" t="s">
        <v>92</v>
      </c>
      <c r="H118" s="823"/>
      <c r="I118" s="821"/>
      <c r="J118" s="824"/>
      <c r="K118" s="209" t="s">
        <v>466</v>
      </c>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6"/>
      <c r="AO118" s="36"/>
      <c r="AP118" s="185">
        <v>40000000</v>
      </c>
      <c r="AQ118" s="185">
        <v>4000000</v>
      </c>
      <c r="AR118" s="185">
        <v>2800000</v>
      </c>
      <c r="AS118" s="36"/>
      <c r="AT118" s="36"/>
      <c r="AU118" s="36"/>
      <c r="AV118" s="36"/>
      <c r="AW118" s="36"/>
      <c r="AX118" s="36"/>
      <c r="AY118" s="37">
        <f t="shared" si="123"/>
        <v>40000000</v>
      </c>
      <c r="AZ118" s="37">
        <f t="shared" si="124"/>
        <v>4000000</v>
      </c>
      <c r="BA118" s="37">
        <f t="shared" si="125"/>
        <v>2800000</v>
      </c>
    </row>
    <row r="119" spans="1:53" ht="59.25" customHeight="1" x14ac:dyDescent="0.25">
      <c r="A119" s="27"/>
      <c r="B119" s="30"/>
      <c r="C119" s="653">
        <v>13</v>
      </c>
      <c r="D119" s="100" t="s">
        <v>513</v>
      </c>
      <c r="E119" s="30"/>
      <c r="F119" s="31">
        <v>228</v>
      </c>
      <c r="G119" s="29" t="s">
        <v>93</v>
      </c>
      <c r="H119" s="823"/>
      <c r="I119" s="821"/>
      <c r="J119" s="824"/>
      <c r="K119" s="209" t="s">
        <v>466</v>
      </c>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6"/>
      <c r="AO119" s="36"/>
      <c r="AP119" s="185">
        <v>40000000</v>
      </c>
      <c r="AQ119" s="185">
        <v>2185550</v>
      </c>
      <c r="AR119" s="185">
        <v>2185550</v>
      </c>
      <c r="AS119" s="36"/>
      <c r="AT119" s="36"/>
      <c r="AU119" s="36"/>
      <c r="AV119" s="36"/>
      <c r="AW119" s="36"/>
      <c r="AX119" s="36"/>
      <c r="AY119" s="37">
        <f t="shared" si="123"/>
        <v>40000000</v>
      </c>
      <c r="AZ119" s="37">
        <f t="shared" si="124"/>
        <v>2185550</v>
      </c>
      <c r="BA119" s="37">
        <f t="shared" si="125"/>
        <v>2185550</v>
      </c>
    </row>
    <row r="120" spans="1:53" ht="71.25" customHeight="1" x14ac:dyDescent="0.25">
      <c r="A120" s="178"/>
      <c r="B120" s="180"/>
      <c r="C120" s="653">
        <v>13</v>
      </c>
      <c r="D120" s="100" t="s">
        <v>513</v>
      </c>
      <c r="E120" s="180"/>
      <c r="F120" s="182">
        <v>229</v>
      </c>
      <c r="G120" s="641" t="s">
        <v>94</v>
      </c>
      <c r="H120" s="823"/>
      <c r="I120" s="821"/>
      <c r="J120" s="824"/>
      <c r="K120" s="215" t="s">
        <v>466</v>
      </c>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6"/>
      <c r="AO120" s="186"/>
      <c r="AP120" s="185">
        <f>65000000</f>
        <v>65000000</v>
      </c>
      <c r="AQ120" s="185">
        <v>9400000</v>
      </c>
      <c r="AR120" s="185">
        <v>5757840</v>
      </c>
      <c r="AS120" s="186"/>
      <c r="AT120" s="186"/>
      <c r="AU120" s="186"/>
      <c r="AV120" s="186"/>
      <c r="AW120" s="186"/>
      <c r="AX120" s="186"/>
      <c r="AY120" s="37">
        <f t="shared" si="123"/>
        <v>65000000</v>
      </c>
      <c r="AZ120" s="37">
        <f t="shared" si="124"/>
        <v>9400000</v>
      </c>
      <c r="BA120" s="37">
        <f t="shared" si="125"/>
        <v>5757840</v>
      </c>
    </row>
    <row r="121" spans="1:53" ht="69.75" customHeight="1" x14ac:dyDescent="0.25">
      <c r="A121" s="178"/>
      <c r="B121" s="180"/>
      <c r="C121" s="653">
        <v>13</v>
      </c>
      <c r="D121" s="100" t="s">
        <v>513</v>
      </c>
      <c r="E121" s="180"/>
      <c r="F121" s="182">
        <v>230</v>
      </c>
      <c r="G121" s="641" t="s">
        <v>95</v>
      </c>
      <c r="H121" s="829"/>
      <c r="I121" s="830"/>
      <c r="J121" s="831"/>
      <c r="K121" s="215" t="s">
        <v>466</v>
      </c>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6"/>
      <c r="AO121" s="186"/>
      <c r="AP121" s="185">
        <v>55000000</v>
      </c>
      <c r="AQ121" s="185">
        <v>5000000</v>
      </c>
      <c r="AR121" s="185">
        <v>1200000</v>
      </c>
      <c r="AS121" s="186"/>
      <c r="AT121" s="186"/>
      <c r="AU121" s="186"/>
      <c r="AV121" s="186"/>
      <c r="AW121" s="186"/>
      <c r="AX121" s="186"/>
      <c r="AY121" s="37">
        <f t="shared" si="123"/>
        <v>55000000</v>
      </c>
      <c r="AZ121" s="37">
        <f t="shared" si="124"/>
        <v>5000000</v>
      </c>
      <c r="BA121" s="37">
        <f t="shared" si="125"/>
        <v>1200000</v>
      </c>
    </row>
    <row r="122" spans="1:53" ht="21" customHeight="1" x14ac:dyDescent="0.25">
      <c r="A122" s="27"/>
      <c r="B122" s="30"/>
      <c r="C122" s="28"/>
      <c r="D122" s="29"/>
      <c r="E122" s="40"/>
      <c r="F122" s="41"/>
      <c r="G122" s="40"/>
      <c r="H122" s="231"/>
      <c r="I122" s="685"/>
      <c r="J122" s="40"/>
      <c r="K122" s="41"/>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f t="shared" ref="AP122:AR122" si="126">SUM(AP117:AP121)</f>
        <v>400000000</v>
      </c>
      <c r="AQ122" s="43">
        <f t="shared" si="126"/>
        <v>35383390</v>
      </c>
      <c r="AR122" s="43">
        <f t="shared" si="126"/>
        <v>16813390</v>
      </c>
      <c r="AS122" s="43"/>
      <c r="AT122" s="43"/>
      <c r="AU122" s="43"/>
      <c r="AV122" s="43"/>
      <c r="AW122" s="43"/>
      <c r="AX122" s="43"/>
      <c r="AY122" s="43">
        <f t="shared" ref="AY122:BA122" si="127">SUM(AY117:AY121)</f>
        <v>400000000</v>
      </c>
      <c r="AZ122" s="43">
        <f t="shared" si="127"/>
        <v>35383390</v>
      </c>
      <c r="BA122" s="43">
        <f t="shared" si="127"/>
        <v>16813390</v>
      </c>
    </row>
    <row r="123" spans="1:53" ht="15" x14ac:dyDescent="0.25">
      <c r="A123" s="27"/>
      <c r="B123" s="30"/>
      <c r="C123" s="651"/>
      <c r="D123" s="58"/>
      <c r="E123" s="58"/>
      <c r="F123" s="651"/>
      <c r="G123" s="58"/>
      <c r="H123" s="232"/>
      <c r="I123" s="700"/>
      <c r="J123" s="108"/>
      <c r="K123" s="651"/>
      <c r="L123" s="60"/>
      <c r="M123" s="60"/>
      <c r="N123" s="60"/>
      <c r="O123" s="60"/>
      <c r="P123" s="60"/>
      <c r="Q123" s="60"/>
      <c r="R123" s="60"/>
      <c r="S123" s="60"/>
      <c r="T123" s="60"/>
      <c r="U123" s="60"/>
      <c r="V123" s="60"/>
      <c r="W123" s="60"/>
      <c r="X123" s="60"/>
      <c r="Y123" s="60"/>
      <c r="Z123" s="60"/>
      <c r="AA123" s="60"/>
      <c r="AB123" s="60"/>
      <c r="AC123" s="60"/>
      <c r="AD123" s="61"/>
      <c r="AE123" s="61"/>
      <c r="AF123" s="61"/>
      <c r="AG123" s="61"/>
      <c r="AH123" s="255"/>
      <c r="AI123" s="255"/>
      <c r="AJ123" s="233"/>
      <c r="AK123" s="233"/>
      <c r="AL123" s="233"/>
      <c r="AM123" s="233"/>
      <c r="AN123" s="233"/>
      <c r="AO123" s="233"/>
      <c r="AP123" s="234"/>
      <c r="AQ123" s="234"/>
      <c r="AR123" s="234"/>
      <c r="AS123" s="60"/>
      <c r="AT123" s="60"/>
      <c r="AU123" s="60"/>
      <c r="AV123" s="61"/>
      <c r="AW123" s="61"/>
      <c r="AX123" s="61"/>
      <c r="AY123" s="110"/>
      <c r="AZ123" s="110"/>
      <c r="BA123" s="110"/>
    </row>
    <row r="124" spans="1:53" ht="21" customHeight="1" x14ac:dyDescent="0.25">
      <c r="A124" s="27"/>
      <c r="B124" s="30"/>
      <c r="C124" s="28"/>
      <c r="D124" s="29"/>
      <c r="E124" s="191">
        <v>79</v>
      </c>
      <c r="F124" s="221" t="s">
        <v>515</v>
      </c>
      <c r="G124" s="78"/>
      <c r="H124" s="78"/>
      <c r="I124" s="222"/>
      <c r="J124" s="78"/>
      <c r="K124" s="78"/>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6"/>
      <c r="AQ124" s="236"/>
      <c r="AR124" s="236"/>
      <c r="AS124" s="235"/>
      <c r="AT124" s="235"/>
      <c r="AU124" s="235"/>
      <c r="AV124" s="235"/>
      <c r="AW124" s="235"/>
      <c r="AX124" s="235"/>
      <c r="AY124" s="81"/>
      <c r="AZ124" s="81"/>
      <c r="BA124" s="81"/>
    </row>
    <row r="125" spans="1:53" ht="83.25" customHeight="1" x14ac:dyDescent="0.25">
      <c r="A125" s="178"/>
      <c r="B125" s="180"/>
      <c r="C125" s="237">
        <v>13</v>
      </c>
      <c r="D125" s="194" t="s">
        <v>513</v>
      </c>
      <c r="E125" s="194"/>
      <c r="F125" s="182">
        <v>231</v>
      </c>
      <c r="G125" s="641" t="s">
        <v>96</v>
      </c>
      <c r="H125" s="835" t="s">
        <v>514</v>
      </c>
      <c r="I125" s="842" t="s">
        <v>97</v>
      </c>
      <c r="J125" s="843" t="s">
        <v>98</v>
      </c>
      <c r="K125" s="182" t="s">
        <v>466</v>
      </c>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6"/>
      <c r="AO125" s="186"/>
      <c r="AP125" s="185">
        <f>45000000+48000000</f>
        <v>93000000</v>
      </c>
      <c r="AQ125" s="185">
        <v>16584001</v>
      </c>
      <c r="AR125" s="185">
        <v>6584667</v>
      </c>
      <c r="AS125" s="186"/>
      <c r="AT125" s="186"/>
      <c r="AU125" s="186"/>
      <c r="AV125" s="186"/>
      <c r="AW125" s="186"/>
      <c r="AX125" s="186"/>
      <c r="AY125" s="37">
        <f t="shared" ref="AY125:AY126" si="128">+L125+O125+R125+U125+X125+AA125+AD125+AG125+AJ125+AM125+AP125+AS125+AV125</f>
        <v>93000000</v>
      </c>
      <c r="AZ125" s="37">
        <f t="shared" ref="AZ125:AZ126" si="129">+M125+P125+S125+V125+Y125+AB125+AE125+AH125+AK125+AN125+AQ125+AT125+AW125</f>
        <v>16584001</v>
      </c>
      <c r="BA125" s="37">
        <f t="shared" ref="BA125:BA126" si="130">+N125+Q125+T125+W125+Z125+AC125+AF125+AI125+AL125+AO125+AR125+AU125+AX125</f>
        <v>6584667</v>
      </c>
    </row>
    <row r="126" spans="1:53" ht="51.75" customHeight="1" x14ac:dyDescent="0.25">
      <c r="A126" s="178"/>
      <c r="B126" s="180"/>
      <c r="C126" s="237">
        <v>13</v>
      </c>
      <c r="D126" s="194" t="s">
        <v>513</v>
      </c>
      <c r="E126" s="180"/>
      <c r="F126" s="182">
        <v>233</v>
      </c>
      <c r="G126" s="641" t="s">
        <v>99</v>
      </c>
      <c r="H126" s="837"/>
      <c r="I126" s="839"/>
      <c r="J126" s="841"/>
      <c r="K126" s="182" t="s">
        <v>466</v>
      </c>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6"/>
      <c r="AO126" s="186"/>
      <c r="AP126" s="185">
        <v>12000000</v>
      </c>
      <c r="AQ126" s="185">
        <v>1733333</v>
      </c>
      <c r="AR126" s="185"/>
      <c r="AS126" s="186"/>
      <c r="AT126" s="186"/>
      <c r="AU126" s="186"/>
      <c r="AV126" s="186"/>
      <c r="AW126" s="186"/>
      <c r="AX126" s="186"/>
      <c r="AY126" s="37">
        <f t="shared" si="128"/>
        <v>12000000</v>
      </c>
      <c r="AZ126" s="37">
        <f t="shared" si="129"/>
        <v>1733333</v>
      </c>
      <c r="BA126" s="37">
        <f t="shared" si="130"/>
        <v>0</v>
      </c>
    </row>
    <row r="127" spans="1:53" ht="21" customHeight="1" x14ac:dyDescent="0.25">
      <c r="A127" s="27"/>
      <c r="B127" s="30"/>
      <c r="C127" s="28"/>
      <c r="D127" s="29"/>
      <c r="E127" s="40"/>
      <c r="F127" s="41"/>
      <c r="G127" s="40"/>
      <c r="H127" s="42"/>
      <c r="I127" s="685"/>
      <c r="J127" s="40"/>
      <c r="K127" s="41"/>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f>SUM(AP125:AP126)</f>
        <v>105000000</v>
      </c>
      <c r="AQ127" s="43">
        <f t="shared" ref="AQ127:AR127" si="131">SUM(AQ125:AQ126)</f>
        <v>18317334</v>
      </c>
      <c r="AR127" s="43">
        <f t="shared" si="131"/>
        <v>6584667</v>
      </c>
      <c r="AS127" s="43">
        <f>SUM(AS125:AS126)</f>
        <v>0</v>
      </c>
      <c r="AT127" s="43"/>
      <c r="AU127" s="43"/>
      <c r="AV127" s="43">
        <f>SUM(AV125:AV126)</f>
        <v>0</v>
      </c>
      <c r="AW127" s="43"/>
      <c r="AX127" s="43"/>
      <c r="AY127" s="43">
        <f>SUM(AY125:AY126)</f>
        <v>105000000</v>
      </c>
      <c r="AZ127" s="43">
        <f t="shared" ref="AZ127:BA127" si="132">SUM(AZ125:AZ126)</f>
        <v>18317334</v>
      </c>
      <c r="BA127" s="43">
        <f t="shared" si="132"/>
        <v>6584667</v>
      </c>
    </row>
    <row r="128" spans="1:53" ht="20.25" customHeight="1" x14ac:dyDescent="0.25">
      <c r="A128" s="27"/>
      <c r="B128" s="45"/>
      <c r="C128" s="208"/>
      <c r="D128" s="45"/>
      <c r="E128" s="45"/>
      <c r="F128" s="46"/>
      <c r="G128" s="45"/>
      <c r="H128" s="47"/>
      <c r="I128" s="686"/>
      <c r="J128" s="45"/>
      <c r="K128" s="46"/>
      <c r="L128" s="48"/>
      <c r="M128" s="48"/>
      <c r="N128" s="48"/>
      <c r="O128" s="48">
        <f>O127+O122</f>
        <v>0</v>
      </c>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f>AP127+AP122</f>
        <v>505000000</v>
      </c>
      <c r="AQ128" s="48">
        <f t="shared" ref="AQ128:AR128" si="133">AQ127+AQ122</f>
        <v>53700724</v>
      </c>
      <c r="AR128" s="48">
        <f t="shared" si="133"/>
        <v>23398057</v>
      </c>
      <c r="AS128" s="48">
        <f t="shared" ref="AS128:AY128" si="134">AS127+AS122</f>
        <v>0</v>
      </c>
      <c r="AT128" s="48"/>
      <c r="AU128" s="48"/>
      <c r="AV128" s="48">
        <f t="shared" si="134"/>
        <v>0</v>
      </c>
      <c r="AW128" s="48"/>
      <c r="AX128" s="48"/>
      <c r="AY128" s="48">
        <f t="shared" si="134"/>
        <v>505000000</v>
      </c>
      <c r="AZ128" s="48">
        <f t="shared" ref="AZ128:BA128" si="135">AZ127+AZ122</f>
        <v>53700724</v>
      </c>
      <c r="BA128" s="48">
        <f t="shared" si="135"/>
        <v>23398057</v>
      </c>
    </row>
    <row r="129" spans="1:53" ht="15" x14ac:dyDescent="0.25">
      <c r="A129" s="27"/>
      <c r="B129" s="29"/>
      <c r="C129" s="651"/>
      <c r="D129" s="58"/>
      <c r="E129" s="58"/>
      <c r="F129" s="651"/>
      <c r="G129" s="58"/>
      <c r="H129" s="216"/>
      <c r="I129" s="700"/>
      <c r="J129" s="108"/>
      <c r="K129" s="651"/>
      <c r="L129" s="60"/>
      <c r="M129" s="60"/>
      <c r="N129" s="60"/>
      <c r="O129" s="60"/>
      <c r="P129" s="60"/>
      <c r="Q129" s="60"/>
      <c r="R129" s="60"/>
      <c r="S129" s="60"/>
      <c r="T129" s="60"/>
      <c r="U129" s="60"/>
      <c r="V129" s="60"/>
      <c r="W129" s="60"/>
      <c r="X129" s="60"/>
      <c r="Y129" s="60"/>
      <c r="Z129" s="60"/>
      <c r="AA129" s="60"/>
      <c r="AB129" s="60"/>
      <c r="AC129" s="60"/>
      <c r="AD129" s="61"/>
      <c r="AE129" s="61"/>
      <c r="AF129" s="61"/>
      <c r="AG129" s="61"/>
      <c r="AH129" s="255"/>
      <c r="AI129" s="255"/>
      <c r="AJ129" s="233"/>
      <c r="AK129" s="233"/>
      <c r="AL129" s="233"/>
      <c r="AM129" s="233"/>
      <c r="AN129" s="233"/>
      <c r="AO129" s="233"/>
      <c r="AP129" s="234"/>
      <c r="AQ129" s="234"/>
      <c r="AR129" s="234"/>
      <c r="AS129" s="60"/>
      <c r="AT129" s="60"/>
      <c r="AU129" s="60"/>
      <c r="AV129" s="61"/>
      <c r="AW129" s="63"/>
      <c r="AX129" s="63"/>
      <c r="AY129" s="64"/>
      <c r="AZ129" s="64"/>
      <c r="BA129" s="64"/>
    </row>
    <row r="130" spans="1:53" x14ac:dyDescent="0.25">
      <c r="A130" s="27"/>
      <c r="B130" s="111">
        <v>25</v>
      </c>
      <c r="C130" s="238" t="s">
        <v>516</v>
      </c>
      <c r="D130" s="239"/>
      <c r="E130" s="239"/>
      <c r="F130" s="240"/>
      <c r="G130" s="239"/>
      <c r="H130" s="239"/>
      <c r="I130" s="702"/>
      <c r="J130" s="239"/>
      <c r="K130" s="239"/>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2"/>
      <c r="AQ130" s="242"/>
      <c r="AR130" s="242"/>
      <c r="AS130" s="241"/>
      <c r="AT130" s="241"/>
      <c r="AU130" s="241"/>
      <c r="AV130" s="241"/>
      <c r="AW130" s="241"/>
      <c r="AX130" s="241"/>
      <c r="AY130" s="243"/>
      <c r="AZ130" s="243"/>
      <c r="BA130" s="243"/>
    </row>
    <row r="131" spans="1:53" ht="15" x14ac:dyDescent="0.25">
      <c r="A131" s="27"/>
      <c r="B131" s="71"/>
      <c r="C131" s="244"/>
      <c r="D131" s="245"/>
      <c r="E131" s="76">
        <v>81</v>
      </c>
      <c r="F131" s="77" t="s">
        <v>517</v>
      </c>
      <c r="G131" s="77"/>
      <c r="H131" s="77"/>
      <c r="I131" s="222"/>
      <c r="J131" s="77"/>
      <c r="K131" s="78"/>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80"/>
      <c r="AQ131" s="80"/>
      <c r="AR131" s="80"/>
      <c r="AS131" s="79"/>
      <c r="AT131" s="79"/>
      <c r="AU131" s="79"/>
      <c r="AV131" s="79"/>
      <c r="AW131" s="79"/>
      <c r="AX131" s="79"/>
      <c r="AY131" s="81"/>
      <c r="AZ131" s="81"/>
      <c r="BA131" s="81"/>
    </row>
    <row r="132" spans="1:53" ht="50.25" customHeight="1" x14ac:dyDescent="0.25">
      <c r="A132" s="27"/>
      <c r="B132" s="27"/>
      <c r="C132" s="246">
        <v>38</v>
      </c>
      <c r="D132" s="247" t="s">
        <v>464</v>
      </c>
      <c r="E132" s="100"/>
      <c r="F132" s="31">
        <v>236</v>
      </c>
      <c r="G132" s="29" t="s">
        <v>100</v>
      </c>
      <c r="H132" s="826" t="s">
        <v>518</v>
      </c>
      <c r="I132" s="827" t="s">
        <v>101</v>
      </c>
      <c r="J132" s="828" t="s">
        <v>102</v>
      </c>
      <c r="K132" s="31" t="s">
        <v>477</v>
      </c>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6"/>
      <c r="AI132" s="36"/>
      <c r="AJ132" s="36"/>
      <c r="AK132" s="36"/>
      <c r="AL132" s="36"/>
      <c r="AM132" s="36"/>
      <c r="AN132" s="36"/>
      <c r="AO132" s="36"/>
      <c r="AP132" s="185">
        <f>100000000-86599999</f>
        <v>13400001</v>
      </c>
      <c r="AQ132" s="185">
        <v>7466667</v>
      </c>
      <c r="AR132" s="185">
        <v>2800000</v>
      </c>
      <c r="AS132" s="36"/>
      <c r="AT132" s="36"/>
      <c r="AU132" s="36"/>
      <c r="AV132" s="36"/>
      <c r="AW132" s="36"/>
      <c r="AX132" s="36"/>
      <c r="AY132" s="37">
        <f t="shared" ref="AY132:AY135" si="136">+L132+O132+R132+U132+X132+AA132+AD132+AG132+AJ132+AM132+AP132+AS132+AV132</f>
        <v>13400001</v>
      </c>
      <c r="AZ132" s="37">
        <f t="shared" ref="AZ132:AZ135" si="137">+M132+P132+S132+V132+Y132+AB132+AE132+AH132+AK132+AN132+AQ132+AT132+AW132</f>
        <v>7466667</v>
      </c>
      <c r="BA132" s="37">
        <f t="shared" ref="BA132:BA135" si="138">+N132+Q132+T132+W132+Z132+AC132+AF132+AI132+AL132+AO132+AR132+AU132+AX132</f>
        <v>2800000</v>
      </c>
    </row>
    <row r="133" spans="1:53" ht="90.75" customHeight="1" x14ac:dyDescent="0.25">
      <c r="A133" s="27"/>
      <c r="B133" s="27"/>
      <c r="C133" s="246">
        <v>38</v>
      </c>
      <c r="D133" s="247" t="s">
        <v>464</v>
      </c>
      <c r="E133" s="30"/>
      <c r="F133" s="31">
        <v>238</v>
      </c>
      <c r="G133" s="29" t="s">
        <v>103</v>
      </c>
      <c r="H133" s="823"/>
      <c r="I133" s="821"/>
      <c r="J133" s="824"/>
      <c r="K133" s="31" t="s">
        <v>466</v>
      </c>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6"/>
      <c r="AI133" s="36"/>
      <c r="AJ133" s="36"/>
      <c r="AK133" s="36"/>
      <c r="AL133" s="36"/>
      <c r="AM133" s="36"/>
      <c r="AN133" s="36"/>
      <c r="AO133" s="36"/>
      <c r="AP133" s="185">
        <f>75000000+10000000-21266666-25000000-15000000-5000000-15000000</f>
        <v>3733334</v>
      </c>
      <c r="AQ133" s="185">
        <v>3733334</v>
      </c>
      <c r="AR133" s="185">
        <v>1777778</v>
      </c>
      <c r="AS133" s="36"/>
      <c r="AT133" s="36"/>
      <c r="AU133" s="36"/>
      <c r="AV133" s="36"/>
      <c r="AW133" s="36"/>
      <c r="AX133" s="36"/>
      <c r="AY133" s="37">
        <f t="shared" si="136"/>
        <v>3733334</v>
      </c>
      <c r="AZ133" s="37">
        <f t="shared" si="137"/>
        <v>3733334</v>
      </c>
      <c r="BA133" s="37">
        <f t="shared" si="138"/>
        <v>1777778</v>
      </c>
    </row>
    <row r="134" spans="1:53" ht="60" customHeight="1" x14ac:dyDescent="0.25">
      <c r="A134" s="27"/>
      <c r="B134" s="27"/>
      <c r="C134" s="246">
        <v>38</v>
      </c>
      <c r="D134" s="247" t="s">
        <v>464</v>
      </c>
      <c r="E134" s="30"/>
      <c r="F134" s="31">
        <v>239</v>
      </c>
      <c r="G134" s="29" t="s">
        <v>104</v>
      </c>
      <c r="H134" s="823"/>
      <c r="I134" s="821"/>
      <c r="J134" s="824"/>
      <c r="K134" s="31" t="s">
        <v>477</v>
      </c>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6"/>
      <c r="AI134" s="36"/>
      <c r="AJ134" s="36"/>
      <c r="AK134" s="36"/>
      <c r="AL134" s="36"/>
      <c r="AM134" s="36"/>
      <c r="AN134" s="36"/>
      <c r="AO134" s="36"/>
      <c r="AP134" s="185">
        <f>100000000-20000000-74764001</f>
        <v>5235999</v>
      </c>
      <c r="AQ134" s="185">
        <v>5235999</v>
      </c>
      <c r="AR134" s="185">
        <v>1400000</v>
      </c>
      <c r="AS134" s="36"/>
      <c r="AT134" s="36"/>
      <c r="AU134" s="36"/>
      <c r="AV134" s="36"/>
      <c r="AW134" s="36"/>
      <c r="AX134" s="36"/>
      <c r="AY134" s="37">
        <f t="shared" si="136"/>
        <v>5235999</v>
      </c>
      <c r="AZ134" s="37">
        <f t="shared" si="137"/>
        <v>5235999</v>
      </c>
      <c r="BA134" s="37">
        <f t="shared" si="138"/>
        <v>1400000</v>
      </c>
    </row>
    <row r="135" spans="1:53" ht="56.25" customHeight="1" x14ac:dyDescent="0.25">
      <c r="A135" s="178"/>
      <c r="B135" s="178"/>
      <c r="C135" s="246">
        <v>38</v>
      </c>
      <c r="D135" s="247" t="s">
        <v>464</v>
      </c>
      <c r="E135" s="180"/>
      <c r="F135" s="182">
        <v>240</v>
      </c>
      <c r="G135" s="641" t="s">
        <v>105</v>
      </c>
      <c r="H135" s="829"/>
      <c r="I135" s="830"/>
      <c r="J135" s="831"/>
      <c r="K135" s="182" t="s">
        <v>466</v>
      </c>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6"/>
      <c r="AI135" s="186"/>
      <c r="AJ135" s="186"/>
      <c r="AK135" s="186"/>
      <c r="AL135" s="186"/>
      <c r="AM135" s="186"/>
      <c r="AN135" s="186"/>
      <c r="AO135" s="186"/>
      <c r="AP135" s="185">
        <f>300000000-227948932</f>
        <v>72051068</v>
      </c>
      <c r="AQ135" s="185">
        <v>59958667</v>
      </c>
      <c r="AR135" s="185">
        <v>30625555</v>
      </c>
      <c r="AS135" s="186"/>
      <c r="AT135" s="186"/>
      <c r="AU135" s="186"/>
      <c r="AV135" s="186"/>
      <c r="AW135" s="186"/>
      <c r="AX135" s="186"/>
      <c r="AY135" s="37">
        <f t="shared" si="136"/>
        <v>72051068</v>
      </c>
      <c r="AZ135" s="37">
        <f t="shared" si="137"/>
        <v>59958667</v>
      </c>
      <c r="BA135" s="37">
        <f t="shared" si="138"/>
        <v>30625555</v>
      </c>
    </row>
    <row r="136" spans="1:53" ht="15" x14ac:dyDescent="0.25">
      <c r="A136" s="27"/>
      <c r="B136" s="27"/>
      <c r="C136" s="28"/>
      <c r="D136" s="29"/>
      <c r="E136" s="40"/>
      <c r="F136" s="41"/>
      <c r="G136" s="40"/>
      <c r="H136" s="42"/>
      <c r="I136" s="685"/>
      <c r="J136" s="40"/>
      <c r="K136" s="41"/>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f>SUM(AP132:AP135)</f>
        <v>94420402</v>
      </c>
      <c r="AQ136" s="43">
        <f t="shared" ref="AQ136:AR136" si="139">SUM(AQ132:AQ135)</f>
        <v>76394667</v>
      </c>
      <c r="AR136" s="43">
        <f t="shared" si="139"/>
        <v>36603333</v>
      </c>
      <c r="AS136" s="43">
        <f>SUM(AS132:AS135)</f>
        <v>0</v>
      </c>
      <c r="AT136" s="43"/>
      <c r="AU136" s="43"/>
      <c r="AV136" s="43">
        <f>SUM(AV132:AV135)</f>
        <v>0</v>
      </c>
      <c r="AW136" s="43"/>
      <c r="AX136" s="43"/>
      <c r="AY136" s="43">
        <f>SUM(AY132:AY135)</f>
        <v>94420402</v>
      </c>
      <c r="AZ136" s="43">
        <f t="shared" ref="AZ136:BA136" si="140">SUM(AZ132:AZ135)</f>
        <v>76394667</v>
      </c>
      <c r="BA136" s="43">
        <f t="shared" si="140"/>
        <v>36603333</v>
      </c>
    </row>
    <row r="137" spans="1:53" ht="15" x14ac:dyDescent="0.25">
      <c r="A137" s="27"/>
      <c r="B137" s="27"/>
      <c r="C137" s="651"/>
      <c r="D137" s="58"/>
      <c r="E137" s="58"/>
      <c r="F137" s="651"/>
      <c r="G137" s="58"/>
      <c r="H137" s="216"/>
      <c r="I137" s="700"/>
      <c r="J137" s="108"/>
      <c r="K137" s="651"/>
      <c r="L137" s="60"/>
      <c r="M137" s="60"/>
      <c r="N137" s="60"/>
      <c r="O137" s="60"/>
      <c r="P137" s="60"/>
      <c r="Q137" s="60"/>
      <c r="R137" s="60"/>
      <c r="S137" s="60"/>
      <c r="T137" s="60"/>
      <c r="U137" s="60"/>
      <c r="V137" s="60"/>
      <c r="W137" s="60"/>
      <c r="X137" s="60"/>
      <c r="Y137" s="60"/>
      <c r="Z137" s="60"/>
      <c r="AA137" s="60"/>
      <c r="AB137" s="60"/>
      <c r="AC137" s="60"/>
      <c r="AD137" s="61"/>
      <c r="AE137" s="61"/>
      <c r="AF137" s="61"/>
      <c r="AG137" s="61"/>
      <c r="AH137" s="63"/>
      <c r="AI137" s="63"/>
      <c r="AJ137" s="145"/>
      <c r="AK137" s="145"/>
      <c r="AL137" s="145"/>
      <c r="AM137" s="145"/>
      <c r="AN137" s="145"/>
      <c r="AO137" s="145"/>
      <c r="AP137" s="248"/>
      <c r="AQ137" s="248"/>
      <c r="AR137" s="248"/>
      <c r="AS137" s="60"/>
      <c r="AT137" s="60"/>
      <c r="AU137" s="60"/>
      <c r="AV137" s="61"/>
      <c r="AW137" s="61"/>
      <c r="AX137" s="61"/>
      <c r="AY137" s="110"/>
      <c r="AZ137" s="110"/>
      <c r="BA137" s="110"/>
    </row>
    <row r="138" spans="1:53" x14ac:dyDescent="0.25">
      <c r="A138" s="27"/>
      <c r="B138" s="27"/>
      <c r="C138" s="28"/>
      <c r="D138" s="29"/>
      <c r="E138" s="76">
        <v>82</v>
      </c>
      <c r="F138" s="77" t="s">
        <v>519</v>
      </c>
      <c r="G138" s="78"/>
      <c r="H138" s="78"/>
      <c r="I138" s="690"/>
      <c r="J138" s="78"/>
      <c r="K138" s="78"/>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80"/>
      <c r="AQ138" s="80"/>
      <c r="AR138" s="80"/>
      <c r="AS138" s="79"/>
      <c r="AT138" s="79"/>
      <c r="AU138" s="79"/>
      <c r="AV138" s="79"/>
      <c r="AW138" s="79"/>
      <c r="AX138" s="79"/>
      <c r="AY138" s="81"/>
      <c r="AZ138" s="81"/>
      <c r="BA138" s="81"/>
    </row>
    <row r="139" spans="1:53" ht="68.25" customHeight="1" x14ac:dyDescent="0.25">
      <c r="A139" s="27"/>
      <c r="B139" s="27"/>
      <c r="C139" s="246">
        <v>38</v>
      </c>
      <c r="D139" s="247" t="s">
        <v>464</v>
      </c>
      <c r="E139" s="647"/>
      <c r="F139" s="31">
        <v>242</v>
      </c>
      <c r="G139" s="29" t="s">
        <v>106</v>
      </c>
      <c r="H139" s="638" t="s">
        <v>520</v>
      </c>
      <c r="I139" s="668" t="s">
        <v>107</v>
      </c>
      <c r="J139" s="639" t="s">
        <v>108</v>
      </c>
      <c r="K139" s="31" t="s">
        <v>466</v>
      </c>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6"/>
      <c r="AO139" s="36"/>
      <c r="AP139" s="35">
        <f>55000000+30000000-80000000</f>
        <v>5000000</v>
      </c>
      <c r="AQ139" s="35">
        <v>5000000</v>
      </c>
      <c r="AR139" s="35"/>
      <c r="AS139" s="36"/>
      <c r="AT139" s="36"/>
      <c r="AU139" s="36"/>
      <c r="AV139" s="36"/>
      <c r="AW139" s="36"/>
      <c r="AX139" s="36"/>
      <c r="AY139" s="37">
        <f t="shared" ref="AY139" si="141">+L139+O139+R139+U139+X139+AA139+AD139+AG139+AJ139+AM139+AP139+AS139+AV139</f>
        <v>5000000</v>
      </c>
      <c r="AZ139" s="37">
        <f t="shared" ref="AZ139" si="142">+M139+P139+S139+V139+Y139+AB139+AE139+AH139+AK139+AN139+AQ139+AT139+AW139</f>
        <v>5000000</v>
      </c>
      <c r="BA139" s="37">
        <f t="shared" ref="BA139" si="143">+N139+Q139+T139+W139+Z139+AC139+AF139+AI139+AL139+AO139+AR139+AU139+AX139</f>
        <v>0</v>
      </c>
    </row>
    <row r="140" spans="1:53" ht="15" x14ac:dyDescent="0.25">
      <c r="A140" s="27"/>
      <c r="B140" s="39"/>
      <c r="C140" s="28"/>
      <c r="D140" s="29"/>
      <c r="E140" s="102"/>
      <c r="F140" s="103"/>
      <c r="G140" s="40"/>
      <c r="H140" s="42"/>
      <c r="I140" s="685"/>
      <c r="J140" s="40"/>
      <c r="K140" s="41"/>
      <c r="L140" s="43"/>
      <c r="M140" s="43"/>
      <c r="N140" s="43"/>
      <c r="O140" s="43">
        <f>SUM(O139:O139)</f>
        <v>0</v>
      </c>
      <c r="P140" s="43">
        <f t="shared" ref="P140:Q140" si="144">SUM(P139:P139)</f>
        <v>0</v>
      </c>
      <c r="Q140" s="43">
        <f t="shared" si="144"/>
        <v>0</v>
      </c>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f>SUM(AP139:AP139)</f>
        <v>5000000</v>
      </c>
      <c r="AQ140" s="43">
        <f t="shared" ref="AQ140:AR140" si="145">SUM(AQ139:AQ139)</f>
        <v>5000000</v>
      </c>
      <c r="AR140" s="43">
        <f t="shared" si="145"/>
        <v>0</v>
      </c>
      <c r="AS140" s="43">
        <f>SUM(AS139:AS139)</f>
        <v>0</v>
      </c>
      <c r="AT140" s="43"/>
      <c r="AU140" s="43"/>
      <c r="AV140" s="43">
        <f>SUM(AV139:AV139)</f>
        <v>0</v>
      </c>
      <c r="AW140" s="43"/>
      <c r="AX140" s="43"/>
      <c r="AY140" s="43">
        <f>SUM(AY139:AY139)</f>
        <v>5000000</v>
      </c>
      <c r="AZ140" s="43">
        <f t="shared" ref="AZ140:BA140" si="146">SUM(AZ139:AZ139)</f>
        <v>5000000</v>
      </c>
      <c r="BA140" s="43">
        <f t="shared" si="146"/>
        <v>0</v>
      </c>
    </row>
    <row r="141" spans="1:53" ht="21" customHeight="1" x14ac:dyDescent="0.25">
      <c r="A141" s="39"/>
      <c r="B141" s="45"/>
      <c r="C141" s="208"/>
      <c r="D141" s="45"/>
      <c r="E141" s="106"/>
      <c r="F141" s="107"/>
      <c r="G141" s="45"/>
      <c r="H141" s="47"/>
      <c r="I141" s="686"/>
      <c r="J141" s="45"/>
      <c r="K141" s="46"/>
      <c r="L141" s="48"/>
      <c r="M141" s="48"/>
      <c r="N141" s="48"/>
      <c r="O141" s="48">
        <f>O140+O136</f>
        <v>0</v>
      </c>
      <c r="P141" s="48">
        <f t="shared" ref="P141:Q141" si="147">P140+P136</f>
        <v>0</v>
      </c>
      <c r="Q141" s="48">
        <f t="shared" si="147"/>
        <v>0</v>
      </c>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f>AP140+AP136</f>
        <v>99420402</v>
      </c>
      <c r="AQ141" s="48">
        <f t="shared" ref="AQ141:AR141" si="148">AQ140+AQ136</f>
        <v>81394667</v>
      </c>
      <c r="AR141" s="48">
        <f t="shared" si="148"/>
        <v>36603333</v>
      </c>
      <c r="AS141" s="48">
        <f>AS140+AS136</f>
        <v>0</v>
      </c>
      <c r="AT141" s="48"/>
      <c r="AU141" s="48"/>
      <c r="AV141" s="48">
        <f>AV140+AV136</f>
        <v>0</v>
      </c>
      <c r="AW141" s="48"/>
      <c r="AX141" s="48"/>
      <c r="AY141" s="48">
        <f>AY140+AY136</f>
        <v>99420402</v>
      </c>
      <c r="AZ141" s="48">
        <f t="shared" ref="AZ141:BA141" si="149">AZ140+AZ136</f>
        <v>81394667</v>
      </c>
      <c r="BA141" s="48">
        <f t="shared" si="149"/>
        <v>36603333</v>
      </c>
    </row>
    <row r="142" spans="1:53" ht="17.25" customHeight="1" x14ac:dyDescent="0.25">
      <c r="A142" s="49"/>
      <c r="B142" s="49"/>
      <c r="C142" s="50"/>
      <c r="D142" s="49"/>
      <c r="E142" s="249"/>
      <c r="F142" s="250"/>
      <c r="G142" s="49"/>
      <c r="H142" s="51"/>
      <c r="I142" s="687"/>
      <c r="J142" s="49"/>
      <c r="K142" s="50"/>
      <c r="L142" s="52"/>
      <c r="M142" s="52"/>
      <c r="N142" s="52"/>
      <c r="O142" s="52">
        <f>O141+O128+O113</f>
        <v>1760000000</v>
      </c>
      <c r="P142" s="52">
        <f t="shared" ref="P142:Q142" si="150">P141+P128+P113</f>
        <v>18600000</v>
      </c>
      <c r="Q142" s="52">
        <f t="shared" si="150"/>
        <v>0</v>
      </c>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f>AP141+AP128+AP113</f>
        <v>844420402</v>
      </c>
      <c r="AQ142" s="52">
        <f t="shared" ref="AQ142:AR142" si="151">AQ141+AQ128+AQ113</f>
        <v>147535391</v>
      </c>
      <c r="AR142" s="52">
        <f t="shared" si="151"/>
        <v>65601390</v>
      </c>
      <c r="AS142" s="52">
        <f>AS141+AS128+AS113</f>
        <v>0</v>
      </c>
      <c r="AT142" s="52"/>
      <c r="AU142" s="52"/>
      <c r="AV142" s="52">
        <f>AV141+AV128+AV113</f>
        <v>0</v>
      </c>
      <c r="AW142" s="52"/>
      <c r="AX142" s="52"/>
      <c r="AY142" s="52">
        <f>AY141+AY128+AY113</f>
        <v>2604420402</v>
      </c>
      <c r="AZ142" s="52">
        <f t="shared" ref="AZ142:BA142" si="152">AZ141+AZ128+AZ113</f>
        <v>166135391</v>
      </c>
      <c r="BA142" s="52">
        <f t="shared" si="152"/>
        <v>65601390</v>
      </c>
    </row>
    <row r="143" spans="1:53" ht="15" x14ac:dyDescent="0.25">
      <c r="A143" s="57"/>
      <c r="B143" s="58"/>
      <c r="C143" s="651"/>
      <c r="D143" s="58"/>
      <c r="E143" s="108"/>
      <c r="F143" s="109"/>
      <c r="G143" s="58"/>
      <c r="H143" s="216"/>
      <c r="I143" s="700"/>
      <c r="J143" s="108"/>
      <c r="K143" s="651"/>
      <c r="L143" s="60"/>
      <c r="M143" s="60"/>
      <c r="N143" s="60"/>
      <c r="O143" s="60"/>
      <c r="P143" s="60"/>
      <c r="Q143" s="60"/>
      <c r="R143" s="60"/>
      <c r="S143" s="60"/>
      <c r="T143" s="60"/>
      <c r="U143" s="60"/>
      <c r="V143" s="60"/>
      <c r="W143" s="60"/>
      <c r="X143" s="60"/>
      <c r="Y143" s="60"/>
      <c r="Z143" s="60"/>
      <c r="AA143" s="60"/>
      <c r="AB143" s="60"/>
      <c r="AC143" s="60"/>
      <c r="AD143" s="61"/>
      <c r="AE143" s="61"/>
      <c r="AF143" s="61"/>
      <c r="AG143" s="61"/>
      <c r="AH143" s="61"/>
      <c r="AI143" s="61"/>
      <c r="AJ143" s="60"/>
      <c r="AK143" s="60"/>
      <c r="AL143" s="60"/>
      <c r="AM143" s="60"/>
      <c r="AN143" s="60"/>
      <c r="AO143" s="60"/>
      <c r="AP143" s="88"/>
      <c r="AQ143" s="88"/>
      <c r="AR143" s="88"/>
      <c r="AS143" s="60"/>
      <c r="AT143" s="60"/>
      <c r="AU143" s="60"/>
      <c r="AV143" s="61"/>
      <c r="AW143" s="63"/>
      <c r="AX143" s="63"/>
      <c r="AY143" s="64"/>
      <c r="AZ143" s="64"/>
      <c r="BA143" s="64"/>
    </row>
    <row r="144" spans="1:53" x14ac:dyDescent="0.25">
      <c r="A144" s="251">
        <v>5</v>
      </c>
      <c r="B144" s="13" t="s">
        <v>461</v>
      </c>
      <c r="C144" s="14"/>
      <c r="D144" s="13"/>
      <c r="E144" s="13"/>
      <c r="F144" s="14"/>
      <c r="G144" s="13"/>
      <c r="H144" s="13"/>
      <c r="I144" s="681"/>
      <c r="J144" s="13"/>
      <c r="K144" s="13"/>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9"/>
      <c r="AQ144" s="69"/>
      <c r="AR144" s="69"/>
      <c r="AS144" s="68"/>
      <c r="AT144" s="68"/>
      <c r="AU144" s="68"/>
      <c r="AV144" s="68"/>
      <c r="AW144" s="68"/>
      <c r="AX144" s="68"/>
      <c r="AY144" s="70"/>
      <c r="AZ144" s="70"/>
      <c r="BA144" s="70"/>
    </row>
    <row r="145" spans="1:53" x14ac:dyDescent="0.25">
      <c r="A145" s="100"/>
      <c r="B145" s="111">
        <v>26</v>
      </c>
      <c r="C145" s="634" t="s">
        <v>467</v>
      </c>
      <c r="D145" s="17"/>
      <c r="E145" s="17"/>
      <c r="F145" s="640"/>
      <c r="G145" s="17"/>
      <c r="H145" s="17"/>
      <c r="I145" s="682"/>
      <c r="J145" s="17"/>
      <c r="K145" s="17"/>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3"/>
      <c r="AQ145" s="73"/>
      <c r="AR145" s="73"/>
      <c r="AS145" s="72"/>
      <c r="AT145" s="72"/>
      <c r="AU145" s="72"/>
      <c r="AV145" s="72"/>
      <c r="AW145" s="72"/>
      <c r="AX145" s="72"/>
      <c r="AY145" s="74"/>
      <c r="AZ145" s="74"/>
      <c r="BA145" s="74"/>
    </row>
    <row r="146" spans="1:53" ht="15" x14ac:dyDescent="0.25">
      <c r="A146" s="30"/>
      <c r="B146" s="100"/>
      <c r="C146" s="28"/>
      <c r="D146" s="29"/>
      <c r="E146" s="76">
        <v>84</v>
      </c>
      <c r="F146" s="78" t="s">
        <v>470</v>
      </c>
      <c r="G146" s="78"/>
      <c r="H146" s="78"/>
      <c r="I146" s="222"/>
      <c r="J146" s="78"/>
      <c r="K146" s="78"/>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80"/>
      <c r="AQ146" s="80"/>
      <c r="AR146" s="80"/>
      <c r="AS146" s="79"/>
      <c r="AT146" s="79"/>
      <c r="AU146" s="79"/>
      <c r="AV146" s="79"/>
      <c r="AW146" s="79"/>
      <c r="AX146" s="79"/>
      <c r="AY146" s="81"/>
      <c r="AZ146" s="81"/>
      <c r="BA146" s="81"/>
    </row>
    <row r="147" spans="1:53" ht="64.5" customHeight="1" x14ac:dyDescent="0.25">
      <c r="A147" s="791">
        <f>+A146</f>
        <v>0</v>
      </c>
      <c r="B147" s="180"/>
      <c r="C147" s="204">
        <v>37</v>
      </c>
      <c r="D147" s="641" t="s">
        <v>521</v>
      </c>
      <c r="E147" s="641"/>
      <c r="F147" s="182">
        <v>247</v>
      </c>
      <c r="G147" s="641" t="s">
        <v>109</v>
      </c>
      <c r="H147" s="252" t="s">
        <v>474</v>
      </c>
      <c r="I147" s="672" t="s">
        <v>110</v>
      </c>
      <c r="J147" s="641" t="s">
        <v>111</v>
      </c>
      <c r="K147" s="215" t="s">
        <v>466</v>
      </c>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6"/>
      <c r="AO147" s="186"/>
      <c r="AP147" s="185">
        <f>50000000</f>
        <v>50000000</v>
      </c>
      <c r="AQ147" s="185">
        <v>4000000</v>
      </c>
      <c r="AR147" s="185">
        <v>2800000</v>
      </c>
      <c r="AS147" s="186"/>
      <c r="AT147" s="186"/>
      <c r="AU147" s="186"/>
      <c r="AV147" s="186"/>
      <c r="AW147" s="186"/>
      <c r="AX147" s="186"/>
      <c r="AY147" s="37">
        <f t="shared" ref="AY147" si="153">+L147+O147+R147+U147+X147+AA147+AD147+AG147+AJ147+AM147+AP147+AS147+AV147</f>
        <v>50000000</v>
      </c>
      <c r="AZ147" s="37">
        <f t="shared" ref="AZ147" si="154">+M147+P147+S147+V147+Y147+AB147+AE147+AH147+AK147+AN147+AQ147+AT147+AW147</f>
        <v>4000000</v>
      </c>
      <c r="BA147" s="37">
        <f t="shared" ref="BA147" si="155">+N147+Q147+T147+W147+Z147+AC147+AF147+AI147+AL147+AO147+AR147+AU147+AX147</f>
        <v>2800000</v>
      </c>
    </row>
    <row r="148" spans="1:53" ht="18.75" customHeight="1" x14ac:dyDescent="0.25">
      <c r="A148" s="30"/>
      <c r="B148" s="30"/>
      <c r="C148" s="653"/>
      <c r="D148" s="637"/>
      <c r="E148" s="102"/>
      <c r="F148" s="103"/>
      <c r="G148" s="102"/>
      <c r="H148" s="138"/>
      <c r="I148" s="696"/>
      <c r="J148" s="102"/>
      <c r="K148" s="103"/>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f t="shared" ref="AP148:AY148" si="156">SUM(AP147)</f>
        <v>50000000</v>
      </c>
      <c r="AQ148" s="139">
        <f t="shared" ref="AQ148:AR148" si="157">SUM(AQ147)</f>
        <v>4000000</v>
      </c>
      <c r="AR148" s="139">
        <f t="shared" si="157"/>
        <v>2800000</v>
      </c>
      <c r="AS148" s="139">
        <f t="shared" si="156"/>
        <v>0</v>
      </c>
      <c r="AT148" s="139"/>
      <c r="AU148" s="139"/>
      <c r="AV148" s="139">
        <f t="shared" si="156"/>
        <v>0</v>
      </c>
      <c r="AW148" s="139"/>
      <c r="AX148" s="139"/>
      <c r="AY148" s="139">
        <f t="shared" si="156"/>
        <v>50000000</v>
      </c>
      <c r="AZ148" s="139">
        <f t="shared" ref="AZ148:BA148" si="158">SUM(AZ147)</f>
        <v>4000000</v>
      </c>
      <c r="BA148" s="139">
        <f t="shared" si="158"/>
        <v>2800000</v>
      </c>
    </row>
    <row r="149" spans="1:53" ht="18.75" customHeight="1" x14ac:dyDescent="0.25">
      <c r="A149" s="30"/>
      <c r="B149" s="45"/>
      <c r="C149" s="46"/>
      <c r="D149" s="45"/>
      <c r="E149" s="45"/>
      <c r="F149" s="46"/>
      <c r="G149" s="45"/>
      <c r="H149" s="47"/>
      <c r="I149" s="686"/>
      <c r="J149" s="45"/>
      <c r="K149" s="46"/>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f t="shared" ref="AP149:AY149" si="159">AP148</f>
        <v>50000000</v>
      </c>
      <c r="AQ149" s="48">
        <f t="shared" ref="AQ149:AR149" si="160">AQ148</f>
        <v>4000000</v>
      </c>
      <c r="AR149" s="48">
        <f t="shared" si="160"/>
        <v>2800000</v>
      </c>
      <c r="AS149" s="48">
        <f t="shared" si="159"/>
        <v>0</v>
      </c>
      <c r="AT149" s="48"/>
      <c r="AU149" s="48"/>
      <c r="AV149" s="48">
        <f t="shared" si="159"/>
        <v>0</v>
      </c>
      <c r="AW149" s="48"/>
      <c r="AX149" s="48"/>
      <c r="AY149" s="48">
        <f t="shared" si="159"/>
        <v>50000000</v>
      </c>
      <c r="AZ149" s="48">
        <f t="shared" ref="AZ149:BA149" si="161">AZ148</f>
        <v>4000000</v>
      </c>
      <c r="BA149" s="48">
        <f t="shared" si="161"/>
        <v>2800000</v>
      </c>
    </row>
    <row r="150" spans="1:53" ht="24.75" customHeight="1" x14ac:dyDescent="0.25">
      <c r="A150" s="30"/>
      <c r="B150" s="639"/>
      <c r="C150" s="144"/>
      <c r="D150" s="253"/>
      <c r="E150" s="253"/>
      <c r="F150" s="144"/>
      <c r="G150" s="253"/>
      <c r="H150" s="254"/>
      <c r="I150" s="703"/>
      <c r="J150" s="253"/>
      <c r="K150" s="144"/>
      <c r="L150" s="233"/>
      <c r="M150" s="233"/>
      <c r="N150" s="233"/>
      <c r="O150" s="233"/>
      <c r="P150" s="233"/>
      <c r="Q150" s="233"/>
      <c r="R150" s="233"/>
      <c r="S150" s="233"/>
      <c r="T150" s="233"/>
      <c r="U150" s="233"/>
      <c r="V150" s="233"/>
      <c r="W150" s="233"/>
      <c r="X150" s="233"/>
      <c r="Y150" s="233"/>
      <c r="Z150" s="233"/>
      <c r="AA150" s="233"/>
      <c r="AB150" s="233"/>
      <c r="AC150" s="233"/>
      <c r="AD150" s="255"/>
      <c r="AE150" s="255"/>
      <c r="AF150" s="255"/>
      <c r="AG150" s="255"/>
      <c r="AH150" s="255"/>
      <c r="AI150" s="255"/>
      <c r="AJ150" s="233"/>
      <c r="AK150" s="233"/>
      <c r="AL150" s="233"/>
      <c r="AM150" s="233"/>
      <c r="AN150" s="233"/>
      <c r="AO150" s="233"/>
      <c r="AP150" s="234"/>
      <c r="AQ150" s="234"/>
      <c r="AR150" s="234"/>
      <c r="AS150" s="233"/>
      <c r="AT150" s="233"/>
      <c r="AU150" s="233"/>
      <c r="AV150" s="255"/>
      <c r="AW150" s="255"/>
      <c r="AX150" s="255"/>
      <c r="AY150" s="256"/>
      <c r="AZ150" s="256"/>
      <c r="BA150" s="256"/>
    </row>
    <row r="151" spans="1:53" ht="31.5" customHeight="1" x14ac:dyDescent="0.25">
      <c r="A151" s="30"/>
      <c r="B151" s="257">
        <v>27</v>
      </c>
      <c r="C151" s="17" t="s">
        <v>472</v>
      </c>
      <c r="D151" s="17"/>
      <c r="E151" s="17"/>
      <c r="F151" s="640"/>
      <c r="G151" s="17"/>
      <c r="H151" s="17"/>
      <c r="I151" s="682"/>
      <c r="J151" s="17"/>
      <c r="K151" s="17"/>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3"/>
      <c r="AQ151" s="73"/>
      <c r="AR151" s="73"/>
      <c r="AS151" s="72"/>
      <c r="AT151" s="72"/>
      <c r="AU151" s="72"/>
      <c r="AV151" s="72"/>
      <c r="AW151" s="72"/>
      <c r="AX151" s="72"/>
      <c r="AY151" s="74"/>
      <c r="AZ151" s="74"/>
      <c r="BA151" s="74"/>
    </row>
    <row r="152" spans="1:53" ht="31.5" customHeight="1" x14ac:dyDescent="0.25">
      <c r="A152" s="30"/>
      <c r="B152" s="100"/>
      <c r="C152" s="651"/>
      <c r="D152" s="101"/>
      <c r="E152" s="76">
        <v>85</v>
      </c>
      <c r="F152" s="78" t="s">
        <v>473</v>
      </c>
      <c r="G152" s="78"/>
      <c r="H152" s="78"/>
      <c r="I152" s="222"/>
      <c r="J152" s="78"/>
      <c r="K152" s="78"/>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80"/>
      <c r="AQ152" s="80"/>
      <c r="AR152" s="80"/>
      <c r="AS152" s="79"/>
      <c r="AT152" s="79"/>
      <c r="AU152" s="79"/>
      <c r="AV152" s="79"/>
      <c r="AW152" s="79"/>
      <c r="AX152" s="79"/>
      <c r="AY152" s="81"/>
      <c r="AZ152" s="81"/>
      <c r="BA152" s="81"/>
    </row>
    <row r="153" spans="1:53" ht="56.25" customHeight="1" x14ac:dyDescent="0.25">
      <c r="A153" s="180"/>
      <c r="B153" s="180"/>
      <c r="C153" s="182">
        <v>37</v>
      </c>
      <c r="D153" s="641" t="s">
        <v>521</v>
      </c>
      <c r="E153" s="180"/>
      <c r="F153" s="648">
        <v>250</v>
      </c>
      <c r="G153" s="641" t="s">
        <v>112</v>
      </c>
      <c r="H153" s="835" t="s">
        <v>474</v>
      </c>
      <c r="I153" s="838" t="s">
        <v>113</v>
      </c>
      <c r="J153" s="840" t="s">
        <v>114</v>
      </c>
      <c r="K153" s="215" t="s">
        <v>466</v>
      </c>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98">
        <f>200000000-10000000</f>
        <v>190000000</v>
      </c>
      <c r="AQ153" s="198">
        <v>15570667</v>
      </c>
      <c r="AR153" s="198">
        <v>2800000</v>
      </c>
      <c r="AS153" s="183"/>
      <c r="AT153" s="183"/>
      <c r="AU153" s="183"/>
      <c r="AV153" s="183"/>
      <c r="AW153" s="183"/>
      <c r="AX153" s="183"/>
      <c r="AY153" s="37">
        <f t="shared" ref="AY153:AY156" si="162">+L153+O153+R153+U153+X153+AA153+AD153+AG153+AJ153+AM153+AP153+AS153+AV153</f>
        <v>190000000</v>
      </c>
      <c r="AZ153" s="37">
        <f t="shared" ref="AZ153:AZ156" si="163">+M153+P153+S153+V153+Y153+AB153+AE153+AH153+AK153+AN153+AQ153+AT153+AW153</f>
        <v>15570667</v>
      </c>
      <c r="BA153" s="37">
        <f t="shared" ref="BA153:BA156" si="164">+N153+Q153+T153+W153+Z153+AC153+AF153+AI153+AL153+AO153+AR153+AU153+AX153</f>
        <v>2800000</v>
      </c>
    </row>
    <row r="154" spans="1:53" ht="59.25" customHeight="1" x14ac:dyDescent="0.25">
      <c r="A154" s="180"/>
      <c r="B154" s="180"/>
      <c r="C154" s="182">
        <v>37</v>
      </c>
      <c r="D154" s="641" t="s">
        <v>521</v>
      </c>
      <c r="E154" s="180"/>
      <c r="F154" s="648">
        <v>251</v>
      </c>
      <c r="G154" s="641" t="s">
        <v>115</v>
      </c>
      <c r="H154" s="836"/>
      <c r="I154" s="838"/>
      <c r="J154" s="840"/>
      <c r="K154" s="215" t="s">
        <v>466</v>
      </c>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6"/>
      <c r="AO154" s="186"/>
      <c r="AP154" s="185">
        <f>50000000</f>
        <v>50000000</v>
      </c>
      <c r="AQ154" s="185"/>
      <c r="AR154" s="185"/>
      <c r="AS154" s="186"/>
      <c r="AT154" s="186"/>
      <c r="AU154" s="186"/>
      <c r="AV154" s="186"/>
      <c r="AW154" s="186"/>
      <c r="AX154" s="186"/>
      <c r="AY154" s="37">
        <f t="shared" si="162"/>
        <v>50000000</v>
      </c>
      <c r="AZ154" s="37">
        <f t="shared" si="163"/>
        <v>0</v>
      </c>
      <c r="BA154" s="37">
        <f t="shared" si="164"/>
        <v>0</v>
      </c>
    </row>
    <row r="155" spans="1:53" ht="63" customHeight="1" x14ac:dyDescent="0.25">
      <c r="A155" s="180" t="s">
        <v>522</v>
      </c>
      <c r="B155" s="180"/>
      <c r="C155" s="182">
        <v>37</v>
      </c>
      <c r="D155" s="641" t="s">
        <v>521</v>
      </c>
      <c r="E155" s="220"/>
      <c r="F155" s="648">
        <v>253</v>
      </c>
      <c r="G155" s="641" t="s">
        <v>116</v>
      </c>
      <c r="H155" s="836"/>
      <c r="I155" s="838"/>
      <c r="J155" s="840"/>
      <c r="K155" s="215" t="s">
        <v>477</v>
      </c>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98">
        <f>36923000+10000000+50000000</f>
        <v>96923000</v>
      </c>
      <c r="AQ155" s="198"/>
      <c r="AR155" s="198"/>
      <c r="AS155" s="183"/>
      <c r="AT155" s="183"/>
      <c r="AU155" s="183"/>
      <c r="AV155" s="183"/>
      <c r="AW155" s="183"/>
      <c r="AX155" s="183"/>
      <c r="AY155" s="37">
        <f t="shared" si="162"/>
        <v>96923000</v>
      </c>
      <c r="AZ155" s="37">
        <f t="shared" si="163"/>
        <v>0</v>
      </c>
      <c r="BA155" s="37">
        <f t="shared" si="164"/>
        <v>0</v>
      </c>
    </row>
    <row r="156" spans="1:53" ht="94.5" customHeight="1" x14ac:dyDescent="0.25">
      <c r="A156" s="180" t="s">
        <v>522</v>
      </c>
      <c r="B156" s="180"/>
      <c r="C156" s="182">
        <v>37</v>
      </c>
      <c r="D156" s="641" t="s">
        <v>521</v>
      </c>
      <c r="E156" s="220"/>
      <c r="F156" s="648">
        <v>254</v>
      </c>
      <c r="G156" s="252" t="s">
        <v>117</v>
      </c>
      <c r="H156" s="837"/>
      <c r="I156" s="839"/>
      <c r="J156" s="841"/>
      <c r="K156" s="215" t="s">
        <v>466</v>
      </c>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98">
        <f>100000000+30000000</f>
        <v>130000000</v>
      </c>
      <c r="AQ156" s="198"/>
      <c r="AR156" s="198"/>
      <c r="AS156" s="183"/>
      <c r="AT156" s="183"/>
      <c r="AU156" s="183"/>
      <c r="AV156" s="183"/>
      <c r="AW156" s="183"/>
      <c r="AX156" s="183"/>
      <c r="AY156" s="37">
        <f t="shared" si="162"/>
        <v>130000000</v>
      </c>
      <c r="AZ156" s="37">
        <f t="shared" si="163"/>
        <v>0</v>
      </c>
      <c r="BA156" s="37">
        <f t="shared" si="164"/>
        <v>0</v>
      </c>
    </row>
    <row r="157" spans="1:53" ht="19.5" customHeight="1" x14ac:dyDescent="0.25">
      <c r="A157" s="30"/>
      <c r="B157" s="30"/>
      <c r="C157" s="28"/>
      <c r="D157" s="29"/>
      <c r="E157" s="102"/>
      <c r="F157" s="103"/>
      <c r="G157" s="258"/>
      <c r="H157" s="42"/>
      <c r="I157" s="685"/>
      <c r="J157" s="40"/>
      <c r="K157" s="41"/>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f>SUM(AP153:AP156)</f>
        <v>466923000</v>
      </c>
      <c r="AQ157" s="43">
        <f t="shared" ref="AQ157:AR157" si="165">SUM(AQ153:AQ156)</f>
        <v>15570667</v>
      </c>
      <c r="AR157" s="43">
        <f t="shared" si="165"/>
        <v>2800000</v>
      </c>
      <c r="AS157" s="43">
        <f>SUM(AS153:AS156)</f>
        <v>0</v>
      </c>
      <c r="AT157" s="43"/>
      <c r="AU157" s="43"/>
      <c r="AV157" s="43">
        <f>SUM(AV153:AV156)</f>
        <v>0</v>
      </c>
      <c r="AW157" s="43"/>
      <c r="AX157" s="43"/>
      <c r="AY157" s="43">
        <f>SUM(AY153:AY156)</f>
        <v>466923000</v>
      </c>
      <c r="AZ157" s="43">
        <f t="shared" ref="AZ157:BA157" si="166">SUM(AZ153:AZ156)</f>
        <v>15570667</v>
      </c>
      <c r="BA157" s="43">
        <f t="shared" si="166"/>
        <v>2800000</v>
      </c>
    </row>
    <row r="158" spans="1:53" ht="20.25" customHeight="1" x14ac:dyDescent="0.25">
      <c r="A158" s="30"/>
      <c r="B158" s="30"/>
      <c r="C158" s="651"/>
      <c r="D158" s="58"/>
      <c r="E158" s="108"/>
      <c r="F158" s="109"/>
      <c r="G158" s="99"/>
      <c r="H158" s="59"/>
      <c r="I158" s="689"/>
      <c r="J158" s="58"/>
      <c r="K158" s="651"/>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88"/>
      <c r="AQ158" s="88"/>
      <c r="AR158" s="88"/>
      <c r="AS158" s="60"/>
      <c r="AT158" s="60"/>
      <c r="AU158" s="60"/>
      <c r="AV158" s="61"/>
      <c r="AW158" s="63"/>
      <c r="AX158" s="63"/>
      <c r="AY158" s="64"/>
      <c r="AZ158" s="64"/>
      <c r="BA158" s="64"/>
    </row>
    <row r="159" spans="1:53" ht="22.5" customHeight="1" x14ac:dyDescent="0.25">
      <c r="A159" s="30"/>
      <c r="B159" s="30"/>
      <c r="C159" s="28"/>
      <c r="D159" s="29"/>
      <c r="E159" s="76">
        <v>86</v>
      </c>
      <c r="F159" s="78" t="s">
        <v>523</v>
      </c>
      <c r="G159" s="78"/>
      <c r="H159" s="78"/>
      <c r="I159" s="222"/>
      <c r="J159" s="78"/>
      <c r="K159" s="78"/>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80"/>
      <c r="AQ159" s="80"/>
      <c r="AR159" s="80"/>
      <c r="AS159" s="79"/>
      <c r="AT159" s="79"/>
      <c r="AU159" s="79"/>
      <c r="AV159" s="79"/>
      <c r="AW159" s="79"/>
      <c r="AX159" s="79"/>
      <c r="AY159" s="81"/>
      <c r="AZ159" s="81"/>
      <c r="BA159" s="81"/>
    </row>
    <row r="160" spans="1:53" ht="72" customHeight="1" x14ac:dyDescent="0.25">
      <c r="A160" s="180"/>
      <c r="B160" s="180"/>
      <c r="C160" s="204">
        <v>37</v>
      </c>
      <c r="D160" s="641" t="s">
        <v>524</v>
      </c>
      <c r="E160" s="197"/>
      <c r="F160" s="182">
        <v>255</v>
      </c>
      <c r="G160" s="641" t="s">
        <v>118</v>
      </c>
      <c r="H160" s="252" t="s">
        <v>474</v>
      </c>
      <c r="I160" s="672" t="s">
        <v>119</v>
      </c>
      <c r="J160" s="641" t="s">
        <v>120</v>
      </c>
      <c r="K160" s="215" t="s">
        <v>466</v>
      </c>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98">
        <f>100000000+70000000</f>
        <v>170000000</v>
      </c>
      <c r="AQ160" s="198">
        <v>8800000</v>
      </c>
      <c r="AR160" s="198">
        <v>5600000</v>
      </c>
      <c r="AS160" s="183"/>
      <c r="AT160" s="183"/>
      <c r="AU160" s="183"/>
      <c r="AV160" s="183"/>
      <c r="AW160" s="183"/>
      <c r="AX160" s="183"/>
      <c r="AY160" s="37">
        <f t="shared" ref="AY160" si="167">+L160+O160+R160+U160+X160+AA160+AD160+AG160+AJ160+AM160+AP160+AS160+AV160</f>
        <v>170000000</v>
      </c>
      <c r="AZ160" s="37">
        <f t="shared" ref="AZ160" si="168">+M160+P160+S160+V160+Y160+AB160+AE160+AH160+AK160+AN160+AQ160+AT160+AW160</f>
        <v>8800000</v>
      </c>
      <c r="BA160" s="37">
        <f t="shared" ref="BA160" si="169">+N160+Q160+T160+W160+Z160+AC160+AF160+AI160+AL160+AO160+AR160+AU160+AX160</f>
        <v>5600000</v>
      </c>
    </row>
    <row r="161" spans="1:53" s="12" customFormat="1" ht="27" customHeight="1" x14ac:dyDescent="0.25">
      <c r="A161" s="30"/>
      <c r="B161" s="30"/>
      <c r="C161" s="653"/>
      <c r="D161" s="637"/>
      <c r="E161" s="40"/>
      <c r="F161" s="41"/>
      <c r="G161" s="40"/>
      <c r="H161" s="42"/>
      <c r="I161" s="685"/>
      <c r="J161" s="40"/>
      <c r="K161" s="41"/>
      <c r="L161" s="43"/>
      <c r="M161" s="43"/>
      <c r="N161" s="43"/>
      <c r="O161" s="43">
        <f t="shared" ref="O161:Q161" si="170">SUM(O160:O160)</f>
        <v>0</v>
      </c>
      <c r="P161" s="43">
        <f t="shared" si="170"/>
        <v>0</v>
      </c>
      <c r="Q161" s="43">
        <f t="shared" si="170"/>
        <v>0</v>
      </c>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f t="shared" ref="AP161:AY161" si="171">SUM(AP160:AP160)</f>
        <v>170000000</v>
      </c>
      <c r="AQ161" s="43">
        <f t="shared" ref="AQ161:AR161" si="172">SUM(AQ160:AQ160)</f>
        <v>8800000</v>
      </c>
      <c r="AR161" s="43">
        <f t="shared" si="172"/>
        <v>5600000</v>
      </c>
      <c r="AS161" s="43">
        <f t="shared" si="171"/>
        <v>0</v>
      </c>
      <c r="AT161" s="43"/>
      <c r="AU161" s="43"/>
      <c r="AV161" s="43">
        <f t="shared" si="171"/>
        <v>0</v>
      </c>
      <c r="AW161" s="43"/>
      <c r="AX161" s="43"/>
      <c r="AY161" s="43">
        <f t="shared" si="171"/>
        <v>170000000</v>
      </c>
      <c r="AZ161" s="43">
        <f t="shared" ref="AZ161:BA161" si="173">SUM(AZ160:AZ160)</f>
        <v>8800000</v>
      </c>
      <c r="BA161" s="43">
        <f t="shared" si="173"/>
        <v>5600000</v>
      </c>
    </row>
    <row r="162" spans="1:53" s="12" customFormat="1" ht="26.25" customHeight="1" x14ac:dyDescent="0.25">
      <c r="A162" s="259"/>
      <c r="B162" s="260"/>
      <c r="C162" s="96"/>
      <c r="D162" s="95"/>
      <c r="E162" s="45"/>
      <c r="F162" s="46"/>
      <c r="G162" s="45"/>
      <c r="H162" s="47"/>
      <c r="I162" s="686"/>
      <c r="J162" s="45"/>
      <c r="K162" s="46"/>
      <c r="L162" s="48"/>
      <c r="M162" s="48"/>
      <c r="N162" s="48"/>
      <c r="O162" s="48">
        <f t="shared" ref="O162:Q162" si="174">O161+O157</f>
        <v>0</v>
      </c>
      <c r="P162" s="48">
        <f t="shared" si="174"/>
        <v>0</v>
      </c>
      <c r="Q162" s="48">
        <f t="shared" si="174"/>
        <v>0</v>
      </c>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f t="shared" ref="AP162:AY162" si="175">AP161+AP157</f>
        <v>636923000</v>
      </c>
      <c r="AQ162" s="48">
        <f t="shared" ref="AQ162:AR162" si="176">AQ161+AQ157</f>
        <v>24370667</v>
      </c>
      <c r="AR162" s="48">
        <f t="shared" si="176"/>
        <v>8400000</v>
      </c>
      <c r="AS162" s="48">
        <f t="shared" si="175"/>
        <v>0</v>
      </c>
      <c r="AT162" s="48"/>
      <c r="AU162" s="48"/>
      <c r="AV162" s="48">
        <f t="shared" si="175"/>
        <v>0</v>
      </c>
      <c r="AW162" s="48"/>
      <c r="AX162" s="48"/>
      <c r="AY162" s="48">
        <f t="shared" si="175"/>
        <v>636923000</v>
      </c>
      <c r="AZ162" s="48">
        <f t="shared" ref="AZ162:BA162" si="177">AZ161+AZ157</f>
        <v>24370667</v>
      </c>
      <c r="BA162" s="48">
        <f t="shared" si="177"/>
        <v>8400000</v>
      </c>
    </row>
    <row r="163" spans="1:53" ht="26.25" customHeight="1" x14ac:dyDescent="0.25">
      <c r="A163" s="49"/>
      <c r="B163" s="261"/>
      <c r="C163" s="262"/>
      <c r="D163" s="261"/>
      <c r="E163" s="49"/>
      <c r="F163" s="50"/>
      <c r="G163" s="49"/>
      <c r="H163" s="51"/>
      <c r="I163" s="687"/>
      <c r="J163" s="49"/>
      <c r="K163" s="50"/>
      <c r="L163" s="52"/>
      <c r="M163" s="52"/>
      <c r="N163" s="52"/>
      <c r="O163" s="52">
        <f>O162+O149</f>
        <v>0</v>
      </c>
      <c r="P163" s="52">
        <f t="shared" ref="P163:Q163" si="178">P162+P149</f>
        <v>0</v>
      </c>
      <c r="Q163" s="52">
        <f t="shared" si="178"/>
        <v>0</v>
      </c>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f>AP162+AP149</f>
        <v>686923000</v>
      </c>
      <c r="AQ163" s="52">
        <f t="shared" ref="AQ163:AR163" si="179">AQ162+AQ149</f>
        <v>28370667</v>
      </c>
      <c r="AR163" s="52">
        <f t="shared" si="179"/>
        <v>11200000</v>
      </c>
      <c r="AS163" s="52">
        <f>AS162+AS149</f>
        <v>0</v>
      </c>
      <c r="AT163" s="52"/>
      <c r="AU163" s="52"/>
      <c r="AV163" s="52">
        <f>AV162+AV149</f>
        <v>0</v>
      </c>
      <c r="AW163" s="52"/>
      <c r="AX163" s="52"/>
      <c r="AY163" s="52">
        <f>AY162+AY149</f>
        <v>686923000</v>
      </c>
      <c r="AZ163" s="52">
        <f t="shared" ref="AZ163:BA163" si="180">AZ162+AZ149</f>
        <v>28370667</v>
      </c>
      <c r="BA163" s="52">
        <f t="shared" si="180"/>
        <v>11200000</v>
      </c>
    </row>
    <row r="164" spans="1:53" ht="26.25" customHeight="1" x14ac:dyDescent="0.25">
      <c r="A164" s="53"/>
      <c r="B164" s="53"/>
      <c r="C164" s="54"/>
      <c r="D164" s="53"/>
      <c r="E164" s="53"/>
      <c r="F164" s="54"/>
      <c r="G164" s="53"/>
      <c r="H164" s="55"/>
      <c r="I164" s="688"/>
      <c r="J164" s="53"/>
      <c r="K164" s="54"/>
      <c r="L164" s="56"/>
      <c r="M164" s="56"/>
      <c r="N164" s="56"/>
      <c r="O164" s="56">
        <f>O163+O142</f>
        <v>1760000000</v>
      </c>
      <c r="P164" s="56">
        <f t="shared" ref="P164:Q164" si="181">P163+P142</f>
        <v>18600000</v>
      </c>
      <c r="Q164" s="56">
        <f t="shared" si="181"/>
        <v>0</v>
      </c>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f>AP163+AP142</f>
        <v>1531343402</v>
      </c>
      <c r="AQ164" s="56">
        <f t="shared" ref="AQ164:AR164" si="182">AQ163+AQ142</f>
        <v>175906058</v>
      </c>
      <c r="AR164" s="56">
        <f t="shared" si="182"/>
        <v>76801390</v>
      </c>
      <c r="AS164" s="56">
        <f>AS163+AS142</f>
        <v>0</v>
      </c>
      <c r="AT164" s="56"/>
      <c r="AU164" s="56"/>
      <c r="AV164" s="56">
        <f>AV163+AV142</f>
        <v>0</v>
      </c>
      <c r="AW164" s="56"/>
      <c r="AX164" s="56"/>
      <c r="AY164" s="56">
        <f>AY163+AY142</f>
        <v>3291343402</v>
      </c>
      <c r="AZ164" s="56">
        <f t="shared" ref="AZ164:BA164" si="183">AZ163+AZ142</f>
        <v>194506058</v>
      </c>
      <c r="BA164" s="56">
        <f t="shared" si="183"/>
        <v>76801390</v>
      </c>
    </row>
    <row r="165" spans="1:53" ht="22.5" customHeight="1" x14ac:dyDescent="0.25">
      <c r="A165" s="263"/>
      <c r="B165" s="108"/>
      <c r="C165" s="109"/>
      <c r="D165" s="108"/>
      <c r="E165" s="108"/>
      <c r="F165" s="109"/>
      <c r="G165" s="108"/>
      <c r="H165" s="216"/>
      <c r="I165" s="700"/>
      <c r="J165" s="108"/>
      <c r="K165" s="109"/>
      <c r="L165" s="264"/>
      <c r="M165" s="264"/>
      <c r="N165" s="264"/>
      <c r="O165" s="264"/>
      <c r="P165" s="264"/>
      <c r="Q165" s="264"/>
      <c r="R165" s="264"/>
      <c r="S165" s="264"/>
      <c r="T165" s="264"/>
      <c r="U165" s="264"/>
      <c r="V165" s="264"/>
      <c r="W165" s="264"/>
      <c r="X165" s="264"/>
      <c r="Y165" s="264"/>
      <c r="Z165" s="264"/>
      <c r="AA165" s="264"/>
      <c r="AB165" s="264"/>
      <c r="AC165" s="264"/>
      <c r="AD165" s="265"/>
      <c r="AE165" s="265"/>
      <c r="AF165" s="265"/>
      <c r="AG165" s="265"/>
      <c r="AH165" s="265"/>
      <c r="AI165" s="265"/>
      <c r="AJ165" s="264"/>
      <c r="AK165" s="264"/>
      <c r="AL165" s="264"/>
      <c r="AM165" s="264"/>
      <c r="AN165" s="264"/>
      <c r="AO165" s="264"/>
      <c r="AP165" s="266"/>
      <c r="AQ165" s="266"/>
      <c r="AR165" s="266"/>
      <c r="AS165" s="264"/>
      <c r="AT165" s="264"/>
      <c r="AU165" s="264"/>
      <c r="AV165" s="265"/>
      <c r="AW165" s="63"/>
      <c r="AX165" s="63"/>
      <c r="AY165" s="64"/>
      <c r="AZ165" s="64"/>
      <c r="BA165" s="64"/>
    </row>
    <row r="166" spans="1:53" ht="20.25" customHeight="1" x14ac:dyDescent="0.25">
      <c r="A166" s="148" t="s">
        <v>121</v>
      </c>
      <c r="B166" s="149"/>
      <c r="C166" s="150"/>
      <c r="D166" s="149"/>
      <c r="E166" s="149"/>
      <c r="F166" s="150"/>
      <c r="G166" s="149"/>
      <c r="H166" s="149"/>
      <c r="I166" s="698"/>
      <c r="J166" s="149"/>
      <c r="K166" s="150"/>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2"/>
      <c r="AQ166" s="152"/>
      <c r="AR166" s="152"/>
      <c r="AS166" s="151"/>
      <c r="AT166" s="151"/>
      <c r="AU166" s="151"/>
      <c r="AV166" s="151"/>
      <c r="AW166" s="151"/>
      <c r="AX166" s="151"/>
      <c r="AY166" s="153" t="s">
        <v>500</v>
      </c>
      <c r="AZ166" s="153" t="s">
        <v>500</v>
      </c>
      <c r="BA166" s="153" t="s">
        <v>500</v>
      </c>
    </row>
    <row r="167" spans="1:53" x14ac:dyDescent="0.25">
      <c r="A167" s="4">
        <v>3</v>
      </c>
      <c r="B167" s="13" t="s">
        <v>525</v>
      </c>
      <c r="C167" s="14"/>
      <c r="D167" s="13"/>
      <c r="E167" s="13"/>
      <c r="F167" s="14"/>
      <c r="G167" s="13"/>
      <c r="H167" s="13"/>
      <c r="I167" s="681"/>
      <c r="J167" s="13"/>
      <c r="K167" s="13"/>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9"/>
      <c r="AQ167" s="69"/>
      <c r="AR167" s="69"/>
      <c r="AS167" s="68"/>
      <c r="AT167" s="68"/>
      <c r="AU167" s="68"/>
      <c r="AV167" s="68"/>
      <c r="AW167" s="68"/>
      <c r="AX167" s="68"/>
      <c r="AY167" s="70"/>
      <c r="AZ167" s="70"/>
      <c r="BA167" s="70"/>
    </row>
    <row r="168" spans="1:53" x14ac:dyDescent="0.25">
      <c r="A168" s="71"/>
      <c r="B168" s="267">
        <v>9</v>
      </c>
      <c r="C168" s="634" t="s">
        <v>526</v>
      </c>
      <c r="D168" s="17"/>
      <c r="E168" s="17"/>
      <c r="F168" s="640"/>
      <c r="G168" s="17"/>
      <c r="H168" s="17"/>
      <c r="I168" s="682"/>
      <c r="J168" s="17"/>
      <c r="K168" s="17"/>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3"/>
      <c r="AQ168" s="73"/>
      <c r="AR168" s="73"/>
      <c r="AS168" s="72"/>
      <c r="AT168" s="72"/>
      <c r="AU168" s="72"/>
      <c r="AV168" s="72"/>
      <c r="AW168" s="72"/>
      <c r="AX168" s="72"/>
      <c r="AY168" s="74"/>
      <c r="AZ168" s="74"/>
      <c r="BA168" s="74"/>
    </row>
    <row r="169" spans="1:53" ht="24" customHeight="1" x14ac:dyDescent="0.25">
      <c r="A169" s="27"/>
      <c r="B169" s="71"/>
      <c r="C169" s="156"/>
      <c r="D169" s="75"/>
      <c r="E169" s="76">
        <v>29</v>
      </c>
      <c r="F169" s="78" t="s">
        <v>527</v>
      </c>
      <c r="G169" s="78"/>
      <c r="H169" s="78"/>
      <c r="I169" s="222"/>
      <c r="J169" s="78"/>
      <c r="K169" s="78"/>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80"/>
      <c r="AQ169" s="80"/>
      <c r="AR169" s="80"/>
      <c r="AS169" s="79"/>
      <c r="AT169" s="79"/>
      <c r="AU169" s="79"/>
      <c r="AV169" s="79"/>
      <c r="AW169" s="79"/>
      <c r="AX169" s="79"/>
      <c r="AY169" s="81"/>
      <c r="AZ169" s="81"/>
      <c r="BA169" s="81"/>
    </row>
    <row r="170" spans="1:53" ht="83.25" customHeight="1" x14ac:dyDescent="0.25">
      <c r="A170" s="27"/>
      <c r="B170" s="27"/>
      <c r="C170" s="199">
        <v>22</v>
      </c>
      <c r="D170" s="167" t="s">
        <v>491</v>
      </c>
      <c r="E170" s="30"/>
      <c r="F170" s="650">
        <v>114</v>
      </c>
      <c r="G170" s="639" t="s">
        <v>122</v>
      </c>
      <c r="H170" s="647" t="s">
        <v>528</v>
      </c>
      <c r="I170" s="691" t="s">
        <v>123</v>
      </c>
      <c r="J170" s="636" t="s">
        <v>124</v>
      </c>
      <c r="K170" s="647" t="s">
        <v>466</v>
      </c>
      <c r="L170" s="268">
        <v>189078900</v>
      </c>
      <c r="M170" s="268"/>
      <c r="N170" s="268"/>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270"/>
      <c r="AO170" s="270"/>
      <c r="AP170" s="269"/>
      <c r="AQ170" s="269"/>
      <c r="AR170" s="269"/>
      <c r="AS170" s="270"/>
      <c r="AT170" s="270"/>
      <c r="AU170" s="270"/>
      <c r="AV170" s="270"/>
      <c r="AW170" s="270"/>
      <c r="AX170" s="270"/>
      <c r="AY170" s="37">
        <f t="shared" ref="AY170:AY173" si="184">+L170+O170+R170+U170+X170+AA170+AD170+AG170+AJ170+AM170+AP170+AS170+AV170</f>
        <v>189078900</v>
      </c>
      <c r="AZ170" s="37">
        <f t="shared" ref="AZ170:AZ173" si="185">+M170+P170+S170+V170+Y170+AB170+AE170+AH170+AK170+AN170+AQ170+AT170+AW170</f>
        <v>0</v>
      </c>
      <c r="BA170" s="37">
        <f t="shared" ref="BA170:BA173" si="186">+N170+Q170+T170+W170+Z170+AC170+AF170+AI170+AL170+AO170+AR170+AU170+AX170</f>
        <v>0</v>
      </c>
    </row>
    <row r="171" spans="1:53" ht="88.5" customHeight="1" x14ac:dyDescent="0.25">
      <c r="A171" s="27"/>
      <c r="B171" s="27"/>
      <c r="C171" s="199">
        <v>22</v>
      </c>
      <c r="D171" s="167" t="s">
        <v>491</v>
      </c>
      <c r="E171" s="30"/>
      <c r="F171" s="650">
        <v>114</v>
      </c>
      <c r="G171" s="639" t="s">
        <v>122</v>
      </c>
      <c r="H171" s="844" t="s">
        <v>528</v>
      </c>
      <c r="I171" s="821" t="s">
        <v>125</v>
      </c>
      <c r="J171" s="828" t="s">
        <v>126</v>
      </c>
      <c r="K171" s="647" t="s">
        <v>466</v>
      </c>
      <c r="L171" s="271"/>
      <c r="M171" s="271"/>
      <c r="N171" s="27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272"/>
      <c r="AO171" s="272"/>
      <c r="AP171" s="269">
        <f>1100000000+39136000+60000+66245000</f>
        <v>1205441000</v>
      </c>
      <c r="AQ171" s="269">
        <v>78400000</v>
      </c>
      <c r="AR171" s="269">
        <v>53400000</v>
      </c>
      <c r="AS171" s="272"/>
      <c r="AT171" s="272"/>
      <c r="AU171" s="272"/>
      <c r="AV171" s="272"/>
      <c r="AW171" s="272"/>
      <c r="AX171" s="272"/>
      <c r="AY171" s="37">
        <f t="shared" si="184"/>
        <v>1205441000</v>
      </c>
      <c r="AZ171" s="37">
        <f t="shared" si="185"/>
        <v>78400000</v>
      </c>
      <c r="BA171" s="37">
        <f t="shared" si="186"/>
        <v>53400000</v>
      </c>
    </row>
    <row r="172" spans="1:53" ht="55.5" customHeight="1" x14ac:dyDescent="0.25">
      <c r="A172" s="27"/>
      <c r="B172" s="27"/>
      <c r="C172" s="199">
        <v>12</v>
      </c>
      <c r="D172" s="167" t="s">
        <v>529</v>
      </c>
      <c r="E172" s="30"/>
      <c r="F172" s="647">
        <v>115</v>
      </c>
      <c r="G172" s="29" t="s">
        <v>127</v>
      </c>
      <c r="H172" s="820"/>
      <c r="I172" s="821"/>
      <c r="J172" s="824"/>
      <c r="K172" s="31" t="s">
        <v>477</v>
      </c>
      <c r="L172" s="127">
        <v>945394500</v>
      </c>
      <c r="M172" s="127">
        <v>25600000</v>
      </c>
      <c r="N172" s="127">
        <v>12800000</v>
      </c>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6"/>
      <c r="AO172" s="36"/>
      <c r="AP172" s="35"/>
      <c r="AQ172" s="35"/>
      <c r="AR172" s="35"/>
      <c r="AS172" s="36"/>
      <c r="AT172" s="36"/>
      <c r="AU172" s="36"/>
      <c r="AV172" s="36"/>
      <c r="AW172" s="36"/>
      <c r="AX172" s="36"/>
      <c r="AY172" s="37">
        <f t="shared" si="184"/>
        <v>945394500</v>
      </c>
      <c r="AZ172" s="37">
        <f t="shared" si="185"/>
        <v>25600000</v>
      </c>
      <c r="BA172" s="37">
        <f t="shared" si="186"/>
        <v>12800000</v>
      </c>
    </row>
    <row r="173" spans="1:53" ht="64.5" customHeight="1" x14ac:dyDescent="0.25">
      <c r="A173" s="27"/>
      <c r="B173" s="27"/>
      <c r="C173" s="199">
        <v>12</v>
      </c>
      <c r="D173" s="167" t="s">
        <v>529</v>
      </c>
      <c r="E173" s="38"/>
      <c r="F173" s="647">
        <v>116</v>
      </c>
      <c r="G173" s="29" t="s">
        <v>128</v>
      </c>
      <c r="H173" s="845"/>
      <c r="I173" s="830"/>
      <c r="J173" s="831"/>
      <c r="K173" s="31" t="s">
        <v>477</v>
      </c>
      <c r="L173" s="273">
        <v>189078900</v>
      </c>
      <c r="M173" s="273"/>
      <c r="N173" s="27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6"/>
      <c r="AO173" s="36"/>
      <c r="AP173" s="35"/>
      <c r="AQ173" s="35"/>
      <c r="AR173" s="35"/>
      <c r="AS173" s="36"/>
      <c r="AT173" s="36"/>
      <c r="AU173" s="36"/>
      <c r="AV173" s="36"/>
      <c r="AW173" s="36"/>
      <c r="AX173" s="36"/>
      <c r="AY173" s="37">
        <f t="shared" si="184"/>
        <v>189078900</v>
      </c>
      <c r="AZ173" s="37">
        <f t="shared" si="185"/>
        <v>0</v>
      </c>
      <c r="BA173" s="37">
        <f t="shared" si="186"/>
        <v>0</v>
      </c>
    </row>
    <row r="174" spans="1:53" ht="15" x14ac:dyDescent="0.25">
      <c r="A174" s="27"/>
      <c r="B174" s="27"/>
      <c r="C174" s="28"/>
      <c r="D174" s="274"/>
      <c r="E174" s="40"/>
      <c r="F174" s="41"/>
      <c r="G174" s="40"/>
      <c r="H174" s="41"/>
      <c r="I174" s="685"/>
      <c r="J174" s="40"/>
      <c r="K174" s="41"/>
      <c r="L174" s="43">
        <f t="shared" ref="L174:AY174" si="187">SUM(L170:L173)</f>
        <v>1323552300</v>
      </c>
      <c r="M174" s="43">
        <f t="shared" si="187"/>
        <v>25600000</v>
      </c>
      <c r="N174" s="43">
        <f t="shared" si="187"/>
        <v>12800000</v>
      </c>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f t="shared" si="187"/>
        <v>1205441000</v>
      </c>
      <c r="AQ174" s="43">
        <f t="shared" si="187"/>
        <v>78400000</v>
      </c>
      <c r="AR174" s="43">
        <f t="shared" si="187"/>
        <v>53400000</v>
      </c>
      <c r="AS174" s="43">
        <f t="shared" si="187"/>
        <v>0</v>
      </c>
      <c r="AT174" s="43"/>
      <c r="AU174" s="43"/>
      <c r="AV174" s="43">
        <f t="shared" si="187"/>
        <v>0</v>
      </c>
      <c r="AW174" s="43"/>
      <c r="AX174" s="43"/>
      <c r="AY174" s="43">
        <f t="shared" si="187"/>
        <v>2528993300</v>
      </c>
      <c r="AZ174" s="43">
        <f t="shared" ref="AZ174:BA174" si="188">SUM(AZ170:AZ173)</f>
        <v>104000000</v>
      </c>
      <c r="BA174" s="43">
        <f t="shared" si="188"/>
        <v>66200000</v>
      </c>
    </row>
    <row r="175" spans="1:53" ht="15" x14ac:dyDescent="0.25">
      <c r="A175" s="27"/>
      <c r="B175" s="27"/>
      <c r="C175" s="144"/>
      <c r="D175" s="275"/>
      <c r="E175" s="58"/>
      <c r="F175" s="651"/>
      <c r="G175" s="58"/>
      <c r="H175" s="651"/>
      <c r="I175" s="689"/>
      <c r="J175" s="58"/>
      <c r="K175" s="651"/>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88"/>
      <c r="AQ175" s="88"/>
      <c r="AR175" s="88"/>
      <c r="AS175" s="60"/>
      <c r="AT175" s="60"/>
      <c r="AU175" s="60"/>
      <c r="AV175" s="61"/>
      <c r="AW175" s="63"/>
      <c r="AX175" s="63"/>
      <c r="AY175" s="64"/>
      <c r="AZ175" s="64"/>
      <c r="BA175" s="64"/>
    </row>
    <row r="176" spans="1:53" ht="15" x14ac:dyDescent="0.25">
      <c r="A176" s="27"/>
      <c r="B176" s="27"/>
      <c r="C176" s="276"/>
      <c r="D176" s="277"/>
      <c r="E176" s="76">
        <v>30</v>
      </c>
      <c r="F176" s="78" t="s">
        <v>530</v>
      </c>
      <c r="G176" s="78"/>
      <c r="H176" s="78"/>
      <c r="I176" s="222"/>
      <c r="J176" s="78"/>
      <c r="K176" s="78"/>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80"/>
      <c r="AQ176" s="80"/>
      <c r="AR176" s="80"/>
      <c r="AS176" s="79"/>
      <c r="AT176" s="79"/>
      <c r="AU176" s="79"/>
      <c r="AV176" s="79"/>
      <c r="AW176" s="79"/>
      <c r="AX176" s="79"/>
      <c r="AY176" s="81"/>
      <c r="AZ176" s="81"/>
      <c r="BA176" s="81"/>
    </row>
    <row r="177" spans="1:53" ht="62.25" customHeight="1" x14ac:dyDescent="0.25">
      <c r="A177" s="27"/>
      <c r="B177" s="27"/>
      <c r="C177" s="122">
        <v>5</v>
      </c>
      <c r="D177" s="58" t="s">
        <v>531</v>
      </c>
      <c r="E177" s="29"/>
      <c r="F177" s="31">
        <v>117</v>
      </c>
      <c r="G177" s="29" t="s">
        <v>129</v>
      </c>
      <c r="H177" s="278" t="s">
        <v>528</v>
      </c>
      <c r="I177" s="691" t="s">
        <v>130</v>
      </c>
      <c r="J177" s="29" t="s">
        <v>131</v>
      </c>
      <c r="K177" s="31" t="s">
        <v>477</v>
      </c>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6"/>
      <c r="AO177" s="36"/>
      <c r="AP177" s="35">
        <v>80000000</v>
      </c>
      <c r="AQ177" s="35"/>
      <c r="AR177" s="35"/>
      <c r="AS177" s="36"/>
      <c r="AT177" s="36"/>
      <c r="AU177" s="36"/>
      <c r="AV177" s="36"/>
      <c r="AW177" s="36"/>
      <c r="AX177" s="36"/>
      <c r="AY177" s="37">
        <f t="shared" ref="AY177" si="189">+L177+O177+R177+U177+X177+AA177+AD177+AG177+AJ177+AM177+AP177+AS177+AV177</f>
        <v>80000000</v>
      </c>
      <c r="AZ177" s="37">
        <f t="shared" ref="AZ177" si="190">+M177+P177+S177+V177+Y177+AB177+AE177+AH177+AK177+AN177+AQ177+AT177+AW177</f>
        <v>0</v>
      </c>
      <c r="BA177" s="37">
        <f t="shared" ref="BA177" si="191">+N177+Q177+T177+W177+Z177+AC177+AF177+AI177+AL177+AO177+AR177+AU177+AX177</f>
        <v>0</v>
      </c>
    </row>
    <row r="178" spans="1:53" ht="15" x14ac:dyDescent="0.25">
      <c r="A178" s="27"/>
      <c r="B178" s="27"/>
      <c r="C178" s="28"/>
      <c r="D178" s="274"/>
      <c r="E178" s="40"/>
      <c r="F178" s="41"/>
      <c r="G178" s="40"/>
      <c r="H178" s="42"/>
      <c r="I178" s="685"/>
      <c r="J178" s="40"/>
      <c r="K178" s="41"/>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f t="shared" ref="AP178:AY178" si="192">AP177</f>
        <v>80000000</v>
      </c>
      <c r="AQ178" s="43">
        <f t="shared" si="192"/>
        <v>0</v>
      </c>
      <c r="AR178" s="43">
        <f t="shared" si="192"/>
        <v>0</v>
      </c>
      <c r="AS178" s="43">
        <f t="shared" si="192"/>
        <v>0</v>
      </c>
      <c r="AT178" s="43"/>
      <c r="AU178" s="43"/>
      <c r="AV178" s="43">
        <f t="shared" si="192"/>
        <v>0</v>
      </c>
      <c r="AW178" s="43"/>
      <c r="AX178" s="43"/>
      <c r="AY178" s="43">
        <f t="shared" si="192"/>
        <v>80000000</v>
      </c>
      <c r="AZ178" s="43">
        <f t="shared" ref="AZ178:BA178" si="193">AZ177</f>
        <v>0</v>
      </c>
      <c r="BA178" s="43">
        <f t="shared" si="193"/>
        <v>0</v>
      </c>
    </row>
    <row r="179" spans="1:53" ht="15" x14ac:dyDescent="0.25">
      <c r="A179" s="27"/>
      <c r="B179" s="27"/>
      <c r="C179" s="144"/>
      <c r="D179" s="275"/>
      <c r="E179" s="58"/>
      <c r="F179" s="651"/>
      <c r="G179" s="58"/>
      <c r="H179" s="59"/>
      <c r="I179" s="689"/>
      <c r="J179" s="58"/>
      <c r="K179" s="651"/>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88"/>
      <c r="AQ179" s="88"/>
      <c r="AR179" s="88"/>
      <c r="AS179" s="60"/>
      <c r="AT179" s="60"/>
      <c r="AU179" s="60"/>
      <c r="AV179" s="61"/>
      <c r="AW179" s="63"/>
      <c r="AX179" s="63"/>
      <c r="AY179" s="64"/>
      <c r="AZ179" s="64"/>
      <c r="BA179" s="64"/>
    </row>
    <row r="180" spans="1:53" ht="15" x14ac:dyDescent="0.25">
      <c r="A180" s="27"/>
      <c r="B180" s="27"/>
      <c r="C180" s="276"/>
      <c r="D180" s="277"/>
      <c r="E180" s="191">
        <v>31</v>
      </c>
      <c r="F180" s="221" t="s">
        <v>532</v>
      </c>
      <c r="G180" s="78"/>
      <c r="H180" s="78"/>
      <c r="I180" s="222"/>
      <c r="J180" s="78"/>
      <c r="K180" s="78"/>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80"/>
      <c r="AQ180" s="80"/>
      <c r="AR180" s="80"/>
      <c r="AS180" s="79"/>
      <c r="AT180" s="79"/>
      <c r="AU180" s="79"/>
      <c r="AV180" s="79"/>
      <c r="AW180" s="79"/>
      <c r="AX180" s="79"/>
      <c r="AY180" s="81"/>
      <c r="AZ180" s="81"/>
      <c r="BA180" s="81"/>
    </row>
    <row r="181" spans="1:53" ht="84.75" customHeight="1" x14ac:dyDescent="0.25">
      <c r="A181" s="27"/>
      <c r="B181" s="27"/>
      <c r="C181" s="276">
        <v>14</v>
      </c>
      <c r="D181" s="639" t="s">
        <v>533</v>
      </c>
      <c r="E181" s="29"/>
      <c r="F181" s="31">
        <v>118</v>
      </c>
      <c r="G181" s="29" t="s">
        <v>132</v>
      </c>
      <c r="H181" s="278" t="s">
        <v>528</v>
      </c>
      <c r="I181" s="691" t="s">
        <v>133</v>
      </c>
      <c r="J181" s="29" t="s">
        <v>134</v>
      </c>
      <c r="K181" s="31" t="s">
        <v>477</v>
      </c>
      <c r="L181" s="273">
        <v>189078900</v>
      </c>
      <c r="M181" s="273"/>
      <c r="N181" s="27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6"/>
      <c r="AO181" s="36"/>
      <c r="AP181" s="35"/>
      <c r="AQ181" s="35"/>
      <c r="AR181" s="35"/>
      <c r="AS181" s="36"/>
      <c r="AT181" s="36"/>
      <c r="AU181" s="36"/>
      <c r="AV181" s="36"/>
      <c r="AW181" s="36"/>
      <c r="AX181" s="36"/>
      <c r="AY181" s="37">
        <f t="shared" ref="AY181" si="194">+L181+O181+R181+U181+X181+AA181+AD181+AG181+AJ181+AM181+AP181+AS181+AV181</f>
        <v>189078900</v>
      </c>
      <c r="AZ181" s="37">
        <f t="shared" ref="AZ181" si="195">+M181+P181+S181+V181+Y181+AB181+AE181+AH181+AK181+AN181+AQ181+AT181+AW181</f>
        <v>0</v>
      </c>
      <c r="BA181" s="37">
        <f t="shared" ref="BA181" si="196">+N181+Q181+T181+W181+Z181+AC181+AF181+AI181+AL181+AO181+AR181+AU181+AX181</f>
        <v>0</v>
      </c>
    </row>
    <row r="182" spans="1:53" ht="15" x14ac:dyDescent="0.25">
      <c r="A182" s="27"/>
      <c r="B182" s="39"/>
      <c r="C182" s="28"/>
      <c r="D182" s="274"/>
      <c r="E182" s="40"/>
      <c r="F182" s="41"/>
      <c r="G182" s="40"/>
      <c r="H182" s="42"/>
      <c r="I182" s="685"/>
      <c r="J182" s="40"/>
      <c r="K182" s="41"/>
      <c r="L182" s="43">
        <f t="shared" ref="L182:N182" si="197">SUM(L181)</f>
        <v>189078900</v>
      </c>
      <c r="M182" s="43">
        <f t="shared" si="197"/>
        <v>0</v>
      </c>
      <c r="N182" s="43">
        <f t="shared" si="197"/>
        <v>0</v>
      </c>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f t="shared" ref="AY182:BA182" si="198">SUM(AY181)</f>
        <v>189078900</v>
      </c>
      <c r="AZ182" s="43">
        <f t="shared" si="198"/>
        <v>0</v>
      </c>
      <c r="BA182" s="43">
        <f t="shared" si="198"/>
        <v>0</v>
      </c>
    </row>
    <row r="183" spans="1:53" ht="15" x14ac:dyDescent="0.25">
      <c r="A183" s="27"/>
      <c r="B183" s="104"/>
      <c r="C183" s="46"/>
      <c r="D183" s="279"/>
      <c r="E183" s="45"/>
      <c r="F183" s="46"/>
      <c r="G183" s="45"/>
      <c r="H183" s="47"/>
      <c r="I183" s="686"/>
      <c r="J183" s="45"/>
      <c r="K183" s="46"/>
      <c r="L183" s="48">
        <f t="shared" ref="L183:N183" si="199">L182+L178+L174</f>
        <v>1512631200</v>
      </c>
      <c r="M183" s="48">
        <f t="shared" si="199"/>
        <v>25600000</v>
      </c>
      <c r="N183" s="48">
        <f t="shared" si="199"/>
        <v>12800000</v>
      </c>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f t="shared" ref="AP183:AY183" si="200">AP182+AP178+AP174</f>
        <v>1285441000</v>
      </c>
      <c r="AQ183" s="48">
        <f t="shared" ref="AQ183:AR183" si="201">AQ182+AQ178+AQ174</f>
        <v>78400000</v>
      </c>
      <c r="AR183" s="48">
        <f t="shared" si="201"/>
        <v>53400000</v>
      </c>
      <c r="AS183" s="48">
        <f t="shared" si="200"/>
        <v>0</v>
      </c>
      <c r="AT183" s="48"/>
      <c r="AU183" s="48"/>
      <c r="AV183" s="48">
        <f t="shared" si="200"/>
        <v>0</v>
      </c>
      <c r="AW183" s="48"/>
      <c r="AX183" s="48"/>
      <c r="AY183" s="48">
        <f t="shared" si="200"/>
        <v>2798072200</v>
      </c>
      <c r="AZ183" s="48">
        <f t="shared" ref="AZ183:BA183" si="202">AZ182+AZ178+AZ174</f>
        <v>104000000</v>
      </c>
      <c r="BA183" s="48">
        <f t="shared" si="202"/>
        <v>66200000</v>
      </c>
    </row>
    <row r="184" spans="1:53" ht="15" x14ac:dyDescent="0.25">
      <c r="A184" s="27"/>
      <c r="B184" s="58"/>
      <c r="C184" s="144"/>
      <c r="D184" s="275"/>
      <c r="E184" s="58"/>
      <c r="F184" s="651"/>
      <c r="G184" s="58"/>
      <c r="H184" s="59"/>
      <c r="I184" s="689"/>
      <c r="J184" s="58"/>
      <c r="K184" s="651"/>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88"/>
      <c r="AQ184" s="88"/>
      <c r="AR184" s="88"/>
      <c r="AS184" s="60"/>
      <c r="AT184" s="60"/>
      <c r="AU184" s="60"/>
      <c r="AV184" s="61"/>
      <c r="AW184" s="63"/>
      <c r="AX184" s="63"/>
      <c r="AY184" s="64"/>
      <c r="AZ184" s="64"/>
      <c r="BA184" s="64"/>
    </row>
    <row r="185" spans="1:53" x14ac:dyDescent="0.25">
      <c r="A185" s="27"/>
      <c r="B185" s="154">
        <v>10</v>
      </c>
      <c r="C185" s="634" t="s">
        <v>534</v>
      </c>
      <c r="D185" s="17"/>
      <c r="E185" s="17"/>
      <c r="F185" s="640"/>
      <c r="G185" s="17"/>
      <c r="H185" s="17"/>
      <c r="I185" s="682"/>
      <c r="J185" s="17"/>
      <c r="K185" s="17"/>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3"/>
      <c r="AQ185" s="73"/>
      <c r="AR185" s="73"/>
      <c r="AS185" s="72"/>
      <c r="AT185" s="72"/>
      <c r="AU185" s="72"/>
      <c r="AV185" s="72"/>
      <c r="AW185" s="72"/>
      <c r="AX185" s="72"/>
      <c r="AY185" s="74"/>
      <c r="AZ185" s="74"/>
      <c r="BA185" s="74"/>
    </row>
    <row r="186" spans="1:53" ht="15" x14ac:dyDescent="0.25">
      <c r="A186" s="27"/>
      <c r="B186" s="16"/>
      <c r="C186" s="655"/>
      <c r="D186" s="280"/>
      <c r="E186" s="281">
        <v>32</v>
      </c>
      <c r="F186" s="25" t="s">
        <v>535</v>
      </c>
      <c r="G186" s="25"/>
      <c r="H186" s="25"/>
      <c r="I186" s="701"/>
      <c r="J186" s="25"/>
      <c r="K186" s="25"/>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9"/>
      <c r="AQ186" s="229"/>
      <c r="AR186" s="229"/>
      <c r="AS186" s="228"/>
      <c r="AT186" s="228"/>
      <c r="AU186" s="228"/>
      <c r="AV186" s="228"/>
      <c r="AW186" s="228"/>
      <c r="AX186" s="228"/>
      <c r="AY186" s="230"/>
      <c r="AZ186" s="230"/>
      <c r="BA186" s="230"/>
    </row>
    <row r="187" spans="1:53" ht="83.25" customHeight="1" x14ac:dyDescent="0.25">
      <c r="A187" s="27"/>
      <c r="B187" s="19"/>
      <c r="C187" s="199">
        <v>6</v>
      </c>
      <c r="D187" s="124" t="s">
        <v>536</v>
      </c>
      <c r="E187" s="29"/>
      <c r="F187" s="31">
        <v>119</v>
      </c>
      <c r="G187" s="29" t="s">
        <v>135</v>
      </c>
      <c r="H187" s="278" t="s">
        <v>528</v>
      </c>
      <c r="I187" s="691" t="s">
        <v>136</v>
      </c>
      <c r="J187" s="29" t="s">
        <v>137</v>
      </c>
      <c r="K187" s="31" t="s">
        <v>477</v>
      </c>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6"/>
      <c r="AO187" s="36"/>
      <c r="AP187" s="35">
        <v>150000000</v>
      </c>
      <c r="AQ187" s="35">
        <v>13800000</v>
      </c>
      <c r="AR187" s="35">
        <v>5400000</v>
      </c>
      <c r="AS187" s="36">
        <v>182000000</v>
      </c>
      <c r="AT187" s="36"/>
      <c r="AU187" s="36"/>
      <c r="AV187" s="211"/>
      <c r="AW187" s="211"/>
      <c r="AX187" s="211"/>
      <c r="AY187" s="37">
        <f t="shared" ref="AY187" si="203">+L187+O187+R187+U187+X187+AA187+AD187+AG187+AJ187+AM187+AP187+AS187+AV187</f>
        <v>332000000</v>
      </c>
      <c r="AZ187" s="37">
        <f t="shared" ref="AZ187" si="204">+M187+P187+S187+V187+Y187+AB187+AE187+AH187+AK187+AN187+AQ187+AT187+AW187</f>
        <v>13800000</v>
      </c>
      <c r="BA187" s="37">
        <f t="shared" ref="BA187" si="205">+N187+Q187+T187+W187+Z187+AC187+AF187+AI187+AL187+AO187+AR187+AU187+AX187</f>
        <v>5400000</v>
      </c>
    </row>
    <row r="188" spans="1:53" s="12" customFormat="1" ht="20.25" x14ac:dyDescent="0.25">
      <c r="A188" s="27"/>
      <c r="B188" s="19"/>
      <c r="C188" s="31"/>
      <c r="D188" s="274"/>
      <c r="E188" s="40"/>
      <c r="F188" s="41"/>
      <c r="G188" s="40"/>
      <c r="H188" s="42"/>
      <c r="I188" s="685"/>
      <c r="J188" s="40"/>
      <c r="K188" s="41"/>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f t="shared" ref="AP188:AY188" si="206">SUM(AP187)</f>
        <v>150000000</v>
      </c>
      <c r="AQ188" s="43">
        <f t="shared" si="206"/>
        <v>13800000</v>
      </c>
      <c r="AR188" s="43">
        <f t="shared" si="206"/>
        <v>5400000</v>
      </c>
      <c r="AS188" s="43">
        <f t="shared" si="206"/>
        <v>182000000</v>
      </c>
      <c r="AT188" s="43">
        <f t="shared" si="206"/>
        <v>0</v>
      </c>
      <c r="AU188" s="43">
        <f t="shared" si="206"/>
        <v>0</v>
      </c>
      <c r="AV188" s="43">
        <f t="shared" si="206"/>
        <v>0</v>
      </c>
      <c r="AW188" s="43"/>
      <c r="AX188" s="43"/>
      <c r="AY188" s="43">
        <f t="shared" si="206"/>
        <v>332000000</v>
      </c>
      <c r="AZ188" s="43">
        <f t="shared" ref="AZ188:BA188" si="207">SUM(AZ187)</f>
        <v>13800000</v>
      </c>
      <c r="BA188" s="43">
        <f t="shared" si="207"/>
        <v>5400000</v>
      </c>
    </row>
    <row r="189" spans="1:53" s="12" customFormat="1" ht="20.25" x14ac:dyDescent="0.25">
      <c r="A189" s="27"/>
      <c r="B189" s="19"/>
      <c r="C189" s="144"/>
      <c r="D189" s="275"/>
      <c r="E189" s="58"/>
      <c r="F189" s="651"/>
      <c r="G189" s="58"/>
      <c r="H189" s="216"/>
      <c r="I189" s="700"/>
      <c r="J189" s="108"/>
      <c r="K189" s="651"/>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88"/>
      <c r="AQ189" s="88"/>
      <c r="AR189" s="88"/>
      <c r="AS189" s="60"/>
      <c r="AT189" s="60"/>
      <c r="AU189" s="60"/>
      <c r="AV189" s="61"/>
      <c r="AW189" s="63"/>
      <c r="AX189" s="63"/>
      <c r="AY189" s="147"/>
      <c r="AZ189" s="147"/>
      <c r="BA189" s="147"/>
    </row>
    <row r="190" spans="1:53" s="12" customFormat="1" ht="20.25" x14ac:dyDescent="0.25">
      <c r="A190" s="27"/>
      <c r="B190" s="19"/>
      <c r="C190" s="647"/>
      <c r="D190" s="277"/>
      <c r="E190" s="76">
        <v>33</v>
      </c>
      <c r="F190" s="78" t="s">
        <v>537</v>
      </c>
      <c r="G190" s="78"/>
      <c r="H190" s="78"/>
      <c r="I190" s="222"/>
      <c r="J190" s="78"/>
      <c r="K190" s="78"/>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80"/>
      <c r="AQ190" s="80"/>
      <c r="AR190" s="80"/>
      <c r="AS190" s="79"/>
      <c r="AT190" s="79"/>
      <c r="AU190" s="79"/>
      <c r="AV190" s="79"/>
      <c r="AW190" s="79"/>
      <c r="AX190" s="79"/>
      <c r="AY190" s="81"/>
      <c r="AZ190" s="81"/>
      <c r="BA190" s="81"/>
    </row>
    <row r="191" spans="1:53" ht="56.25" customHeight="1" x14ac:dyDescent="0.25">
      <c r="A191" s="27"/>
      <c r="B191" s="19"/>
      <c r="C191" s="282">
        <v>5</v>
      </c>
      <c r="D191" s="283" t="s">
        <v>531</v>
      </c>
      <c r="E191" s="100"/>
      <c r="F191" s="31">
        <v>120</v>
      </c>
      <c r="G191" s="29" t="s">
        <v>138</v>
      </c>
      <c r="H191" s="844" t="s">
        <v>528</v>
      </c>
      <c r="I191" s="827" t="s">
        <v>139</v>
      </c>
      <c r="J191" s="828" t="s">
        <v>140</v>
      </c>
      <c r="K191" s="31" t="s">
        <v>477</v>
      </c>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6"/>
      <c r="AO191" s="36"/>
      <c r="AP191" s="35">
        <v>40000000</v>
      </c>
      <c r="AQ191" s="35"/>
      <c r="AR191" s="35"/>
      <c r="AS191" s="36"/>
      <c r="AT191" s="36"/>
      <c r="AU191" s="36"/>
      <c r="AV191" s="36"/>
      <c r="AW191" s="36"/>
      <c r="AX191" s="36"/>
      <c r="AY191" s="37">
        <f t="shared" ref="AY191:AY192" si="208">+L191+O191+R191+U191+X191+AA191+AD191+AG191+AJ191+AM191+AP191+AS191+AV191</f>
        <v>40000000</v>
      </c>
      <c r="AZ191" s="37">
        <f t="shared" ref="AZ191:AZ192" si="209">+M191+P191+S191+V191+Y191+AB191+AE191+AH191+AK191+AN191+AQ191+AT191+AW191</f>
        <v>0</v>
      </c>
      <c r="BA191" s="37">
        <f t="shared" ref="BA191:BA192" si="210">+N191+Q191+T191+W191+Z191+AC191+AF191+AI191+AL191+AO191+AR191+AU191+AX191</f>
        <v>0</v>
      </c>
    </row>
    <row r="192" spans="1:53" ht="42.75" x14ac:dyDescent="0.25">
      <c r="A192" s="27"/>
      <c r="B192" s="19"/>
      <c r="C192" s="282">
        <v>5</v>
      </c>
      <c r="D192" s="283" t="s">
        <v>531</v>
      </c>
      <c r="E192" s="38"/>
      <c r="F192" s="31">
        <v>121</v>
      </c>
      <c r="G192" s="29" t="s">
        <v>141</v>
      </c>
      <c r="H192" s="845"/>
      <c r="I192" s="830"/>
      <c r="J192" s="831"/>
      <c r="K192" s="31" t="s">
        <v>477</v>
      </c>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6"/>
      <c r="AO192" s="36"/>
      <c r="AP192" s="35">
        <v>40000000</v>
      </c>
      <c r="AQ192" s="35"/>
      <c r="AR192" s="35"/>
      <c r="AS192" s="36"/>
      <c r="AT192" s="36"/>
      <c r="AU192" s="36"/>
      <c r="AV192" s="36"/>
      <c r="AW192" s="36"/>
      <c r="AX192" s="36"/>
      <c r="AY192" s="37">
        <f t="shared" si="208"/>
        <v>40000000</v>
      </c>
      <c r="AZ192" s="37">
        <f t="shared" si="209"/>
        <v>0</v>
      </c>
      <c r="BA192" s="37">
        <f t="shared" si="210"/>
        <v>0</v>
      </c>
    </row>
    <row r="193" spans="1:53" ht="15" x14ac:dyDescent="0.25">
      <c r="A193" s="27"/>
      <c r="B193" s="44"/>
      <c r="C193" s="31"/>
      <c r="D193" s="274"/>
      <c r="E193" s="40"/>
      <c r="F193" s="41"/>
      <c r="G193" s="40"/>
      <c r="H193" s="41"/>
      <c r="I193" s="685"/>
      <c r="J193" s="40"/>
      <c r="K193" s="41"/>
      <c r="L193" s="43">
        <f t="shared" ref="L193:N193" si="211">SUM(L191:L192)</f>
        <v>0</v>
      </c>
      <c r="M193" s="43">
        <f t="shared" si="211"/>
        <v>0</v>
      </c>
      <c r="N193" s="43">
        <f t="shared" si="211"/>
        <v>0</v>
      </c>
      <c r="O193" s="43">
        <f t="shared" ref="O193" si="212">SUM(O191:O192)</f>
        <v>0</v>
      </c>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f t="shared" ref="AP193:AY193" si="213">SUM(AP191:AP192)</f>
        <v>80000000</v>
      </c>
      <c r="AQ193" s="43">
        <f t="shared" ref="AQ193:AR193" si="214">SUM(AQ191:AQ192)</f>
        <v>0</v>
      </c>
      <c r="AR193" s="43">
        <f t="shared" si="214"/>
        <v>0</v>
      </c>
      <c r="AS193" s="43">
        <f t="shared" si="213"/>
        <v>0</v>
      </c>
      <c r="AT193" s="43">
        <f t="shared" ref="AT193:AU193" si="215">SUM(AT191:AT192)</f>
        <v>0</v>
      </c>
      <c r="AU193" s="43">
        <f t="shared" si="215"/>
        <v>0</v>
      </c>
      <c r="AV193" s="43">
        <f t="shared" si="213"/>
        <v>0</v>
      </c>
      <c r="AW193" s="43"/>
      <c r="AX193" s="43"/>
      <c r="AY193" s="43">
        <f t="shared" si="213"/>
        <v>80000000</v>
      </c>
      <c r="AZ193" s="43">
        <f t="shared" ref="AZ193:BA193" si="216">SUM(AZ191:AZ192)</f>
        <v>0</v>
      </c>
      <c r="BA193" s="43">
        <f t="shared" si="216"/>
        <v>0</v>
      </c>
    </row>
    <row r="194" spans="1:53" ht="17.25" customHeight="1" x14ac:dyDescent="0.25">
      <c r="A194" s="39"/>
      <c r="B194" s="104"/>
      <c r="C194" s="46"/>
      <c r="D194" s="279"/>
      <c r="E194" s="45"/>
      <c r="F194" s="46"/>
      <c r="G194" s="45"/>
      <c r="H194" s="46"/>
      <c r="I194" s="686"/>
      <c r="J194" s="45"/>
      <c r="K194" s="46"/>
      <c r="L194" s="48">
        <f t="shared" ref="L194:O194" si="217">L193+L188</f>
        <v>0</v>
      </c>
      <c r="M194" s="48">
        <f t="shared" ref="M194:N194" si="218">M193+M188</f>
        <v>0</v>
      </c>
      <c r="N194" s="48">
        <f t="shared" si="218"/>
        <v>0</v>
      </c>
      <c r="O194" s="48">
        <f t="shared" si="217"/>
        <v>0</v>
      </c>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f t="shared" ref="AP194:AY194" si="219">AP193+AP188</f>
        <v>230000000</v>
      </c>
      <c r="AQ194" s="48">
        <f t="shared" ref="AQ194:AR194" si="220">AQ193+AQ188</f>
        <v>13800000</v>
      </c>
      <c r="AR194" s="48">
        <f t="shared" si="220"/>
        <v>5400000</v>
      </c>
      <c r="AS194" s="48">
        <f t="shared" si="219"/>
        <v>182000000</v>
      </c>
      <c r="AT194" s="48">
        <f t="shared" ref="AT194:AU194" si="221">AT193+AT188</f>
        <v>0</v>
      </c>
      <c r="AU194" s="48">
        <f t="shared" si="221"/>
        <v>0</v>
      </c>
      <c r="AV194" s="48">
        <f t="shared" si="219"/>
        <v>0</v>
      </c>
      <c r="AW194" s="48"/>
      <c r="AX194" s="48"/>
      <c r="AY194" s="48">
        <f t="shared" si="219"/>
        <v>412000000</v>
      </c>
      <c r="AZ194" s="48">
        <f t="shared" ref="AZ194:BA194" si="222">AZ193+AZ188</f>
        <v>13800000</v>
      </c>
      <c r="BA194" s="48">
        <f t="shared" si="222"/>
        <v>5400000</v>
      </c>
    </row>
    <row r="195" spans="1:53" ht="20.25" customHeight="1" x14ac:dyDescent="0.25">
      <c r="A195" s="49"/>
      <c r="B195" s="49"/>
      <c r="C195" s="50"/>
      <c r="D195" s="284"/>
      <c r="E195" s="49"/>
      <c r="F195" s="50"/>
      <c r="G195" s="49"/>
      <c r="H195" s="50"/>
      <c r="I195" s="687"/>
      <c r="J195" s="49"/>
      <c r="K195" s="50"/>
      <c r="L195" s="52">
        <f t="shared" ref="L195:O195" si="223">L194+L183</f>
        <v>1512631200</v>
      </c>
      <c r="M195" s="52">
        <f t="shared" ref="M195:N195" si="224">M194+M183</f>
        <v>25600000</v>
      </c>
      <c r="N195" s="52">
        <f t="shared" si="224"/>
        <v>12800000</v>
      </c>
      <c r="O195" s="52">
        <f t="shared" si="223"/>
        <v>0</v>
      </c>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f t="shared" ref="AP195:AY195" si="225">AP194+AP183</f>
        <v>1515441000</v>
      </c>
      <c r="AQ195" s="52">
        <f t="shared" ref="AQ195:AR195" si="226">AQ194+AQ183</f>
        <v>92200000</v>
      </c>
      <c r="AR195" s="52">
        <f t="shared" si="226"/>
        <v>58800000</v>
      </c>
      <c r="AS195" s="52">
        <f t="shared" si="225"/>
        <v>182000000</v>
      </c>
      <c r="AT195" s="52">
        <f t="shared" ref="AT195:AU195" si="227">AT194+AT183</f>
        <v>0</v>
      </c>
      <c r="AU195" s="52">
        <f t="shared" si="227"/>
        <v>0</v>
      </c>
      <c r="AV195" s="52">
        <f t="shared" si="225"/>
        <v>0</v>
      </c>
      <c r="AW195" s="52"/>
      <c r="AX195" s="52"/>
      <c r="AY195" s="52">
        <f t="shared" si="225"/>
        <v>3210072200</v>
      </c>
      <c r="AZ195" s="52">
        <f t="shared" ref="AZ195:BA195" si="228">AZ194+AZ183</f>
        <v>117800000</v>
      </c>
      <c r="BA195" s="52">
        <f t="shared" si="228"/>
        <v>71600000</v>
      </c>
    </row>
    <row r="196" spans="1:53" ht="26.25" customHeight="1" x14ac:dyDescent="0.25">
      <c r="A196" s="53"/>
      <c r="B196" s="53"/>
      <c r="C196" s="54"/>
      <c r="D196" s="285"/>
      <c r="E196" s="53"/>
      <c r="F196" s="54"/>
      <c r="G196" s="53"/>
      <c r="H196" s="54"/>
      <c r="I196" s="688"/>
      <c r="J196" s="53"/>
      <c r="K196" s="54"/>
      <c r="L196" s="56">
        <f t="shared" ref="L196:O196" si="229">L195</f>
        <v>1512631200</v>
      </c>
      <c r="M196" s="56">
        <f t="shared" ref="M196:N196" si="230">M195</f>
        <v>25600000</v>
      </c>
      <c r="N196" s="56">
        <f t="shared" si="230"/>
        <v>12800000</v>
      </c>
      <c r="O196" s="56">
        <f t="shared" si="229"/>
        <v>0</v>
      </c>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f t="shared" ref="AP196:AY196" si="231">AP195</f>
        <v>1515441000</v>
      </c>
      <c r="AQ196" s="56">
        <f t="shared" ref="AQ196:AR196" si="232">AQ195</f>
        <v>92200000</v>
      </c>
      <c r="AR196" s="56">
        <f t="shared" si="232"/>
        <v>58800000</v>
      </c>
      <c r="AS196" s="56">
        <f t="shared" si="231"/>
        <v>182000000</v>
      </c>
      <c r="AT196" s="56">
        <f t="shared" ref="AT196:AU196" si="233">AT195</f>
        <v>0</v>
      </c>
      <c r="AU196" s="56">
        <f t="shared" si="233"/>
        <v>0</v>
      </c>
      <c r="AV196" s="56">
        <f t="shared" si="231"/>
        <v>0</v>
      </c>
      <c r="AW196" s="56"/>
      <c r="AX196" s="56"/>
      <c r="AY196" s="56">
        <f t="shared" si="231"/>
        <v>3210072200</v>
      </c>
      <c r="AZ196" s="56">
        <f t="shared" ref="AZ196:BA196" si="234">AZ195</f>
        <v>117800000</v>
      </c>
      <c r="BA196" s="56">
        <f t="shared" si="234"/>
        <v>71600000</v>
      </c>
    </row>
    <row r="197" spans="1:53" ht="35.25" customHeight="1" x14ac:dyDescent="0.25">
      <c r="A197" s="57"/>
      <c r="B197" s="58"/>
      <c r="C197" s="651"/>
      <c r="D197" s="286"/>
      <c r="E197" s="58"/>
      <c r="F197" s="651"/>
      <c r="G197" s="58"/>
      <c r="H197" s="651"/>
      <c r="I197" s="689"/>
      <c r="J197" s="58"/>
      <c r="K197" s="651"/>
      <c r="L197" s="60"/>
      <c r="M197" s="60"/>
      <c r="N197" s="60"/>
      <c r="O197" s="60"/>
      <c r="P197" s="60"/>
      <c r="Q197" s="60"/>
      <c r="R197" s="60"/>
      <c r="S197" s="60"/>
      <c r="T197" s="60"/>
      <c r="U197" s="60"/>
      <c r="V197" s="60"/>
      <c r="W197" s="60"/>
      <c r="X197" s="60"/>
      <c r="Y197" s="60"/>
      <c r="Z197" s="60"/>
      <c r="AA197" s="60"/>
      <c r="AB197" s="60"/>
      <c r="AC197" s="60"/>
      <c r="AD197" s="61"/>
      <c r="AE197" s="61"/>
      <c r="AF197" s="61"/>
      <c r="AG197" s="61"/>
      <c r="AH197" s="61"/>
      <c r="AI197" s="61"/>
      <c r="AJ197" s="60"/>
      <c r="AK197" s="60"/>
      <c r="AL197" s="60"/>
      <c r="AM197" s="60"/>
      <c r="AN197" s="60"/>
      <c r="AO197" s="60"/>
      <c r="AP197" s="62"/>
      <c r="AQ197" s="62"/>
      <c r="AR197" s="62"/>
      <c r="AS197" s="60"/>
      <c r="AT197" s="60"/>
      <c r="AU197" s="60"/>
      <c r="AV197" s="61"/>
      <c r="AW197" s="63"/>
      <c r="AX197" s="63"/>
      <c r="AY197" s="64"/>
      <c r="AZ197" s="64"/>
      <c r="BA197" s="64"/>
    </row>
    <row r="198" spans="1:53" ht="20.25" x14ac:dyDescent="0.25">
      <c r="A198" s="7" t="s">
        <v>142</v>
      </c>
      <c r="B198" s="8"/>
      <c r="C198" s="9"/>
      <c r="D198" s="8"/>
      <c r="E198" s="8"/>
      <c r="F198" s="9"/>
      <c r="G198" s="8"/>
      <c r="H198" s="8"/>
      <c r="I198" s="680"/>
      <c r="J198" s="8"/>
      <c r="K198" s="9"/>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6"/>
      <c r="AQ198" s="66"/>
      <c r="AR198" s="66"/>
      <c r="AS198" s="65"/>
      <c r="AT198" s="65"/>
      <c r="AU198" s="65"/>
      <c r="AV198" s="65"/>
      <c r="AW198" s="65"/>
      <c r="AX198" s="65"/>
      <c r="AY198" s="67" t="s">
        <v>500</v>
      </c>
      <c r="AZ198" s="67" t="s">
        <v>500</v>
      </c>
      <c r="BA198" s="67" t="s">
        <v>500</v>
      </c>
    </row>
    <row r="199" spans="1:53" ht="15.75" customHeight="1" x14ac:dyDescent="0.25">
      <c r="A199" s="4">
        <v>2</v>
      </c>
      <c r="B199" s="13" t="s">
        <v>481</v>
      </c>
      <c r="C199" s="14"/>
      <c r="D199" s="13"/>
      <c r="E199" s="13"/>
      <c r="F199" s="14"/>
      <c r="G199" s="13"/>
      <c r="H199" s="13"/>
      <c r="I199" s="681"/>
      <c r="J199" s="13"/>
      <c r="K199" s="13"/>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9"/>
      <c r="AQ199" s="69"/>
      <c r="AR199" s="69"/>
      <c r="AS199" s="68"/>
      <c r="AT199" s="68"/>
      <c r="AU199" s="68"/>
      <c r="AV199" s="68"/>
      <c r="AW199" s="68"/>
      <c r="AX199" s="68"/>
      <c r="AY199" s="70"/>
      <c r="AZ199" s="70"/>
      <c r="BA199" s="70"/>
    </row>
    <row r="200" spans="1:53" ht="15.75" customHeight="1" x14ac:dyDescent="0.25">
      <c r="A200" s="71"/>
      <c r="B200" s="154">
        <v>2</v>
      </c>
      <c r="C200" s="634" t="s">
        <v>538</v>
      </c>
      <c r="D200" s="17"/>
      <c r="E200" s="17"/>
      <c r="F200" s="640"/>
      <c r="G200" s="17"/>
      <c r="H200" s="17"/>
      <c r="I200" s="682"/>
      <c r="J200" s="17"/>
      <c r="K200" s="17"/>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3"/>
      <c r="AQ200" s="73"/>
      <c r="AR200" s="73"/>
      <c r="AS200" s="72"/>
      <c r="AT200" s="72"/>
      <c r="AU200" s="72"/>
      <c r="AV200" s="72"/>
      <c r="AW200" s="72"/>
      <c r="AX200" s="72"/>
      <c r="AY200" s="74"/>
      <c r="AZ200" s="74"/>
      <c r="BA200" s="74"/>
    </row>
    <row r="201" spans="1:53" ht="15" customHeight="1" x14ac:dyDescent="0.25">
      <c r="A201" s="27"/>
      <c r="B201" s="71"/>
      <c r="C201" s="651"/>
      <c r="D201" s="58"/>
      <c r="E201" s="287">
        <v>8</v>
      </c>
      <c r="F201" s="78" t="s">
        <v>539</v>
      </c>
      <c r="G201" s="78"/>
      <c r="H201" s="78"/>
      <c r="I201" s="222"/>
      <c r="J201" s="78"/>
      <c r="K201" s="78"/>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80"/>
      <c r="AQ201" s="80"/>
      <c r="AR201" s="80"/>
      <c r="AS201" s="79"/>
      <c r="AT201" s="79"/>
      <c r="AU201" s="79"/>
      <c r="AV201" s="79"/>
      <c r="AW201" s="79"/>
      <c r="AX201" s="79"/>
      <c r="AY201" s="81"/>
      <c r="AZ201" s="81"/>
      <c r="BA201" s="81"/>
    </row>
    <row r="202" spans="1:53" ht="48.75" customHeight="1" x14ac:dyDescent="0.25">
      <c r="A202" s="27"/>
      <c r="B202" s="27"/>
      <c r="C202" s="199">
        <v>6</v>
      </c>
      <c r="D202" s="124" t="s">
        <v>536</v>
      </c>
      <c r="E202" s="100"/>
      <c r="F202" s="31">
        <v>38</v>
      </c>
      <c r="G202" s="29" t="s">
        <v>143</v>
      </c>
      <c r="H202" s="828" t="s">
        <v>540</v>
      </c>
      <c r="I202" s="827" t="s">
        <v>144</v>
      </c>
      <c r="J202" s="828" t="s">
        <v>145</v>
      </c>
      <c r="K202" s="209" t="s">
        <v>466</v>
      </c>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6"/>
      <c r="AO202" s="36"/>
      <c r="AP202" s="35">
        <v>30000000</v>
      </c>
      <c r="AQ202" s="35"/>
      <c r="AR202" s="35"/>
      <c r="AS202" s="36"/>
      <c r="AT202" s="36"/>
      <c r="AU202" s="36"/>
      <c r="AV202" s="36"/>
      <c r="AW202" s="36"/>
      <c r="AX202" s="36"/>
      <c r="AY202" s="37">
        <f t="shared" ref="AY202:AY203" si="235">+L202+O202+R202+U202+X202+AA202+AD202+AG202+AJ202+AM202+AP202+AS202+AV202</f>
        <v>30000000</v>
      </c>
      <c r="AZ202" s="37">
        <f t="shared" ref="AZ202:AZ203" si="236">+M202+P202+S202+V202+Y202+AB202+AE202+AH202+AK202+AN202+AQ202+AT202+AW202</f>
        <v>0</v>
      </c>
      <c r="BA202" s="37">
        <f t="shared" ref="BA202:BA203" si="237">+N202+Q202+T202+W202+Z202+AC202+AF202+AI202+AL202+AO202+AR202+AU202+AX202</f>
        <v>0</v>
      </c>
    </row>
    <row r="203" spans="1:53" ht="55.5" customHeight="1" x14ac:dyDescent="0.25">
      <c r="A203" s="27"/>
      <c r="B203" s="27"/>
      <c r="C203" s="199">
        <v>6</v>
      </c>
      <c r="D203" s="124" t="s">
        <v>536</v>
      </c>
      <c r="E203" s="30"/>
      <c r="F203" s="31">
        <v>39</v>
      </c>
      <c r="G203" s="100" t="s">
        <v>146</v>
      </c>
      <c r="H203" s="831"/>
      <c r="I203" s="830"/>
      <c r="J203" s="831"/>
      <c r="K203" s="209" t="s">
        <v>466</v>
      </c>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6"/>
      <c r="AO203" s="36"/>
      <c r="AP203" s="35">
        <f>50000000+35000000</f>
        <v>85000000</v>
      </c>
      <c r="AQ203" s="35"/>
      <c r="AR203" s="35"/>
      <c r="AS203" s="36"/>
      <c r="AT203" s="36"/>
      <c r="AU203" s="36"/>
      <c r="AV203" s="36"/>
      <c r="AW203" s="36"/>
      <c r="AX203" s="36"/>
      <c r="AY203" s="37">
        <f t="shared" si="235"/>
        <v>85000000</v>
      </c>
      <c r="AZ203" s="37">
        <f t="shared" si="236"/>
        <v>0</v>
      </c>
      <c r="BA203" s="37">
        <f t="shared" si="237"/>
        <v>0</v>
      </c>
    </row>
    <row r="204" spans="1:53" ht="15" customHeight="1" x14ac:dyDescent="0.25">
      <c r="A204" s="27"/>
      <c r="B204" s="27"/>
      <c r="C204" s="28"/>
      <c r="D204" s="29"/>
      <c r="E204" s="40"/>
      <c r="F204" s="41"/>
      <c r="G204" s="40"/>
      <c r="H204" s="41"/>
      <c r="I204" s="685"/>
      <c r="J204" s="40"/>
      <c r="K204" s="41"/>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f>SUM(AP202:AP203)</f>
        <v>115000000</v>
      </c>
      <c r="AQ204" s="43">
        <f t="shared" ref="AQ204:AR204" si="238">SUM(AQ202:AQ203)</f>
        <v>0</v>
      </c>
      <c r="AR204" s="43">
        <f t="shared" si="238"/>
        <v>0</v>
      </c>
      <c r="AS204" s="43">
        <f>SUM(AS202:AS203)</f>
        <v>0</v>
      </c>
      <c r="AT204" s="43"/>
      <c r="AU204" s="43"/>
      <c r="AV204" s="43">
        <f>SUM(AV202:AV203)</f>
        <v>0</v>
      </c>
      <c r="AW204" s="43"/>
      <c r="AX204" s="43"/>
      <c r="AY204" s="43">
        <f>SUM(AY202:AY203)</f>
        <v>115000000</v>
      </c>
      <c r="AZ204" s="43">
        <f t="shared" ref="AZ204:BA204" si="239">SUM(AZ202:AZ203)</f>
        <v>0</v>
      </c>
      <c r="BA204" s="43">
        <f t="shared" si="239"/>
        <v>0</v>
      </c>
    </row>
    <row r="205" spans="1:53" ht="15" customHeight="1" x14ac:dyDescent="0.25">
      <c r="A205" s="27"/>
      <c r="B205" s="27"/>
      <c r="C205" s="28"/>
      <c r="D205" s="29"/>
      <c r="E205" s="29"/>
      <c r="F205" s="31"/>
      <c r="G205" s="29"/>
      <c r="H205" s="646"/>
      <c r="I205" s="666"/>
      <c r="J205" s="637"/>
      <c r="K205" s="31"/>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288"/>
      <c r="AI205" s="288"/>
      <c r="AJ205" s="288"/>
      <c r="AK205" s="288"/>
      <c r="AL205" s="288"/>
      <c r="AM205" s="288"/>
      <c r="AN205" s="321"/>
      <c r="AO205" s="321"/>
      <c r="AP205" s="289"/>
      <c r="AQ205" s="289"/>
      <c r="AR205" s="289"/>
      <c r="AS205" s="36"/>
      <c r="AT205" s="36"/>
      <c r="AU205" s="36"/>
      <c r="AV205" s="36"/>
      <c r="AW205" s="145"/>
      <c r="AX205" s="145"/>
      <c r="AY205" s="64"/>
      <c r="AZ205" s="64"/>
      <c r="BA205" s="64"/>
    </row>
    <row r="206" spans="1:53" ht="15" customHeight="1" x14ac:dyDescent="0.25">
      <c r="A206" s="27"/>
      <c r="B206" s="27"/>
      <c r="C206" s="28"/>
      <c r="D206" s="29"/>
      <c r="E206" s="191">
        <v>9</v>
      </c>
      <c r="F206" s="221" t="s">
        <v>541</v>
      </c>
      <c r="G206" s="78"/>
      <c r="H206" s="78"/>
      <c r="I206" s="222"/>
      <c r="J206" s="78"/>
      <c r="K206" s="78"/>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80"/>
      <c r="AQ206" s="80"/>
      <c r="AR206" s="80"/>
      <c r="AS206" s="79"/>
      <c r="AT206" s="79"/>
      <c r="AU206" s="79"/>
      <c r="AV206" s="79"/>
      <c r="AW206" s="79"/>
      <c r="AX206" s="79"/>
      <c r="AY206" s="81"/>
      <c r="AZ206" s="81"/>
      <c r="BA206" s="81"/>
    </row>
    <row r="207" spans="1:53" ht="48.75" customHeight="1" x14ac:dyDescent="0.25">
      <c r="A207" s="27"/>
      <c r="B207" s="27"/>
      <c r="C207" s="653">
        <v>5</v>
      </c>
      <c r="D207" s="29" t="s">
        <v>542</v>
      </c>
      <c r="E207" s="844">
        <v>0</v>
      </c>
      <c r="F207" s="31">
        <v>43</v>
      </c>
      <c r="G207" s="29" t="s">
        <v>147</v>
      </c>
      <c r="H207" s="844" t="s">
        <v>540</v>
      </c>
      <c r="I207" s="827" t="s">
        <v>148</v>
      </c>
      <c r="J207" s="828" t="s">
        <v>149</v>
      </c>
      <c r="K207" s="31" t="s">
        <v>477</v>
      </c>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6"/>
      <c r="AO207" s="36"/>
      <c r="AP207" s="35">
        <f>40000000+15085000</f>
        <v>55085000</v>
      </c>
      <c r="AQ207" s="35">
        <v>9000000</v>
      </c>
      <c r="AR207" s="185">
        <v>4500000</v>
      </c>
      <c r="AS207" s="36"/>
      <c r="AT207" s="36"/>
      <c r="AU207" s="36"/>
      <c r="AV207" s="36"/>
      <c r="AW207" s="36"/>
      <c r="AX207" s="36"/>
      <c r="AY207" s="37">
        <f t="shared" ref="AY207:AY209" si="240">+L207+O207+R207+U207+X207+AA207+AD207+AG207+AJ207+AM207+AP207+AS207+AV207</f>
        <v>55085000</v>
      </c>
      <c r="AZ207" s="37">
        <f t="shared" ref="AZ207:AZ209" si="241">+M207+P207+S207+V207+Y207+AB207+AE207+AH207+AK207+AN207+AQ207+AT207+AW207</f>
        <v>9000000</v>
      </c>
      <c r="BA207" s="37">
        <f t="shared" ref="BA207:BA209" si="242">+N207+Q207+T207+W207+Z207+AC207+AF207+AI207+AL207+AO207+AR207+AU207+AX207</f>
        <v>4500000</v>
      </c>
    </row>
    <row r="208" spans="1:53" ht="55.5" customHeight="1" x14ac:dyDescent="0.25">
      <c r="A208" s="27"/>
      <c r="B208" s="27"/>
      <c r="C208" s="31">
        <v>7</v>
      </c>
      <c r="D208" s="158" t="s">
        <v>543</v>
      </c>
      <c r="E208" s="820"/>
      <c r="F208" s="31">
        <v>45</v>
      </c>
      <c r="G208" s="29" t="s">
        <v>150</v>
      </c>
      <c r="H208" s="820"/>
      <c r="I208" s="821"/>
      <c r="J208" s="824"/>
      <c r="K208" s="31" t="s">
        <v>477</v>
      </c>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6"/>
      <c r="AO208" s="36"/>
      <c r="AP208" s="35">
        <v>100000000</v>
      </c>
      <c r="AQ208" s="35">
        <v>15400000</v>
      </c>
      <c r="AR208" s="185">
        <v>6100000</v>
      </c>
      <c r="AS208" s="36"/>
      <c r="AT208" s="36"/>
      <c r="AU208" s="36"/>
      <c r="AV208" s="36"/>
      <c r="AW208" s="36"/>
      <c r="AX208" s="36"/>
      <c r="AY208" s="37">
        <f t="shared" si="240"/>
        <v>100000000</v>
      </c>
      <c r="AZ208" s="37">
        <f t="shared" si="241"/>
        <v>15400000</v>
      </c>
      <c r="BA208" s="37">
        <f t="shared" si="242"/>
        <v>6100000</v>
      </c>
    </row>
    <row r="209" spans="1:53" ht="42.75" x14ac:dyDescent="0.25">
      <c r="A209" s="27"/>
      <c r="B209" s="27"/>
      <c r="C209" s="31">
        <v>7</v>
      </c>
      <c r="D209" s="158" t="s">
        <v>543</v>
      </c>
      <c r="E209" s="845"/>
      <c r="F209" s="31">
        <v>46</v>
      </c>
      <c r="G209" s="29" t="s">
        <v>151</v>
      </c>
      <c r="H209" s="845"/>
      <c r="I209" s="830"/>
      <c r="J209" s="831"/>
      <c r="K209" s="31" t="s">
        <v>466</v>
      </c>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6"/>
      <c r="AO209" s="36"/>
      <c r="AP209" s="35">
        <v>100000000</v>
      </c>
      <c r="AQ209" s="35"/>
      <c r="AR209" s="35"/>
      <c r="AS209" s="36"/>
      <c r="AT209" s="36"/>
      <c r="AU209" s="36"/>
      <c r="AV209" s="36"/>
      <c r="AW209" s="36"/>
      <c r="AX209" s="36"/>
      <c r="AY209" s="37">
        <f t="shared" si="240"/>
        <v>100000000</v>
      </c>
      <c r="AZ209" s="37">
        <f t="shared" si="241"/>
        <v>0</v>
      </c>
      <c r="BA209" s="37">
        <f t="shared" si="242"/>
        <v>0</v>
      </c>
    </row>
    <row r="210" spans="1:53" ht="15" customHeight="1" x14ac:dyDescent="0.25">
      <c r="A210" s="27"/>
      <c r="B210" s="27"/>
      <c r="C210" s="646"/>
      <c r="D210" s="637"/>
      <c r="E210" s="40"/>
      <c r="F210" s="41"/>
      <c r="G210" s="40"/>
      <c r="H210" s="41"/>
      <c r="I210" s="685"/>
      <c r="J210" s="40"/>
      <c r="K210" s="41"/>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f>SUM(AP207:AP209)</f>
        <v>255085000</v>
      </c>
      <c r="AQ210" s="43">
        <f t="shared" ref="AQ210:AR210" si="243">SUM(AQ207:AQ209)</f>
        <v>24400000</v>
      </c>
      <c r="AR210" s="43">
        <f t="shared" si="243"/>
        <v>10600000</v>
      </c>
      <c r="AS210" s="43">
        <f>SUM(AS207:AS209)</f>
        <v>0</v>
      </c>
      <c r="AT210" s="43"/>
      <c r="AU210" s="43"/>
      <c r="AV210" s="43">
        <f>SUM(AV207:AV209)</f>
        <v>0</v>
      </c>
      <c r="AW210" s="43"/>
      <c r="AX210" s="43"/>
      <c r="AY210" s="43">
        <f>SUM(AY207:AY209)</f>
        <v>255085000</v>
      </c>
      <c r="AZ210" s="43">
        <f t="shared" ref="AZ210:BA210" si="244">SUM(AZ207:AZ209)</f>
        <v>24400000</v>
      </c>
      <c r="BA210" s="43">
        <f t="shared" si="244"/>
        <v>10600000</v>
      </c>
    </row>
    <row r="211" spans="1:53" ht="15" customHeight="1" x14ac:dyDescent="0.25">
      <c r="A211" s="27"/>
      <c r="B211" s="157"/>
      <c r="C211" s="290"/>
      <c r="D211" s="253"/>
      <c r="E211" s="141"/>
      <c r="F211" s="142"/>
      <c r="G211" s="141"/>
      <c r="H211" s="142"/>
      <c r="I211" s="697"/>
      <c r="J211" s="141"/>
      <c r="K211" s="142"/>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248"/>
      <c r="AQ211" s="248"/>
      <c r="AR211" s="248"/>
      <c r="AS211" s="145"/>
      <c r="AT211" s="145"/>
      <c r="AU211" s="145"/>
      <c r="AV211" s="145"/>
      <c r="AW211" s="145"/>
      <c r="AX211" s="145"/>
      <c r="AY211" s="64"/>
      <c r="AZ211" s="64"/>
      <c r="BA211" s="64"/>
    </row>
    <row r="212" spans="1:53" ht="15" customHeight="1" x14ac:dyDescent="0.25">
      <c r="A212" s="27"/>
      <c r="B212" s="27"/>
      <c r="C212" s="276"/>
      <c r="D212" s="639"/>
      <c r="E212" s="191">
        <v>10</v>
      </c>
      <c r="F212" s="221" t="s">
        <v>544</v>
      </c>
      <c r="G212" s="78"/>
      <c r="H212" s="78"/>
      <c r="I212" s="222"/>
      <c r="J212" s="78"/>
      <c r="K212" s="78"/>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80"/>
      <c r="AQ212" s="80"/>
      <c r="AR212" s="80"/>
      <c r="AS212" s="79"/>
      <c r="AT212" s="79"/>
      <c r="AU212" s="79"/>
      <c r="AV212" s="79"/>
      <c r="AW212" s="79"/>
      <c r="AX212" s="79"/>
      <c r="AY212" s="81"/>
      <c r="AZ212" s="81"/>
      <c r="BA212" s="81"/>
    </row>
    <row r="213" spans="1:53" ht="79.5" customHeight="1" x14ac:dyDescent="0.25">
      <c r="A213" s="27"/>
      <c r="B213" s="27"/>
      <c r="C213" s="31">
        <v>6</v>
      </c>
      <c r="D213" s="158" t="s">
        <v>545</v>
      </c>
      <c r="E213" s="158"/>
      <c r="F213" s="31">
        <v>47</v>
      </c>
      <c r="G213" s="29" t="s">
        <v>152</v>
      </c>
      <c r="H213" s="828" t="s">
        <v>540</v>
      </c>
      <c r="I213" s="827" t="s">
        <v>153</v>
      </c>
      <c r="J213" s="828" t="s">
        <v>154</v>
      </c>
      <c r="K213" s="31" t="s">
        <v>477</v>
      </c>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6"/>
      <c r="AO213" s="36"/>
      <c r="AP213" s="35">
        <v>60000000</v>
      </c>
      <c r="AQ213" s="35">
        <v>52013333</v>
      </c>
      <c r="AR213" s="35">
        <v>19000000</v>
      </c>
      <c r="AS213" s="36"/>
      <c r="AT213" s="36"/>
      <c r="AU213" s="36"/>
      <c r="AV213" s="36"/>
      <c r="AW213" s="36"/>
      <c r="AX213" s="36"/>
      <c r="AY213" s="37">
        <f t="shared" ref="AY213:AY214" si="245">+L213+O213+R213+U213+X213+AA213+AD213+AG213+AJ213+AM213+AP213+AS213+AV213</f>
        <v>60000000</v>
      </c>
      <c r="AZ213" s="37">
        <f t="shared" ref="AZ213:AZ214" si="246">+M213+P213+S213+V213+Y213+AB213+AE213+AH213+AK213+AN213+AQ213+AT213+AW213</f>
        <v>52013333</v>
      </c>
      <c r="BA213" s="37">
        <f t="shared" ref="BA213:BA214" si="247">+N213+Q213+T213+W213+Z213+AC213+AF213+AI213+AL213+AO213+AR213+AU213+AX213</f>
        <v>19000000</v>
      </c>
    </row>
    <row r="214" spans="1:53" ht="70.5" customHeight="1" x14ac:dyDescent="0.25">
      <c r="A214" s="27"/>
      <c r="B214" s="27"/>
      <c r="C214" s="654">
        <v>6</v>
      </c>
      <c r="D214" s="30" t="s">
        <v>545</v>
      </c>
      <c r="E214" s="30"/>
      <c r="F214" s="31">
        <v>48</v>
      </c>
      <c r="G214" s="29" t="s">
        <v>155</v>
      </c>
      <c r="H214" s="824"/>
      <c r="I214" s="821"/>
      <c r="J214" s="824"/>
      <c r="K214" s="31" t="s">
        <v>466</v>
      </c>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6"/>
      <c r="AO214" s="36"/>
      <c r="AP214" s="35">
        <v>200000000</v>
      </c>
      <c r="AQ214" s="35"/>
      <c r="AR214" s="35"/>
      <c r="AS214" s="36"/>
      <c r="AT214" s="36"/>
      <c r="AU214" s="36"/>
      <c r="AV214" s="36"/>
      <c r="AW214" s="36"/>
      <c r="AX214" s="36"/>
      <c r="AY214" s="37">
        <f t="shared" si="245"/>
        <v>200000000</v>
      </c>
      <c r="AZ214" s="37">
        <f t="shared" si="246"/>
        <v>0</v>
      </c>
      <c r="BA214" s="37">
        <f t="shared" si="247"/>
        <v>0</v>
      </c>
    </row>
    <row r="215" spans="1:53" ht="15.75" customHeight="1" x14ac:dyDescent="0.25">
      <c r="A215" s="27"/>
      <c r="B215" s="39"/>
      <c r="C215" s="28"/>
      <c r="D215" s="29"/>
      <c r="E215" s="40"/>
      <c r="F215" s="41"/>
      <c r="G215" s="40"/>
      <c r="H215" s="41"/>
      <c r="I215" s="685"/>
      <c r="J215" s="40"/>
      <c r="K215" s="41"/>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f>SUM(AP213:AP214)</f>
        <v>260000000</v>
      </c>
      <c r="AQ215" s="43">
        <f t="shared" ref="AQ215:AR215" si="248">SUM(AQ213:AQ214)</f>
        <v>52013333</v>
      </c>
      <c r="AR215" s="43">
        <f t="shared" si="248"/>
        <v>19000000</v>
      </c>
      <c r="AS215" s="43">
        <f>SUM(AS213:AS214)</f>
        <v>0</v>
      </c>
      <c r="AT215" s="43"/>
      <c r="AU215" s="43"/>
      <c r="AV215" s="43">
        <f>SUM(AV213:AV214)</f>
        <v>0</v>
      </c>
      <c r="AW215" s="43"/>
      <c r="AX215" s="43"/>
      <c r="AY215" s="43">
        <f>SUM(AY213:AY214)</f>
        <v>260000000</v>
      </c>
      <c r="AZ215" s="43">
        <f t="shared" ref="AZ215:BA215" si="249">SUM(AZ213:AZ214)</f>
        <v>52013333</v>
      </c>
      <c r="BA215" s="43">
        <f t="shared" si="249"/>
        <v>19000000</v>
      </c>
    </row>
    <row r="216" spans="1:53" ht="15" customHeight="1" x14ac:dyDescent="0.25">
      <c r="A216" s="27"/>
      <c r="B216" s="104"/>
      <c r="C216" s="46"/>
      <c r="D216" s="45"/>
      <c r="E216" s="45"/>
      <c r="F216" s="46"/>
      <c r="G216" s="45"/>
      <c r="H216" s="46"/>
      <c r="I216" s="686"/>
      <c r="J216" s="45"/>
      <c r="K216" s="46"/>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f>AP215+AP210+AP204</f>
        <v>630085000</v>
      </c>
      <c r="AQ216" s="48">
        <f t="shared" ref="AQ216:AR216" si="250">AQ215+AQ210+AQ204</f>
        <v>76413333</v>
      </c>
      <c r="AR216" s="48">
        <f t="shared" si="250"/>
        <v>29600000</v>
      </c>
      <c r="AS216" s="48">
        <f>AS215+AS210+AS204</f>
        <v>0</v>
      </c>
      <c r="AT216" s="48"/>
      <c r="AU216" s="48"/>
      <c r="AV216" s="48">
        <f>AV215+AV210+AV204</f>
        <v>0</v>
      </c>
      <c r="AW216" s="48"/>
      <c r="AX216" s="48"/>
      <c r="AY216" s="48">
        <f>AY215+AY210+AY204</f>
        <v>630085000</v>
      </c>
      <c r="AZ216" s="48">
        <f t="shared" ref="AZ216:BA216" si="251">AZ215+AZ210+AZ204</f>
        <v>76413333</v>
      </c>
      <c r="BA216" s="48">
        <f t="shared" si="251"/>
        <v>29600000</v>
      </c>
    </row>
    <row r="217" spans="1:53" ht="15" customHeight="1" x14ac:dyDescent="0.25">
      <c r="A217" s="27"/>
      <c r="B217" s="82"/>
      <c r="C217" s="31"/>
      <c r="D217" s="29"/>
      <c r="E217" s="29"/>
      <c r="F217" s="31"/>
      <c r="G217" s="29"/>
      <c r="H217" s="31"/>
      <c r="I217" s="691"/>
      <c r="J217" s="29"/>
      <c r="K217" s="31"/>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6"/>
      <c r="AO217" s="36"/>
      <c r="AP217" s="189"/>
      <c r="AQ217" s="189"/>
      <c r="AR217" s="189"/>
      <c r="AS217" s="36"/>
      <c r="AT217" s="36"/>
      <c r="AU217" s="36"/>
      <c r="AV217" s="36"/>
      <c r="AW217" s="145"/>
      <c r="AX217" s="145"/>
      <c r="AY217" s="64"/>
      <c r="AZ217" s="64"/>
      <c r="BA217" s="64"/>
    </row>
    <row r="218" spans="1:53" ht="15.75" customHeight="1" x14ac:dyDescent="0.25">
      <c r="A218" s="27"/>
      <c r="B218" s="154">
        <v>3</v>
      </c>
      <c r="C218" s="634" t="s">
        <v>546</v>
      </c>
      <c r="D218" s="17"/>
      <c r="E218" s="17"/>
      <c r="F218" s="640"/>
      <c r="G218" s="17"/>
      <c r="H218" s="17"/>
      <c r="I218" s="682"/>
      <c r="J218" s="17"/>
      <c r="K218" s="17"/>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3"/>
      <c r="AQ218" s="73"/>
      <c r="AR218" s="73"/>
      <c r="AS218" s="72"/>
      <c r="AT218" s="72"/>
      <c r="AU218" s="72"/>
      <c r="AV218" s="72"/>
      <c r="AW218" s="72"/>
      <c r="AX218" s="72"/>
      <c r="AY218" s="74"/>
      <c r="AZ218" s="74"/>
      <c r="BA218" s="74"/>
    </row>
    <row r="219" spans="1:53" ht="15" customHeight="1" x14ac:dyDescent="0.25">
      <c r="A219" s="27"/>
      <c r="B219" s="100" t="s">
        <v>500</v>
      </c>
      <c r="C219" s="156"/>
      <c r="D219" s="291"/>
      <c r="E219" s="281">
        <v>11</v>
      </c>
      <c r="F219" s="25" t="s">
        <v>547</v>
      </c>
      <c r="G219" s="25"/>
      <c r="H219" s="25"/>
      <c r="I219" s="701"/>
      <c r="J219" s="25"/>
      <c r="K219" s="25"/>
      <c r="L219" s="228"/>
      <c r="M219" s="228"/>
      <c r="N219" s="228"/>
      <c r="O219" s="228"/>
      <c r="P219" s="228"/>
      <c r="Q219" s="228"/>
      <c r="R219" s="228"/>
      <c r="S219" s="228"/>
      <c r="T219" s="228"/>
      <c r="U219" s="228"/>
      <c r="V219" s="228"/>
      <c r="W219" s="228"/>
      <c r="X219" s="228"/>
      <c r="Y219" s="228"/>
      <c r="Z219" s="228"/>
      <c r="AA219" s="228"/>
      <c r="AB219" s="228"/>
      <c r="AC219" s="228"/>
      <c r="AD219" s="228"/>
      <c r="AE219" s="228"/>
      <c r="AF219" s="228"/>
      <c r="AG219" s="228"/>
      <c r="AH219" s="228"/>
      <c r="AI219" s="228"/>
      <c r="AJ219" s="228"/>
      <c r="AK219" s="228"/>
      <c r="AL219" s="228"/>
      <c r="AM219" s="228"/>
      <c r="AN219" s="228"/>
      <c r="AO219" s="228"/>
      <c r="AP219" s="229"/>
      <c r="AQ219" s="229"/>
      <c r="AR219" s="229"/>
      <c r="AS219" s="228"/>
      <c r="AT219" s="228"/>
      <c r="AU219" s="228"/>
      <c r="AV219" s="228"/>
      <c r="AW219" s="228"/>
      <c r="AX219" s="228"/>
      <c r="AY219" s="230"/>
      <c r="AZ219" s="230"/>
      <c r="BA219" s="230"/>
    </row>
    <row r="220" spans="1:53" ht="68.25" customHeight="1" x14ac:dyDescent="0.25">
      <c r="A220" s="178"/>
      <c r="B220" s="180"/>
      <c r="C220" s="650">
        <v>8</v>
      </c>
      <c r="D220" s="644" t="s">
        <v>548</v>
      </c>
      <c r="E220" s="650"/>
      <c r="F220" s="204">
        <v>51</v>
      </c>
      <c r="G220" s="641" t="s">
        <v>156</v>
      </c>
      <c r="H220" s="650" t="s">
        <v>540</v>
      </c>
      <c r="I220" s="670" t="s">
        <v>157</v>
      </c>
      <c r="J220" s="644" t="s">
        <v>158</v>
      </c>
      <c r="K220" s="182" t="s">
        <v>466</v>
      </c>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6"/>
      <c r="AO220" s="186"/>
      <c r="AP220" s="185">
        <f>260085000+120000000+250000000</f>
        <v>630085000</v>
      </c>
      <c r="AQ220" s="185">
        <v>93839999</v>
      </c>
      <c r="AR220" s="185">
        <v>44800000</v>
      </c>
      <c r="AS220" s="186"/>
      <c r="AT220" s="186"/>
      <c r="AU220" s="186"/>
      <c r="AV220" s="186"/>
      <c r="AW220" s="186"/>
      <c r="AX220" s="186"/>
      <c r="AY220" s="37">
        <f t="shared" ref="AY220" si="252">+L220+O220+R220+U220+X220+AA220+AD220+AG220+AJ220+AM220+AP220+AS220+AV220</f>
        <v>630085000</v>
      </c>
      <c r="AZ220" s="37">
        <f t="shared" ref="AZ220" si="253">+M220+P220+S220+V220+Y220+AB220+AE220+AH220+AK220+AN220+AQ220+AT220+AW220</f>
        <v>93839999</v>
      </c>
      <c r="BA220" s="37">
        <f t="shared" ref="BA220" si="254">+N220+Q220+T220+W220+Z220+AC220+AF220+AI220+AL220+AO220+AR220+AU220+AX220</f>
        <v>44800000</v>
      </c>
    </row>
    <row r="221" spans="1:53" ht="15" customHeight="1" x14ac:dyDescent="0.25">
      <c r="A221" s="27"/>
      <c r="B221" s="30"/>
      <c r="C221" s="28"/>
      <c r="D221" s="29"/>
      <c r="E221" s="40"/>
      <c r="F221" s="41"/>
      <c r="G221" s="40"/>
      <c r="H221" s="41"/>
      <c r="I221" s="685"/>
      <c r="J221" s="40"/>
      <c r="K221" s="41"/>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f>SUM(AP220:AP220)</f>
        <v>630085000</v>
      </c>
      <c r="AQ221" s="43">
        <f t="shared" ref="AQ221:AR221" si="255">SUM(AQ220:AQ220)</f>
        <v>93839999</v>
      </c>
      <c r="AR221" s="43">
        <f t="shared" si="255"/>
        <v>44800000</v>
      </c>
      <c r="AS221" s="43">
        <f>SUM(AS220:AS220)</f>
        <v>0</v>
      </c>
      <c r="AT221" s="43"/>
      <c r="AU221" s="43"/>
      <c r="AV221" s="43">
        <f>SUM(AV220:AV220)</f>
        <v>0</v>
      </c>
      <c r="AW221" s="43"/>
      <c r="AX221" s="43"/>
      <c r="AY221" s="43">
        <f>SUM(AY220:AY220)</f>
        <v>630085000</v>
      </c>
      <c r="AZ221" s="43">
        <f t="shared" ref="AZ221:BA221" si="256">SUM(AZ220:AZ220)</f>
        <v>93839999</v>
      </c>
      <c r="BA221" s="43">
        <f t="shared" si="256"/>
        <v>44800000</v>
      </c>
    </row>
    <row r="222" spans="1:53" ht="15" customHeight="1" x14ac:dyDescent="0.25">
      <c r="A222" s="27"/>
      <c r="B222" s="30"/>
      <c r="C222" s="651"/>
      <c r="D222" s="58"/>
      <c r="E222" s="58"/>
      <c r="F222" s="651"/>
      <c r="G222" s="58"/>
      <c r="H222" s="651"/>
      <c r="I222" s="689"/>
      <c r="J222" s="58"/>
      <c r="K222" s="651"/>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145"/>
      <c r="AI222" s="145"/>
      <c r="AJ222" s="145"/>
      <c r="AK222" s="145"/>
      <c r="AL222" s="145"/>
      <c r="AM222" s="145"/>
      <c r="AN222" s="145"/>
      <c r="AO222" s="145"/>
      <c r="AP222" s="248"/>
      <c r="AQ222" s="248"/>
      <c r="AR222" s="248"/>
      <c r="AS222" s="60"/>
      <c r="AT222" s="60"/>
      <c r="AU222" s="60"/>
      <c r="AV222" s="60"/>
      <c r="AW222" s="145"/>
      <c r="AX222" s="145"/>
      <c r="AY222" s="64"/>
      <c r="AZ222" s="64"/>
      <c r="BA222" s="64"/>
    </row>
    <row r="223" spans="1:53" s="292" customFormat="1" ht="20.25" customHeight="1" x14ac:dyDescent="0.25">
      <c r="A223" s="27"/>
      <c r="B223" s="30"/>
      <c r="C223" s="28"/>
      <c r="D223" s="29"/>
      <c r="E223" s="76">
        <v>13</v>
      </c>
      <c r="F223" s="222" t="s">
        <v>549</v>
      </c>
      <c r="G223" s="78"/>
      <c r="H223" s="78"/>
      <c r="I223" s="690"/>
      <c r="J223" s="78"/>
      <c r="K223" s="78"/>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80"/>
      <c r="AQ223" s="80"/>
      <c r="AR223" s="80"/>
      <c r="AS223" s="79"/>
      <c r="AT223" s="79"/>
      <c r="AU223" s="79"/>
      <c r="AV223" s="79"/>
      <c r="AW223" s="79"/>
      <c r="AX223" s="79"/>
      <c r="AY223" s="81"/>
      <c r="AZ223" s="81"/>
      <c r="BA223" s="81"/>
    </row>
    <row r="224" spans="1:53" s="294" customFormat="1" ht="73.5" customHeight="1" x14ac:dyDescent="0.25">
      <c r="A224" s="27"/>
      <c r="B224" s="30"/>
      <c r="C224" s="28">
        <v>8</v>
      </c>
      <c r="D224" s="29" t="s">
        <v>550</v>
      </c>
      <c r="E224" s="100"/>
      <c r="F224" s="31">
        <v>53</v>
      </c>
      <c r="G224" s="29" t="s">
        <v>159</v>
      </c>
      <c r="H224" s="29" t="s">
        <v>540</v>
      </c>
      <c r="I224" s="691" t="s">
        <v>160</v>
      </c>
      <c r="J224" s="293" t="s">
        <v>161</v>
      </c>
      <c r="K224" s="31" t="s">
        <v>466</v>
      </c>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6"/>
      <c r="AO224" s="36"/>
      <c r="AP224" s="35"/>
      <c r="AQ224" s="35"/>
      <c r="AR224" s="35"/>
      <c r="AS224" s="189">
        <v>582080000</v>
      </c>
      <c r="AT224" s="189">
        <v>232026666</v>
      </c>
      <c r="AU224" s="189">
        <v>73400000</v>
      </c>
      <c r="AV224" s="189"/>
      <c r="AW224" s="189"/>
      <c r="AX224" s="189"/>
      <c r="AY224" s="37">
        <f t="shared" ref="AY224" si="257">+L224+O224+R224+U224+X224+AA224+AD224+AG224+AJ224+AM224+AP224+AS224+AV224</f>
        <v>582080000</v>
      </c>
      <c r="AZ224" s="37">
        <f t="shared" ref="AZ224" si="258">+M224+P224+S224+V224+Y224+AB224+AE224+AH224+AK224+AN224+AQ224+AT224+AW224</f>
        <v>232026666</v>
      </c>
      <c r="BA224" s="37">
        <f t="shared" ref="BA224" si="259">+N224+Q224+T224+W224+Z224+AC224+AF224+AI224+AL224+AO224+AR224+AU224+AX224</f>
        <v>73400000</v>
      </c>
    </row>
    <row r="225" spans="1:53" ht="15" customHeight="1" x14ac:dyDescent="0.25">
      <c r="A225" s="27"/>
      <c r="B225" s="38"/>
      <c r="C225" s="28"/>
      <c r="D225" s="29"/>
      <c r="E225" s="40"/>
      <c r="F225" s="41"/>
      <c r="G225" s="40"/>
      <c r="H225" s="41"/>
      <c r="I225" s="685"/>
      <c r="J225" s="40"/>
      <c r="K225" s="41"/>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f t="shared" ref="AP225:AY225" si="260">SUM(AP224:AP224)</f>
        <v>0</v>
      </c>
      <c r="AQ225" s="43">
        <f t="shared" ref="AQ225:AR225" si="261">SUM(AQ224:AQ224)</f>
        <v>0</v>
      </c>
      <c r="AR225" s="43">
        <f t="shared" si="261"/>
        <v>0</v>
      </c>
      <c r="AS225" s="43">
        <f t="shared" si="260"/>
        <v>582080000</v>
      </c>
      <c r="AT225" s="43">
        <f t="shared" ref="AT225:AU225" si="262">SUM(AT224:AT224)</f>
        <v>232026666</v>
      </c>
      <c r="AU225" s="43">
        <f t="shared" si="262"/>
        <v>73400000</v>
      </c>
      <c r="AV225" s="43">
        <f t="shared" si="260"/>
        <v>0</v>
      </c>
      <c r="AW225" s="43"/>
      <c r="AX225" s="43"/>
      <c r="AY225" s="43">
        <f t="shared" si="260"/>
        <v>582080000</v>
      </c>
      <c r="AZ225" s="43">
        <f t="shared" ref="AZ225:BA225" si="263">SUM(AZ224:AZ224)</f>
        <v>232026666</v>
      </c>
      <c r="BA225" s="43">
        <f t="shared" si="263"/>
        <v>73400000</v>
      </c>
    </row>
    <row r="226" spans="1:53" ht="15" customHeight="1" x14ac:dyDescent="0.25">
      <c r="A226" s="39"/>
      <c r="B226" s="104"/>
      <c r="C226" s="46"/>
      <c r="D226" s="45"/>
      <c r="E226" s="45"/>
      <c r="F226" s="46"/>
      <c r="G226" s="45"/>
      <c r="H226" s="46"/>
      <c r="I226" s="686"/>
      <c r="J226" s="45"/>
      <c r="K226" s="46"/>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f>AP225+AP221</f>
        <v>630085000</v>
      </c>
      <c r="AQ226" s="48">
        <f t="shared" ref="AQ226:AR226" si="264">AQ225+AQ221</f>
        <v>93839999</v>
      </c>
      <c r="AR226" s="48">
        <f t="shared" si="264"/>
        <v>44800000</v>
      </c>
      <c r="AS226" s="48">
        <f t="shared" ref="AS226:AY226" si="265">AS225+AS221</f>
        <v>582080000</v>
      </c>
      <c r="AT226" s="48">
        <f t="shared" ref="AT226:AU226" si="266">AT225+AT221</f>
        <v>232026666</v>
      </c>
      <c r="AU226" s="48">
        <f t="shared" si="266"/>
        <v>73400000</v>
      </c>
      <c r="AV226" s="48">
        <f t="shared" si="265"/>
        <v>0</v>
      </c>
      <c r="AW226" s="48"/>
      <c r="AX226" s="48"/>
      <c r="AY226" s="48">
        <f t="shared" si="265"/>
        <v>1212165000</v>
      </c>
      <c r="AZ226" s="48">
        <f t="shared" ref="AZ226:BA226" si="267">AZ225+AZ221</f>
        <v>325866665</v>
      </c>
      <c r="BA226" s="48">
        <f t="shared" si="267"/>
        <v>118200000</v>
      </c>
    </row>
    <row r="227" spans="1:53" ht="15" customHeight="1" x14ac:dyDescent="0.25">
      <c r="A227" s="49"/>
      <c r="B227" s="49"/>
      <c r="C227" s="50"/>
      <c r="D227" s="49"/>
      <c r="E227" s="49"/>
      <c r="F227" s="50"/>
      <c r="G227" s="49"/>
      <c r="H227" s="50"/>
      <c r="I227" s="687"/>
      <c r="J227" s="49"/>
      <c r="K227" s="50"/>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f>AP226+AP216</f>
        <v>1260170000</v>
      </c>
      <c r="AQ227" s="52">
        <f t="shared" ref="AQ227:AR227" si="268">AQ226+AQ216</f>
        <v>170253332</v>
      </c>
      <c r="AR227" s="52">
        <f t="shared" si="268"/>
        <v>74400000</v>
      </c>
      <c r="AS227" s="52">
        <f>AS226+AS216</f>
        <v>582080000</v>
      </c>
      <c r="AT227" s="52">
        <f t="shared" ref="AT227:AU227" si="269">AT226+AT216</f>
        <v>232026666</v>
      </c>
      <c r="AU227" s="52">
        <f t="shared" si="269"/>
        <v>73400000</v>
      </c>
      <c r="AV227" s="52">
        <f>AV226+AV216</f>
        <v>0</v>
      </c>
      <c r="AW227" s="52"/>
      <c r="AX227" s="52"/>
      <c r="AY227" s="52">
        <f>AY226+AY216</f>
        <v>1842250000</v>
      </c>
      <c r="AZ227" s="52">
        <f t="shared" ref="AZ227:BA227" si="270">AZ226+AZ216</f>
        <v>402279998</v>
      </c>
      <c r="BA227" s="52">
        <f t="shared" si="270"/>
        <v>147800000</v>
      </c>
    </row>
    <row r="228" spans="1:53" ht="24" customHeight="1" x14ac:dyDescent="0.25">
      <c r="A228" s="53"/>
      <c r="B228" s="53"/>
      <c r="C228" s="54"/>
      <c r="D228" s="53"/>
      <c r="E228" s="53"/>
      <c r="F228" s="54"/>
      <c r="G228" s="53"/>
      <c r="H228" s="54"/>
      <c r="I228" s="688"/>
      <c r="J228" s="53"/>
      <c r="K228" s="54"/>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f t="shared" ref="AP228:AY228" si="271">AP227</f>
        <v>1260170000</v>
      </c>
      <c r="AQ228" s="56">
        <f t="shared" ref="AQ228:AR228" si="272">AQ227</f>
        <v>170253332</v>
      </c>
      <c r="AR228" s="56">
        <f t="shared" si="272"/>
        <v>74400000</v>
      </c>
      <c r="AS228" s="56">
        <f t="shared" si="271"/>
        <v>582080000</v>
      </c>
      <c r="AT228" s="56">
        <f t="shared" ref="AT228:AU228" si="273">AT227</f>
        <v>232026666</v>
      </c>
      <c r="AU228" s="56">
        <f t="shared" si="273"/>
        <v>73400000</v>
      </c>
      <c r="AV228" s="56">
        <f t="shared" si="271"/>
        <v>0</v>
      </c>
      <c r="AW228" s="56"/>
      <c r="AX228" s="56"/>
      <c r="AY228" s="56">
        <f t="shared" si="271"/>
        <v>1842250000</v>
      </c>
      <c r="AZ228" s="56">
        <f t="shared" ref="AZ228:BA228" si="274">AZ227</f>
        <v>402279998</v>
      </c>
      <c r="BA228" s="56">
        <f t="shared" si="274"/>
        <v>147800000</v>
      </c>
    </row>
    <row r="229" spans="1:53" ht="32.25" customHeight="1" x14ac:dyDescent="0.25">
      <c r="A229" s="57"/>
      <c r="B229" s="58"/>
      <c r="C229" s="651"/>
      <c r="D229" s="58"/>
      <c r="E229" s="58"/>
      <c r="F229" s="651"/>
      <c r="G229" s="58"/>
      <c r="H229" s="651"/>
      <c r="I229" s="689"/>
      <c r="J229" s="58"/>
      <c r="K229" s="651"/>
      <c r="L229" s="60"/>
      <c r="M229" s="60"/>
      <c r="N229" s="60"/>
      <c r="O229" s="60"/>
      <c r="P229" s="60"/>
      <c r="Q229" s="60"/>
      <c r="R229" s="60"/>
      <c r="S229" s="60"/>
      <c r="T229" s="60"/>
      <c r="U229" s="60"/>
      <c r="V229" s="60"/>
      <c r="W229" s="60"/>
      <c r="X229" s="60"/>
      <c r="Y229" s="60"/>
      <c r="Z229" s="60"/>
      <c r="AA229" s="60"/>
      <c r="AB229" s="60"/>
      <c r="AC229" s="60"/>
      <c r="AD229" s="61"/>
      <c r="AE229" s="61"/>
      <c r="AF229" s="61"/>
      <c r="AG229" s="61"/>
      <c r="AH229" s="61"/>
      <c r="AI229" s="61"/>
      <c r="AJ229" s="60"/>
      <c r="AK229" s="60"/>
      <c r="AL229" s="60"/>
      <c r="AM229" s="60"/>
      <c r="AN229" s="60"/>
      <c r="AO229" s="60"/>
      <c r="AP229" s="62"/>
      <c r="AQ229" s="62"/>
      <c r="AR229" s="62"/>
      <c r="AS229" s="295"/>
      <c r="AT229" s="295"/>
      <c r="AU229" s="295"/>
      <c r="AV229" s="295"/>
      <c r="AW229" s="677"/>
      <c r="AX229" s="677"/>
      <c r="AY229" s="64"/>
      <c r="AZ229" s="64"/>
      <c r="BA229" s="64"/>
    </row>
    <row r="230" spans="1:53" ht="20.25" x14ac:dyDescent="0.25">
      <c r="A230" s="7" t="s">
        <v>162</v>
      </c>
      <c r="B230" s="296"/>
      <c r="C230" s="297"/>
      <c r="D230" s="296"/>
      <c r="E230" s="296"/>
      <c r="F230" s="297"/>
      <c r="G230" s="296"/>
      <c r="H230" s="296"/>
      <c r="I230" s="704"/>
      <c r="J230" s="296"/>
      <c r="K230" s="297"/>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9"/>
      <c r="AQ230" s="299"/>
      <c r="AR230" s="299"/>
      <c r="AS230" s="298"/>
      <c r="AT230" s="298"/>
      <c r="AU230" s="298"/>
      <c r="AV230" s="298"/>
      <c r="AW230" s="298"/>
      <c r="AX230" s="298"/>
      <c r="AY230" s="300"/>
      <c r="AZ230" s="300"/>
      <c r="BA230" s="300"/>
    </row>
    <row r="231" spans="1:53" x14ac:dyDescent="0.25">
      <c r="A231" s="4">
        <v>1</v>
      </c>
      <c r="B231" s="13" t="s">
        <v>494</v>
      </c>
      <c r="C231" s="14"/>
      <c r="D231" s="13"/>
      <c r="E231" s="13"/>
      <c r="F231" s="14"/>
      <c r="G231" s="13"/>
      <c r="H231" s="13"/>
      <c r="I231" s="681"/>
      <c r="J231" s="13"/>
      <c r="K231" s="13"/>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9" t="s">
        <v>500</v>
      </c>
      <c r="AQ231" s="69"/>
      <c r="AR231" s="69"/>
      <c r="AS231" s="68"/>
      <c r="AT231" s="68"/>
      <c r="AU231" s="68"/>
      <c r="AV231" s="68"/>
      <c r="AW231" s="68"/>
      <c r="AX231" s="68"/>
      <c r="AY231" s="70"/>
      <c r="AZ231" s="70"/>
      <c r="BA231" s="70"/>
    </row>
    <row r="232" spans="1:53" x14ac:dyDescent="0.25">
      <c r="A232" s="71"/>
      <c r="B232" s="111">
        <v>1</v>
      </c>
      <c r="C232" s="634" t="s">
        <v>495</v>
      </c>
      <c r="D232" s="17"/>
      <c r="E232" s="17"/>
      <c r="F232" s="640"/>
      <c r="G232" s="17"/>
      <c r="H232" s="17"/>
      <c r="I232" s="682"/>
      <c r="J232" s="17"/>
      <c r="K232" s="17"/>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3"/>
      <c r="AQ232" s="73"/>
      <c r="AR232" s="73"/>
      <c r="AS232" s="72"/>
      <c r="AT232" s="72"/>
      <c r="AU232" s="72"/>
      <c r="AV232" s="72"/>
      <c r="AW232" s="72"/>
      <c r="AX232" s="72"/>
      <c r="AY232" s="74"/>
      <c r="AZ232" s="74"/>
      <c r="BA232" s="74"/>
    </row>
    <row r="233" spans="1:53" x14ac:dyDescent="0.25">
      <c r="A233" s="27"/>
      <c r="B233" s="71"/>
      <c r="C233" s="646"/>
      <c r="D233" s="637"/>
      <c r="E233" s="287">
        <v>1</v>
      </c>
      <c r="F233" s="77" t="s">
        <v>551</v>
      </c>
      <c r="G233" s="78"/>
      <c r="H233" s="78"/>
      <c r="I233" s="690"/>
      <c r="J233" s="78"/>
      <c r="K233" s="78"/>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80"/>
      <c r="AQ233" s="80"/>
      <c r="AR233" s="80"/>
      <c r="AS233" s="79"/>
      <c r="AT233" s="79"/>
      <c r="AU233" s="79"/>
      <c r="AV233" s="79"/>
      <c r="AW233" s="79"/>
      <c r="AX233" s="79"/>
      <c r="AY233" s="81"/>
      <c r="AZ233" s="81"/>
      <c r="BA233" s="81"/>
    </row>
    <row r="234" spans="1:53" ht="55.5" customHeight="1" x14ac:dyDescent="0.25">
      <c r="A234" s="27"/>
      <c r="B234" s="19"/>
      <c r="C234" s="31">
        <v>1</v>
      </c>
      <c r="D234" s="29" t="s">
        <v>552</v>
      </c>
      <c r="E234" s="112"/>
      <c r="F234" s="31">
        <v>1</v>
      </c>
      <c r="G234" s="29" t="s">
        <v>163</v>
      </c>
      <c r="H234" s="844" t="s">
        <v>553</v>
      </c>
      <c r="I234" s="827" t="s">
        <v>164</v>
      </c>
      <c r="J234" s="828" t="s">
        <v>165</v>
      </c>
      <c r="K234" s="31" t="s">
        <v>466</v>
      </c>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6"/>
      <c r="AI234" s="36"/>
      <c r="AJ234" s="36"/>
      <c r="AK234" s="36"/>
      <c r="AL234" s="36"/>
      <c r="AM234" s="36"/>
      <c r="AN234" s="36"/>
      <c r="AO234" s="36"/>
      <c r="AP234" s="627">
        <v>20000000</v>
      </c>
      <c r="AQ234" s="627"/>
      <c r="AR234" s="627"/>
      <c r="AS234" s="36"/>
      <c r="AT234" s="36"/>
      <c r="AU234" s="36"/>
      <c r="AV234" s="36"/>
      <c r="AW234" s="36"/>
      <c r="AX234" s="36"/>
      <c r="AY234" s="37">
        <f t="shared" ref="AY234:AY236" si="275">+L234+O234+R234+U234+X234+AA234+AD234+AG234+AJ234+AM234+AP234+AS234+AV234</f>
        <v>20000000</v>
      </c>
      <c r="AZ234" s="37">
        <f t="shared" ref="AZ234:AZ236" si="276">+M234+P234+S234+V234+Y234+AB234+AE234+AH234+AK234+AN234+AQ234+AT234+AW234</f>
        <v>0</v>
      </c>
      <c r="BA234" s="37">
        <f t="shared" ref="BA234:BA236" si="277">+N234+Q234+T234+W234+Z234+AC234+AF234+AI234+AL234+AO234+AR234+AU234+AX234</f>
        <v>0</v>
      </c>
    </row>
    <row r="235" spans="1:53" ht="61.5" customHeight="1" x14ac:dyDescent="0.25">
      <c r="A235" s="27"/>
      <c r="B235" s="19"/>
      <c r="C235" s="31">
        <v>1</v>
      </c>
      <c r="D235" s="29" t="s">
        <v>552</v>
      </c>
      <c r="E235" s="302"/>
      <c r="F235" s="31">
        <v>4</v>
      </c>
      <c r="G235" s="29" t="s">
        <v>166</v>
      </c>
      <c r="H235" s="820"/>
      <c r="I235" s="821"/>
      <c r="J235" s="824"/>
      <c r="K235" s="31" t="s">
        <v>466</v>
      </c>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6"/>
      <c r="AI235" s="36"/>
      <c r="AJ235" s="36"/>
      <c r="AK235" s="36"/>
      <c r="AL235" s="36"/>
      <c r="AM235" s="36"/>
      <c r="AN235" s="36"/>
      <c r="AO235" s="36"/>
      <c r="AP235" s="627">
        <f>96000000-20000000</f>
        <v>76000000</v>
      </c>
      <c r="AQ235" s="627"/>
      <c r="AR235" s="627"/>
      <c r="AS235" s="36"/>
      <c r="AT235" s="36"/>
      <c r="AU235" s="36"/>
      <c r="AV235" s="36"/>
      <c r="AW235" s="36"/>
      <c r="AX235" s="36"/>
      <c r="AY235" s="37">
        <f t="shared" si="275"/>
        <v>76000000</v>
      </c>
      <c r="AZ235" s="37">
        <f t="shared" si="276"/>
        <v>0</v>
      </c>
      <c r="BA235" s="37">
        <f t="shared" si="277"/>
        <v>0</v>
      </c>
    </row>
    <row r="236" spans="1:53" s="294" customFormat="1" ht="69.75" customHeight="1" x14ac:dyDescent="0.25">
      <c r="A236" s="27"/>
      <c r="B236" s="19"/>
      <c r="C236" s="31">
        <v>2</v>
      </c>
      <c r="D236" s="29" t="s">
        <v>554</v>
      </c>
      <c r="E236" s="303"/>
      <c r="F236" s="31">
        <v>6</v>
      </c>
      <c r="G236" s="29" t="s">
        <v>167</v>
      </c>
      <c r="H236" s="845"/>
      <c r="I236" s="830"/>
      <c r="J236" s="831"/>
      <c r="K236" s="31" t="s">
        <v>466</v>
      </c>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6"/>
      <c r="AI236" s="36"/>
      <c r="AJ236" s="36"/>
      <c r="AK236" s="36"/>
      <c r="AL236" s="36"/>
      <c r="AM236" s="36"/>
      <c r="AN236" s="36"/>
      <c r="AO236" s="36"/>
      <c r="AP236" s="627">
        <v>20000000</v>
      </c>
      <c r="AQ236" s="627"/>
      <c r="AR236" s="627"/>
      <c r="AS236" s="36"/>
      <c r="AT236" s="36"/>
      <c r="AU236" s="36"/>
      <c r="AV236" s="36"/>
      <c r="AW236" s="36"/>
      <c r="AX236" s="36"/>
      <c r="AY236" s="37">
        <f t="shared" si="275"/>
        <v>20000000</v>
      </c>
      <c r="AZ236" s="37">
        <f t="shared" si="276"/>
        <v>0</v>
      </c>
      <c r="BA236" s="37">
        <f t="shared" si="277"/>
        <v>0</v>
      </c>
    </row>
    <row r="237" spans="1:53" ht="15" x14ac:dyDescent="0.25">
      <c r="A237" s="27"/>
      <c r="B237" s="27"/>
      <c r="C237" s="28"/>
      <c r="D237" s="29"/>
      <c r="E237" s="40"/>
      <c r="F237" s="41"/>
      <c r="G237" s="40"/>
      <c r="H237" s="41"/>
      <c r="I237" s="685"/>
      <c r="J237" s="40"/>
      <c r="K237" s="41"/>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f>SUM(AP234:AP236)</f>
        <v>116000000</v>
      </c>
      <c r="AQ237" s="43">
        <f t="shared" ref="AQ237:AR237" si="278">SUM(AQ234:AQ236)</f>
        <v>0</v>
      </c>
      <c r="AR237" s="43">
        <f t="shared" si="278"/>
        <v>0</v>
      </c>
      <c r="AS237" s="43">
        <f>SUM(AS234:AS236)</f>
        <v>0</v>
      </c>
      <c r="AT237" s="43"/>
      <c r="AU237" s="43"/>
      <c r="AV237" s="43">
        <f>SUM(AV234:AV236)</f>
        <v>0</v>
      </c>
      <c r="AW237" s="43"/>
      <c r="AX237" s="43"/>
      <c r="AY237" s="43">
        <f>SUM(AY234:AY236)</f>
        <v>116000000</v>
      </c>
      <c r="AZ237" s="43">
        <f t="shared" ref="AZ237:BA237" si="279">SUM(AZ234:AZ236)</f>
        <v>0</v>
      </c>
      <c r="BA237" s="43">
        <f t="shared" si="279"/>
        <v>0</v>
      </c>
    </row>
    <row r="238" spans="1:53" ht="18.75" customHeight="1" x14ac:dyDescent="0.25">
      <c r="A238" s="27"/>
      <c r="B238" s="27"/>
      <c r="C238" s="651"/>
      <c r="D238" s="58"/>
      <c r="E238" s="58"/>
      <c r="F238" s="651"/>
      <c r="G238" s="58"/>
      <c r="H238" s="651"/>
      <c r="I238" s="689"/>
      <c r="J238" s="58"/>
      <c r="K238" s="651"/>
      <c r="L238" s="60"/>
      <c r="M238" s="60"/>
      <c r="N238" s="60"/>
      <c r="O238" s="60"/>
      <c r="P238" s="60"/>
      <c r="Q238" s="60"/>
      <c r="R238" s="60"/>
      <c r="S238" s="60"/>
      <c r="T238" s="60"/>
      <c r="U238" s="60"/>
      <c r="V238" s="60"/>
      <c r="W238" s="60"/>
      <c r="X238" s="60"/>
      <c r="Y238" s="60"/>
      <c r="Z238" s="60"/>
      <c r="AA238" s="60"/>
      <c r="AB238" s="60"/>
      <c r="AC238" s="60"/>
      <c r="AD238" s="61"/>
      <c r="AE238" s="61"/>
      <c r="AF238" s="61"/>
      <c r="AG238" s="61"/>
      <c r="AH238" s="61"/>
      <c r="AI238" s="61"/>
      <c r="AJ238" s="60"/>
      <c r="AK238" s="60"/>
      <c r="AL238" s="60"/>
      <c r="AM238" s="60"/>
      <c r="AN238" s="60"/>
      <c r="AO238" s="60"/>
      <c r="AP238" s="88"/>
      <c r="AQ238" s="88"/>
      <c r="AR238" s="88"/>
      <c r="AS238" s="60"/>
      <c r="AT238" s="60"/>
      <c r="AU238" s="60"/>
      <c r="AV238" s="61"/>
      <c r="AW238" s="63"/>
      <c r="AX238" s="63"/>
      <c r="AY238" s="64"/>
      <c r="AZ238" s="64"/>
      <c r="BA238" s="64"/>
    </row>
    <row r="239" spans="1:53" ht="23.25" customHeight="1" x14ac:dyDescent="0.25">
      <c r="A239" s="27"/>
      <c r="B239" s="27"/>
      <c r="C239" s="28"/>
      <c r="D239" s="29"/>
      <c r="E239" s="191">
        <v>2</v>
      </c>
      <c r="F239" s="192" t="s">
        <v>496</v>
      </c>
      <c r="G239" s="78"/>
      <c r="H239" s="78"/>
      <c r="I239" s="690"/>
      <c r="J239" s="78"/>
      <c r="K239" s="78"/>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80"/>
      <c r="AQ239" s="80"/>
      <c r="AR239" s="80"/>
      <c r="AS239" s="79"/>
      <c r="AT239" s="79"/>
      <c r="AU239" s="79"/>
      <c r="AV239" s="79"/>
      <c r="AW239" s="79"/>
      <c r="AX239" s="79"/>
      <c r="AY239" s="81"/>
      <c r="AZ239" s="81"/>
      <c r="BA239" s="81"/>
    </row>
    <row r="240" spans="1:53" ht="66" customHeight="1" x14ac:dyDescent="0.25">
      <c r="A240" s="27"/>
      <c r="B240" s="27"/>
      <c r="C240" s="28">
        <v>2</v>
      </c>
      <c r="D240" s="29" t="s">
        <v>554</v>
      </c>
      <c r="E240" s="38"/>
      <c r="F240" s="31">
        <v>7</v>
      </c>
      <c r="G240" s="29" t="s">
        <v>168</v>
      </c>
      <c r="H240" s="639" t="s">
        <v>555</v>
      </c>
      <c r="I240" s="668" t="s">
        <v>169</v>
      </c>
      <c r="J240" s="639" t="s">
        <v>170</v>
      </c>
      <c r="K240" s="31" t="s">
        <v>466</v>
      </c>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05"/>
      <c r="AN240" s="529"/>
      <c r="AO240" s="529"/>
      <c r="AP240" s="627">
        <v>130000000</v>
      </c>
      <c r="AQ240" s="627">
        <v>29533333</v>
      </c>
      <c r="AR240" s="627">
        <v>10000000</v>
      </c>
      <c r="AS240" s="36"/>
      <c r="AT240" s="36"/>
      <c r="AU240" s="36"/>
      <c r="AV240" s="36"/>
      <c r="AW240" s="36"/>
      <c r="AX240" s="36"/>
      <c r="AY240" s="37">
        <f t="shared" ref="AY240" si="280">+L240+O240+R240+U240+X240+AA240+AD240+AG240+AJ240+AM240+AP240+AS240+AV240</f>
        <v>130000000</v>
      </c>
      <c r="AZ240" s="37">
        <f t="shared" ref="AZ240" si="281">+M240+P240+S240+V240+Y240+AB240+AE240+AH240+AK240+AN240+AQ240+AT240+AW240</f>
        <v>29533333</v>
      </c>
      <c r="BA240" s="37">
        <f t="shared" ref="BA240" si="282">+N240+Q240+T240+W240+Z240+AC240+AF240+AI240+AL240+AO240+AR240+AU240+AX240</f>
        <v>10000000</v>
      </c>
    </row>
    <row r="241" spans="1:53" ht="15" x14ac:dyDescent="0.25">
      <c r="A241" s="27"/>
      <c r="B241" s="27"/>
      <c r="C241" s="28"/>
      <c r="D241" s="29"/>
      <c r="E241" s="40"/>
      <c r="F241" s="41"/>
      <c r="G241" s="40"/>
      <c r="H241" s="40"/>
      <c r="I241" s="685"/>
      <c r="J241" s="40"/>
      <c r="K241" s="41"/>
      <c r="L241" s="306"/>
      <c r="M241" s="306"/>
      <c r="N241" s="306"/>
      <c r="O241" s="306"/>
      <c r="P241" s="306"/>
      <c r="Q241" s="306"/>
      <c r="R241" s="306"/>
      <c r="S241" s="306"/>
      <c r="T241" s="306"/>
      <c r="U241" s="306"/>
      <c r="V241" s="306"/>
      <c r="W241" s="306"/>
      <c r="X241" s="306"/>
      <c r="Y241" s="306"/>
      <c r="Z241" s="306"/>
      <c r="AA241" s="306"/>
      <c r="AB241" s="306"/>
      <c r="AC241" s="306"/>
      <c r="AD241" s="306"/>
      <c r="AE241" s="306"/>
      <c r="AF241" s="306"/>
      <c r="AG241" s="306"/>
      <c r="AH241" s="306"/>
      <c r="AI241" s="306"/>
      <c r="AJ241" s="306"/>
      <c r="AK241" s="306"/>
      <c r="AL241" s="306"/>
      <c r="AM241" s="306"/>
      <c r="AN241" s="306"/>
      <c r="AO241" s="306"/>
      <c r="AP241" s="632">
        <f>SUM(AP240:AP240)</f>
        <v>130000000</v>
      </c>
      <c r="AQ241" s="632">
        <f t="shared" ref="AQ241:AR241" si="283">SUM(AQ240:AQ240)</f>
        <v>29533333</v>
      </c>
      <c r="AR241" s="632">
        <f t="shared" si="283"/>
        <v>10000000</v>
      </c>
      <c r="AS241" s="306">
        <f>SUM(AS240:AS240)</f>
        <v>0</v>
      </c>
      <c r="AT241" s="306"/>
      <c r="AU241" s="306"/>
      <c r="AV241" s="306">
        <f>SUM(AV240:AV240)</f>
        <v>0</v>
      </c>
      <c r="AW241" s="306"/>
      <c r="AX241" s="306"/>
      <c r="AY241" s="306">
        <f>SUM(AY240:AY240)</f>
        <v>130000000</v>
      </c>
      <c r="AZ241" s="306">
        <f t="shared" ref="AZ241:BA241" si="284">SUM(AZ240:AZ240)</f>
        <v>29533333</v>
      </c>
      <c r="BA241" s="306">
        <f t="shared" si="284"/>
        <v>10000000</v>
      </c>
    </row>
    <row r="242" spans="1:53" ht="15" x14ac:dyDescent="0.25">
      <c r="A242" s="27"/>
      <c r="B242" s="27"/>
      <c r="C242" s="651"/>
      <c r="D242" s="58"/>
      <c r="E242" s="58"/>
      <c r="F242" s="651"/>
      <c r="G242" s="58"/>
      <c r="H242" s="58"/>
      <c r="I242" s="689"/>
      <c r="J242" s="58"/>
      <c r="K242" s="651"/>
      <c r="L242" s="307"/>
      <c r="M242" s="307"/>
      <c r="N242" s="307"/>
      <c r="O242" s="307"/>
      <c r="P242" s="307"/>
      <c r="Q242" s="307"/>
      <c r="R242" s="307"/>
      <c r="S242" s="307"/>
      <c r="T242" s="307"/>
      <c r="U242" s="307"/>
      <c r="V242" s="307"/>
      <c r="W242" s="307"/>
      <c r="X242" s="307"/>
      <c r="Y242" s="307"/>
      <c r="Z242" s="307"/>
      <c r="AA242" s="307"/>
      <c r="AB242" s="307"/>
      <c r="AC242" s="307"/>
      <c r="AD242" s="308"/>
      <c r="AE242" s="308"/>
      <c r="AF242" s="308"/>
      <c r="AG242" s="308"/>
      <c r="AH242" s="308"/>
      <c r="AI242" s="308"/>
      <c r="AJ242" s="307"/>
      <c r="AK242" s="307"/>
      <c r="AL242" s="307"/>
      <c r="AM242" s="307"/>
      <c r="AN242" s="307"/>
      <c r="AO242" s="307"/>
      <c r="AP242" s="628"/>
      <c r="AQ242" s="628"/>
      <c r="AR242" s="628"/>
      <c r="AS242" s="307"/>
      <c r="AT242" s="307"/>
      <c r="AU242" s="307"/>
      <c r="AV242" s="308"/>
      <c r="AW242" s="678"/>
      <c r="AX242" s="678"/>
      <c r="AY242" s="64"/>
      <c r="AZ242" s="64"/>
      <c r="BA242" s="64"/>
    </row>
    <row r="243" spans="1:53" ht="32.25" customHeight="1" x14ac:dyDescent="0.25">
      <c r="A243" s="27"/>
      <c r="B243" s="27"/>
      <c r="C243" s="28"/>
      <c r="D243" s="29"/>
      <c r="E243" s="191">
        <v>3</v>
      </c>
      <c r="F243" s="192" t="s">
        <v>556</v>
      </c>
      <c r="G243" s="78"/>
      <c r="H243" s="78"/>
      <c r="I243" s="690"/>
      <c r="J243" s="78"/>
      <c r="K243" s="78"/>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629"/>
      <c r="AQ243" s="629"/>
      <c r="AR243" s="629"/>
      <c r="AS243" s="79"/>
      <c r="AT243" s="79"/>
      <c r="AU243" s="79"/>
      <c r="AV243" s="79"/>
      <c r="AW243" s="79"/>
      <c r="AX243" s="79"/>
      <c r="AY243" s="81"/>
      <c r="AZ243" s="81"/>
      <c r="BA243" s="81"/>
    </row>
    <row r="244" spans="1:53" ht="114.75" customHeight="1" x14ac:dyDescent="0.25">
      <c r="A244" s="27"/>
      <c r="B244" s="27"/>
      <c r="C244" s="204">
        <v>4</v>
      </c>
      <c r="D244" s="641" t="s">
        <v>557</v>
      </c>
      <c r="E244" s="100"/>
      <c r="F244" s="31">
        <v>14</v>
      </c>
      <c r="G244" s="29" t="s">
        <v>171</v>
      </c>
      <c r="H244" s="844" t="s">
        <v>553</v>
      </c>
      <c r="I244" s="827" t="s">
        <v>172</v>
      </c>
      <c r="J244" s="828" t="s">
        <v>173</v>
      </c>
      <c r="K244" s="31" t="s">
        <v>466</v>
      </c>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630">
        <v>128662000</v>
      </c>
      <c r="AQ244" s="627">
        <v>34266666</v>
      </c>
      <c r="AR244" s="627">
        <v>11350000</v>
      </c>
      <c r="AS244" s="36"/>
      <c r="AT244" s="36"/>
      <c r="AU244" s="36"/>
      <c r="AV244" s="36"/>
      <c r="AW244" s="36"/>
      <c r="AX244" s="36"/>
      <c r="AY244" s="37">
        <f t="shared" ref="AY244:AY247" si="285">+L244+O244+R244+U244+X244+AA244+AD244+AG244+AJ244+AM244+AP244+AS244+AV244</f>
        <v>128662000</v>
      </c>
      <c r="AZ244" s="37">
        <f t="shared" ref="AZ244:AZ247" si="286">+M244+P244+S244+V244+Y244+AB244+AE244+AH244+AK244+AN244+AQ244+AT244+AW244</f>
        <v>34266666</v>
      </c>
      <c r="BA244" s="37">
        <f t="shared" ref="BA244:BA247" si="287">+N244+Q244+T244+W244+Z244+AC244+AF244+AI244+AL244+AO244+AR244+AU244+AX244</f>
        <v>11350000</v>
      </c>
    </row>
    <row r="245" spans="1:53" ht="102" customHeight="1" x14ac:dyDescent="0.25">
      <c r="A245" s="178"/>
      <c r="B245" s="178"/>
      <c r="C245" s="204">
        <v>4</v>
      </c>
      <c r="D245" s="641" t="s">
        <v>557</v>
      </c>
      <c r="E245" s="180"/>
      <c r="F245" s="310">
        <v>17</v>
      </c>
      <c r="G245" s="311" t="s">
        <v>174</v>
      </c>
      <c r="H245" s="845"/>
      <c r="I245" s="830"/>
      <c r="J245" s="831"/>
      <c r="K245" s="182" t="s">
        <v>477</v>
      </c>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6"/>
      <c r="AO245" s="186"/>
      <c r="AP245" s="631">
        <v>821316151</v>
      </c>
      <c r="AQ245" s="631"/>
      <c r="AR245" s="631"/>
      <c r="AS245" s="186"/>
      <c r="AT245" s="186"/>
      <c r="AU245" s="186"/>
      <c r="AV245" s="186"/>
      <c r="AW245" s="186"/>
      <c r="AX245" s="186"/>
      <c r="AY245" s="37">
        <f t="shared" si="285"/>
        <v>821316151</v>
      </c>
      <c r="AZ245" s="37">
        <f t="shared" si="286"/>
        <v>0</v>
      </c>
      <c r="BA245" s="37">
        <f t="shared" si="287"/>
        <v>0</v>
      </c>
    </row>
    <row r="246" spans="1:53" ht="78" customHeight="1" x14ac:dyDescent="0.25">
      <c r="A246" s="178"/>
      <c r="B246" s="178"/>
      <c r="C246" s="204"/>
      <c r="D246" s="641"/>
      <c r="E246" s="180"/>
      <c r="F246" s="310">
        <v>18</v>
      </c>
      <c r="G246" s="311" t="s">
        <v>175</v>
      </c>
      <c r="H246" s="846" t="s">
        <v>553</v>
      </c>
      <c r="I246" s="842" t="s">
        <v>176</v>
      </c>
      <c r="J246" s="846" t="s">
        <v>177</v>
      </c>
      <c r="K246" s="182" t="s">
        <v>477</v>
      </c>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6"/>
      <c r="AI246" s="186"/>
      <c r="AJ246" s="186"/>
      <c r="AK246" s="186"/>
      <c r="AL246" s="186"/>
      <c r="AM246" s="186"/>
      <c r="AN246" s="186"/>
      <c r="AO246" s="186"/>
      <c r="AP246" s="631">
        <v>50000000</v>
      </c>
      <c r="AQ246" s="631"/>
      <c r="AR246" s="631"/>
      <c r="AS246" s="186"/>
      <c r="AT246" s="186"/>
      <c r="AU246" s="186"/>
      <c r="AV246" s="186"/>
      <c r="AW246" s="186"/>
      <c r="AX246" s="186"/>
      <c r="AY246" s="37">
        <f t="shared" si="285"/>
        <v>50000000</v>
      </c>
      <c r="AZ246" s="37">
        <f t="shared" si="286"/>
        <v>0</v>
      </c>
      <c r="BA246" s="37">
        <f t="shared" si="287"/>
        <v>0</v>
      </c>
    </row>
    <row r="247" spans="1:53" ht="99" customHeight="1" x14ac:dyDescent="0.25">
      <c r="A247" s="178"/>
      <c r="B247" s="178"/>
      <c r="C247" s="204">
        <v>4</v>
      </c>
      <c r="D247" s="641" t="s">
        <v>557</v>
      </c>
      <c r="E247" s="180"/>
      <c r="F247" s="182">
        <v>19</v>
      </c>
      <c r="G247" s="641" t="s">
        <v>178</v>
      </c>
      <c r="H247" s="848"/>
      <c r="I247" s="839"/>
      <c r="J247" s="848"/>
      <c r="K247" s="182" t="s">
        <v>477</v>
      </c>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6"/>
      <c r="AI247" s="186"/>
      <c r="AJ247" s="186"/>
      <c r="AK247" s="186"/>
      <c r="AL247" s="186"/>
      <c r="AM247" s="186"/>
      <c r="AN247" s="186"/>
      <c r="AO247" s="186"/>
      <c r="AP247" s="631">
        <v>40000000</v>
      </c>
      <c r="AQ247" s="631">
        <v>20500000</v>
      </c>
      <c r="AR247" s="631">
        <v>9000000</v>
      </c>
      <c r="AS247" s="186"/>
      <c r="AT247" s="186"/>
      <c r="AU247" s="186"/>
      <c r="AV247" s="186"/>
      <c r="AW247" s="186"/>
      <c r="AX247" s="186"/>
      <c r="AY247" s="37">
        <f t="shared" si="285"/>
        <v>40000000</v>
      </c>
      <c r="AZ247" s="37">
        <f t="shared" si="286"/>
        <v>20500000</v>
      </c>
      <c r="BA247" s="37">
        <f t="shared" si="287"/>
        <v>9000000</v>
      </c>
    </row>
    <row r="248" spans="1:53" ht="20.25" customHeight="1" x14ac:dyDescent="0.25">
      <c r="A248" s="27"/>
      <c r="B248" s="39"/>
      <c r="C248" s="28"/>
      <c r="D248" s="29"/>
      <c r="E248" s="40"/>
      <c r="F248" s="41"/>
      <c r="G248" s="40"/>
      <c r="H248" s="40"/>
      <c r="I248" s="685"/>
      <c r="J248" s="312"/>
      <c r="K248" s="41"/>
      <c r="L248" s="306"/>
      <c r="M248" s="306"/>
      <c r="N248" s="306"/>
      <c r="O248" s="306"/>
      <c r="P248" s="306"/>
      <c r="Q248" s="306"/>
      <c r="R248" s="306"/>
      <c r="S248" s="306"/>
      <c r="T248" s="306"/>
      <c r="U248" s="306"/>
      <c r="V248" s="306"/>
      <c r="W248" s="306"/>
      <c r="X248" s="306"/>
      <c r="Y248" s="306"/>
      <c r="Z248" s="306"/>
      <c r="AA248" s="306"/>
      <c r="AB248" s="306"/>
      <c r="AC248" s="306"/>
      <c r="AD248" s="306"/>
      <c r="AE248" s="306"/>
      <c r="AF248" s="306"/>
      <c r="AG248" s="306"/>
      <c r="AH248" s="306"/>
      <c r="AI248" s="306"/>
      <c r="AJ248" s="306"/>
      <c r="AK248" s="306"/>
      <c r="AL248" s="306"/>
      <c r="AM248" s="306"/>
      <c r="AN248" s="306"/>
      <c r="AO248" s="306"/>
      <c r="AP248" s="632">
        <f>SUM(AP244:AP247)</f>
        <v>1039978151</v>
      </c>
      <c r="AQ248" s="632">
        <f t="shared" ref="AQ248:AR248" si="288">SUM(AQ244:AQ247)</f>
        <v>54766666</v>
      </c>
      <c r="AR248" s="632">
        <f t="shared" si="288"/>
        <v>20350000</v>
      </c>
      <c r="AS248" s="306"/>
      <c r="AT248" s="306"/>
      <c r="AU248" s="306"/>
      <c r="AV248" s="306"/>
      <c r="AW248" s="306"/>
      <c r="AX248" s="306"/>
      <c r="AY248" s="306">
        <f>SUM(AY244:AY247)</f>
        <v>1039978151</v>
      </c>
      <c r="AZ248" s="306">
        <f t="shared" ref="AZ248:BA248" si="289">SUM(AZ244:AZ247)</f>
        <v>54766666</v>
      </c>
      <c r="BA248" s="306">
        <f t="shared" si="289"/>
        <v>20350000</v>
      </c>
    </row>
    <row r="249" spans="1:53" ht="24" customHeight="1" x14ac:dyDescent="0.25">
      <c r="A249" s="39"/>
      <c r="B249" s="45"/>
      <c r="C249" s="208"/>
      <c r="D249" s="45"/>
      <c r="E249" s="45"/>
      <c r="F249" s="46"/>
      <c r="G249" s="45"/>
      <c r="H249" s="45"/>
      <c r="I249" s="686"/>
      <c r="J249" s="45"/>
      <c r="K249" s="46"/>
      <c r="L249" s="313"/>
      <c r="M249" s="313"/>
      <c r="N249" s="313"/>
      <c r="O249" s="313"/>
      <c r="P249" s="313"/>
      <c r="Q249" s="313"/>
      <c r="R249" s="313"/>
      <c r="S249" s="313"/>
      <c r="T249" s="313"/>
      <c r="U249" s="313"/>
      <c r="V249" s="313"/>
      <c r="W249" s="313"/>
      <c r="X249" s="313"/>
      <c r="Y249" s="313"/>
      <c r="Z249" s="313"/>
      <c r="AA249" s="313"/>
      <c r="AB249" s="313"/>
      <c r="AC249" s="313"/>
      <c r="AD249" s="313"/>
      <c r="AE249" s="313"/>
      <c r="AF249" s="313"/>
      <c r="AG249" s="313"/>
      <c r="AH249" s="313"/>
      <c r="AI249" s="313"/>
      <c r="AJ249" s="313"/>
      <c r="AK249" s="313"/>
      <c r="AL249" s="313"/>
      <c r="AM249" s="313"/>
      <c r="AN249" s="313"/>
      <c r="AO249" s="313"/>
      <c r="AP249" s="313">
        <f>AP248+AP241+AP237</f>
        <v>1285978151</v>
      </c>
      <c r="AQ249" s="313">
        <f t="shared" ref="AQ249:AR249" si="290">AQ248+AQ241+AQ237</f>
        <v>84299999</v>
      </c>
      <c r="AR249" s="313">
        <f t="shared" si="290"/>
        <v>30350000</v>
      </c>
      <c r="AS249" s="313"/>
      <c r="AT249" s="313"/>
      <c r="AU249" s="313"/>
      <c r="AV249" s="313"/>
      <c r="AW249" s="313"/>
      <c r="AX249" s="313"/>
      <c r="AY249" s="313">
        <f>AY248+AY241+AY237</f>
        <v>1285978151</v>
      </c>
      <c r="AZ249" s="313">
        <f t="shared" ref="AZ249:BA249" si="291">AZ248+AZ241+AZ237</f>
        <v>84299999</v>
      </c>
      <c r="BA249" s="313">
        <f t="shared" si="291"/>
        <v>30350000</v>
      </c>
    </row>
    <row r="250" spans="1:53" ht="23.25" customHeight="1" x14ac:dyDescent="0.25">
      <c r="A250" s="314"/>
      <c r="B250" s="314"/>
      <c r="C250" s="50"/>
      <c r="D250" s="315"/>
      <c r="E250" s="315"/>
      <c r="F250" s="50"/>
      <c r="G250" s="315"/>
      <c r="H250" s="315"/>
      <c r="I250" s="687"/>
      <c r="J250" s="315"/>
      <c r="K250" s="315"/>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f t="shared" ref="AP250:AR250" si="292">AP249</f>
        <v>1285978151</v>
      </c>
      <c r="AQ250" s="316">
        <f t="shared" si="292"/>
        <v>84299999</v>
      </c>
      <c r="AR250" s="316">
        <f t="shared" si="292"/>
        <v>30350000</v>
      </c>
      <c r="AS250" s="316"/>
      <c r="AT250" s="316"/>
      <c r="AU250" s="316"/>
      <c r="AV250" s="316"/>
      <c r="AW250" s="316"/>
      <c r="AX250" s="316"/>
      <c r="AY250" s="316">
        <f t="shared" ref="AY250:BA250" si="293">AY249</f>
        <v>1285978151</v>
      </c>
      <c r="AZ250" s="316">
        <f t="shared" si="293"/>
        <v>84299999</v>
      </c>
      <c r="BA250" s="316">
        <f t="shared" si="293"/>
        <v>30350000</v>
      </c>
    </row>
    <row r="251" spans="1:53" ht="15" x14ac:dyDescent="0.25">
      <c r="A251" s="57"/>
      <c r="B251" s="58"/>
      <c r="C251" s="651"/>
      <c r="D251" s="58"/>
      <c r="E251" s="58"/>
      <c r="F251" s="651"/>
      <c r="G251" s="58"/>
      <c r="H251" s="58"/>
      <c r="I251" s="689"/>
      <c r="J251" s="58"/>
      <c r="K251" s="651"/>
      <c r="L251" s="307"/>
      <c r="M251" s="307"/>
      <c r="N251" s="307"/>
      <c r="O251" s="307"/>
      <c r="P251" s="307"/>
      <c r="Q251" s="307"/>
      <c r="R251" s="307"/>
      <c r="S251" s="307"/>
      <c r="T251" s="307"/>
      <c r="U251" s="307"/>
      <c r="V251" s="307"/>
      <c r="W251" s="307"/>
      <c r="X251" s="307"/>
      <c r="Y251" s="307"/>
      <c r="Z251" s="307"/>
      <c r="AA251" s="307"/>
      <c r="AB251" s="307"/>
      <c r="AC251" s="307"/>
      <c r="AD251" s="308"/>
      <c r="AE251" s="308"/>
      <c r="AF251" s="308"/>
      <c r="AG251" s="308"/>
      <c r="AH251" s="308"/>
      <c r="AI251" s="308"/>
      <c r="AJ251" s="307"/>
      <c r="AK251" s="307"/>
      <c r="AL251" s="307"/>
      <c r="AM251" s="307"/>
      <c r="AN251" s="307"/>
      <c r="AO251" s="307"/>
      <c r="AP251" s="309"/>
      <c r="AQ251" s="309"/>
      <c r="AR251" s="309"/>
      <c r="AS251" s="307"/>
      <c r="AT251" s="307"/>
      <c r="AU251" s="307"/>
      <c r="AV251" s="308"/>
      <c r="AW251" s="678"/>
      <c r="AX251" s="678"/>
      <c r="AY251" s="64"/>
      <c r="AZ251" s="64"/>
      <c r="BA251" s="64"/>
    </row>
    <row r="252" spans="1:53" ht="27" customHeight="1" x14ac:dyDescent="0.25">
      <c r="A252" s="4">
        <v>2</v>
      </c>
      <c r="B252" s="13" t="s">
        <v>481</v>
      </c>
      <c r="C252" s="14"/>
      <c r="D252" s="13"/>
      <c r="E252" s="13"/>
      <c r="F252" s="14"/>
      <c r="G252" s="13"/>
      <c r="H252" s="13"/>
      <c r="I252" s="681"/>
      <c r="J252" s="13"/>
      <c r="K252" s="13"/>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9"/>
      <c r="AQ252" s="69"/>
      <c r="AR252" s="69"/>
      <c r="AS252" s="68"/>
      <c r="AT252" s="68"/>
      <c r="AU252" s="68"/>
      <c r="AV252" s="68"/>
      <c r="AW252" s="68"/>
      <c r="AX252" s="68"/>
      <c r="AY252" s="70"/>
      <c r="AZ252" s="70"/>
      <c r="BA252" s="70"/>
    </row>
    <row r="253" spans="1:53" ht="28.5" customHeight="1" x14ac:dyDescent="0.25">
      <c r="A253" s="71"/>
      <c r="B253" s="154">
        <v>2</v>
      </c>
      <c r="C253" s="634" t="s">
        <v>538</v>
      </c>
      <c r="D253" s="17"/>
      <c r="E253" s="17"/>
      <c r="F253" s="640"/>
      <c r="G253" s="17"/>
      <c r="H253" s="17"/>
      <c r="I253" s="682"/>
      <c r="J253" s="17"/>
      <c r="K253" s="17"/>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3"/>
      <c r="AQ253" s="73"/>
      <c r="AR253" s="73"/>
      <c r="AS253" s="72"/>
      <c r="AT253" s="72"/>
      <c r="AU253" s="72"/>
      <c r="AV253" s="72"/>
      <c r="AW253" s="72"/>
      <c r="AX253" s="72"/>
      <c r="AY253" s="74"/>
      <c r="AZ253" s="74"/>
      <c r="BA253" s="74"/>
    </row>
    <row r="254" spans="1:53" ht="23.25" customHeight="1" x14ac:dyDescent="0.25">
      <c r="A254" s="27"/>
      <c r="B254" s="71"/>
      <c r="C254" s="651"/>
      <c r="D254" s="58"/>
      <c r="E254" s="76">
        <v>4</v>
      </c>
      <c r="F254" s="77" t="s">
        <v>558</v>
      </c>
      <c r="G254" s="78"/>
      <c r="H254" s="78"/>
      <c r="I254" s="690"/>
      <c r="J254" s="78"/>
      <c r="K254" s="78"/>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80"/>
      <c r="AQ254" s="80"/>
      <c r="AR254" s="80"/>
      <c r="AS254" s="79"/>
      <c r="AT254" s="79"/>
      <c r="AU254" s="79"/>
      <c r="AV254" s="79"/>
      <c r="AW254" s="79"/>
      <c r="AX254" s="79"/>
      <c r="AY254" s="81"/>
      <c r="AZ254" s="81"/>
      <c r="BA254" s="81"/>
    </row>
    <row r="255" spans="1:53" ht="82.5" customHeight="1" x14ac:dyDescent="0.25">
      <c r="A255" s="178"/>
      <c r="B255" s="178"/>
      <c r="C255" s="199">
        <v>5</v>
      </c>
      <c r="D255" s="167" t="s">
        <v>559</v>
      </c>
      <c r="E255" s="641"/>
      <c r="F255" s="182">
        <v>21</v>
      </c>
      <c r="G255" s="641" t="s">
        <v>179</v>
      </c>
      <c r="H255" s="846" t="s">
        <v>478</v>
      </c>
      <c r="I255" s="842" t="s">
        <v>180</v>
      </c>
      <c r="J255" s="846" t="s">
        <v>181</v>
      </c>
      <c r="K255" s="182" t="s">
        <v>477</v>
      </c>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6"/>
      <c r="AI255" s="186"/>
      <c r="AJ255" s="186"/>
      <c r="AK255" s="186"/>
      <c r="AL255" s="186"/>
      <c r="AM255" s="186"/>
      <c r="AN255" s="186"/>
      <c r="AO255" s="186"/>
      <c r="AP255" s="185">
        <f>70000000-5000000</f>
        <v>65000000</v>
      </c>
      <c r="AQ255" s="185"/>
      <c r="AR255" s="185"/>
      <c r="AS255" s="186"/>
      <c r="AT255" s="186"/>
      <c r="AU255" s="186"/>
      <c r="AV255" s="186"/>
      <c r="AW255" s="186"/>
      <c r="AX255" s="186"/>
      <c r="AY255" s="37">
        <f t="shared" ref="AY255:AY257" si="294">+L255+O255+R255+U255+X255+AA255+AD255+AG255+AJ255+AM255+AP255+AS255+AV255</f>
        <v>65000000</v>
      </c>
      <c r="AZ255" s="37">
        <f t="shared" ref="AZ255:AZ257" si="295">+M255+P255+S255+V255+Y255+AB255+AE255+AH255+AK255+AN255+AQ255+AT255+AW255</f>
        <v>0</v>
      </c>
      <c r="BA255" s="37">
        <f t="shared" ref="BA255:BA257" si="296">+N255+Q255+T255+W255+Z255+AC255+AF255+AI255+AL255+AO255+AR255+AU255+AX255</f>
        <v>0</v>
      </c>
    </row>
    <row r="256" spans="1:53" ht="65.25" customHeight="1" x14ac:dyDescent="0.25">
      <c r="A256" s="178"/>
      <c r="B256" s="178"/>
      <c r="C256" s="282">
        <v>7</v>
      </c>
      <c r="D256" s="283" t="s">
        <v>560</v>
      </c>
      <c r="E256" s="641"/>
      <c r="F256" s="204">
        <v>23</v>
      </c>
      <c r="G256" s="641" t="s">
        <v>182</v>
      </c>
      <c r="H256" s="847"/>
      <c r="I256" s="838"/>
      <c r="J256" s="847"/>
      <c r="K256" s="182" t="s">
        <v>466</v>
      </c>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6"/>
      <c r="AI256" s="186"/>
      <c r="AJ256" s="186"/>
      <c r="AK256" s="186"/>
      <c r="AL256" s="186"/>
      <c r="AM256" s="186"/>
      <c r="AN256" s="186"/>
      <c r="AO256" s="186"/>
      <c r="AP256" s="185">
        <f>70000000-5000000</f>
        <v>65000000</v>
      </c>
      <c r="AQ256" s="185"/>
      <c r="AR256" s="185"/>
      <c r="AS256" s="186"/>
      <c r="AT256" s="186"/>
      <c r="AU256" s="186"/>
      <c r="AV256" s="186"/>
      <c r="AW256" s="186"/>
      <c r="AX256" s="186"/>
      <c r="AY256" s="37">
        <f t="shared" si="294"/>
        <v>65000000</v>
      </c>
      <c r="AZ256" s="37">
        <f t="shared" si="295"/>
        <v>0</v>
      </c>
      <c r="BA256" s="37">
        <f t="shared" si="296"/>
        <v>0</v>
      </c>
    </row>
    <row r="257" spans="1:53" ht="68.25" customHeight="1" x14ac:dyDescent="0.25">
      <c r="A257" s="178"/>
      <c r="B257" s="178"/>
      <c r="C257" s="282">
        <v>7</v>
      </c>
      <c r="D257" s="283" t="s">
        <v>560</v>
      </c>
      <c r="E257" s="641"/>
      <c r="F257" s="204">
        <v>24</v>
      </c>
      <c r="G257" s="641" t="s">
        <v>183</v>
      </c>
      <c r="H257" s="848"/>
      <c r="I257" s="839"/>
      <c r="J257" s="848"/>
      <c r="K257" s="182" t="s">
        <v>466</v>
      </c>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6"/>
      <c r="AI257" s="186"/>
      <c r="AJ257" s="186"/>
      <c r="AK257" s="186"/>
      <c r="AL257" s="186"/>
      <c r="AM257" s="186"/>
      <c r="AN257" s="186"/>
      <c r="AO257" s="186"/>
      <c r="AP257" s="185">
        <f>180000000+10000000+45000000</f>
        <v>235000000</v>
      </c>
      <c r="AQ257" s="185"/>
      <c r="AR257" s="185"/>
      <c r="AS257" s="186"/>
      <c r="AT257" s="186"/>
      <c r="AU257" s="186"/>
      <c r="AV257" s="186"/>
      <c r="AW257" s="186"/>
      <c r="AX257" s="186"/>
      <c r="AY257" s="37">
        <f t="shared" si="294"/>
        <v>235000000</v>
      </c>
      <c r="AZ257" s="37">
        <f t="shared" si="295"/>
        <v>0</v>
      </c>
      <c r="BA257" s="37">
        <f t="shared" si="296"/>
        <v>0</v>
      </c>
    </row>
    <row r="258" spans="1:53" ht="21" customHeight="1" x14ac:dyDescent="0.25">
      <c r="A258" s="27"/>
      <c r="B258" s="27"/>
      <c r="C258" s="28"/>
      <c r="D258" s="29"/>
      <c r="E258" s="317"/>
      <c r="F258" s="317"/>
      <c r="G258" s="317"/>
      <c r="H258" s="317"/>
      <c r="I258" s="705"/>
      <c r="J258" s="317"/>
      <c r="K258" s="317"/>
      <c r="L258" s="317"/>
      <c r="M258" s="317"/>
      <c r="N258" s="317"/>
      <c r="O258" s="317"/>
      <c r="P258" s="317"/>
      <c r="Q258" s="317"/>
      <c r="R258" s="317"/>
      <c r="S258" s="317"/>
      <c r="T258" s="317"/>
      <c r="U258" s="317"/>
      <c r="V258" s="317"/>
      <c r="W258" s="317"/>
      <c r="X258" s="317"/>
      <c r="Y258" s="317"/>
      <c r="Z258" s="317"/>
      <c r="AA258" s="317"/>
      <c r="AB258" s="317"/>
      <c r="AC258" s="317"/>
      <c r="AD258" s="317"/>
      <c r="AE258" s="317"/>
      <c r="AF258" s="317"/>
      <c r="AG258" s="317"/>
      <c r="AH258" s="317"/>
      <c r="AI258" s="317"/>
      <c r="AJ258" s="317"/>
      <c r="AK258" s="317"/>
      <c r="AL258" s="317"/>
      <c r="AM258" s="317"/>
      <c r="AN258" s="317"/>
      <c r="AO258" s="317"/>
      <c r="AP258" s="317">
        <f>SUM(AP255:AP257)</f>
        <v>365000000</v>
      </c>
      <c r="AQ258" s="317">
        <f t="shared" ref="AQ258:AR258" si="297">SUM(AQ255:AQ257)</f>
        <v>0</v>
      </c>
      <c r="AR258" s="317">
        <f t="shared" si="297"/>
        <v>0</v>
      </c>
      <c r="AS258" s="317">
        <f>SUM(AS255:AS257)</f>
        <v>0</v>
      </c>
      <c r="AT258" s="317"/>
      <c r="AU258" s="317"/>
      <c r="AV258" s="317">
        <f>SUM(AV255:AV257)</f>
        <v>0</v>
      </c>
      <c r="AW258" s="317"/>
      <c r="AX258" s="317"/>
      <c r="AY258" s="317">
        <f>SUM(AY255:AY257)</f>
        <v>365000000</v>
      </c>
      <c r="AZ258" s="317">
        <f t="shared" ref="AZ258:BA258" si="298">SUM(AZ255:AZ257)</f>
        <v>0</v>
      </c>
      <c r="BA258" s="317">
        <f t="shared" si="298"/>
        <v>0</v>
      </c>
    </row>
    <row r="259" spans="1:53" ht="21" customHeight="1" x14ac:dyDescent="0.25">
      <c r="A259" s="27"/>
      <c r="B259" s="27"/>
      <c r="C259" s="28"/>
      <c r="D259" s="29"/>
      <c r="E259" s="639"/>
      <c r="F259" s="144"/>
      <c r="G259" s="29"/>
      <c r="H259" s="647"/>
      <c r="I259" s="668"/>
      <c r="J259" s="647"/>
      <c r="K259" s="31"/>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6"/>
      <c r="AI259" s="36"/>
      <c r="AJ259" s="36"/>
      <c r="AK259" s="36"/>
      <c r="AL259" s="36"/>
      <c r="AM259" s="36"/>
      <c r="AN259" s="36"/>
      <c r="AO259" s="36"/>
      <c r="AP259" s="189"/>
      <c r="AQ259" s="189"/>
      <c r="AR259" s="189"/>
      <c r="AS259" s="36"/>
      <c r="AT259" s="36"/>
      <c r="AU259" s="36"/>
      <c r="AV259" s="36"/>
      <c r="AW259" s="145"/>
      <c r="AX259" s="145"/>
      <c r="AY259" s="64"/>
      <c r="AZ259" s="64"/>
      <c r="BA259" s="64"/>
    </row>
    <row r="260" spans="1:53" ht="20.25" customHeight="1" x14ac:dyDescent="0.25">
      <c r="A260" s="27"/>
      <c r="B260" s="27"/>
      <c r="C260" s="28"/>
      <c r="D260" s="29"/>
      <c r="E260" s="287">
        <v>5</v>
      </c>
      <c r="F260" s="77" t="s">
        <v>561</v>
      </c>
      <c r="G260" s="78"/>
      <c r="H260" s="78"/>
      <c r="I260" s="690"/>
      <c r="J260" s="78"/>
      <c r="K260" s="78"/>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80"/>
      <c r="AQ260" s="80"/>
      <c r="AR260" s="80"/>
      <c r="AS260" s="79"/>
      <c r="AT260" s="79"/>
      <c r="AU260" s="79"/>
      <c r="AV260" s="79"/>
      <c r="AW260" s="79"/>
      <c r="AX260" s="79"/>
      <c r="AY260" s="81"/>
      <c r="AZ260" s="81"/>
      <c r="BA260" s="81"/>
    </row>
    <row r="261" spans="1:53" ht="72" customHeight="1" x14ac:dyDescent="0.25">
      <c r="A261" s="27"/>
      <c r="B261" s="27"/>
      <c r="C261" s="199">
        <v>5</v>
      </c>
      <c r="D261" s="167" t="s">
        <v>562</v>
      </c>
      <c r="E261" s="318"/>
      <c r="F261" s="31">
        <v>25</v>
      </c>
      <c r="G261" s="29" t="s">
        <v>184</v>
      </c>
      <c r="H261" s="844" t="s">
        <v>478</v>
      </c>
      <c r="I261" s="827" t="s">
        <v>185</v>
      </c>
      <c r="J261" s="844" t="s">
        <v>186</v>
      </c>
      <c r="K261" s="31" t="s">
        <v>477</v>
      </c>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6"/>
      <c r="AI261" s="36"/>
      <c r="AJ261" s="36"/>
      <c r="AK261" s="36"/>
      <c r="AL261" s="36"/>
      <c r="AM261" s="36"/>
      <c r="AN261" s="36"/>
      <c r="AO261" s="36"/>
      <c r="AP261" s="35">
        <v>238000000</v>
      </c>
      <c r="AQ261" s="35"/>
      <c r="AR261" s="35"/>
      <c r="AS261" s="36"/>
      <c r="AT261" s="36"/>
      <c r="AU261" s="36"/>
      <c r="AV261" s="36"/>
      <c r="AW261" s="36"/>
      <c r="AX261" s="36"/>
      <c r="AY261" s="37">
        <f>+L261+O261+R261+U261+X261+AA261+AD261+AG261+AJ261+AM261+AP261+AS261+AV261</f>
        <v>238000000</v>
      </c>
      <c r="AZ261" s="37">
        <f t="shared" ref="AZ261:BA264" si="299">+M261+P261+S261+V261+Y261+AB261+AE261+AH261+AK261+AN261+AQ261+AT261+AW261</f>
        <v>0</v>
      </c>
      <c r="BA261" s="37">
        <f t="shared" si="299"/>
        <v>0</v>
      </c>
    </row>
    <row r="262" spans="1:53" ht="79.5" customHeight="1" x14ac:dyDescent="0.25">
      <c r="A262" s="164"/>
      <c r="B262" s="164"/>
      <c r="C262" s="199">
        <v>6</v>
      </c>
      <c r="D262" s="167" t="s">
        <v>563</v>
      </c>
      <c r="E262" s="319"/>
      <c r="F262" s="122">
        <v>27</v>
      </c>
      <c r="G262" s="167" t="s">
        <v>187</v>
      </c>
      <c r="H262" s="820"/>
      <c r="I262" s="821"/>
      <c r="J262" s="820"/>
      <c r="K262" s="122" t="s">
        <v>477</v>
      </c>
      <c r="L262" s="188"/>
      <c r="M262" s="188"/>
      <c r="N262" s="188"/>
      <c r="O262" s="188"/>
      <c r="P262" s="188"/>
      <c r="Q262" s="188"/>
      <c r="R262" s="188"/>
      <c r="S262" s="188"/>
      <c r="T262" s="188"/>
      <c r="U262" s="188"/>
      <c r="V262" s="188"/>
      <c r="W262" s="188"/>
      <c r="X262" s="188"/>
      <c r="Y262" s="188"/>
      <c r="Z262" s="188"/>
      <c r="AA262" s="188"/>
      <c r="AB262" s="188"/>
      <c r="AC262" s="188"/>
      <c r="AD262" s="188"/>
      <c r="AE262" s="188"/>
      <c r="AF262" s="188"/>
      <c r="AG262" s="188"/>
      <c r="AH262" s="171"/>
      <c r="AI262" s="171"/>
      <c r="AJ262" s="171"/>
      <c r="AK262" s="171"/>
      <c r="AL262" s="171"/>
      <c r="AM262" s="171"/>
      <c r="AN262" s="171"/>
      <c r="AO262" s="171"/>
      <c r="AP262" s="170">
        <v>300000000</v>
      </c>
      <c r="AQ262" s="170"/>
      <c r="AR262" s="170"/>
      <c r="AS262" s="171"/>
      <c r="AT262" s="171"/>
      <c r="AU262" s="171"/>
      <c r="AV262" s="171"/>
      <c r="AW262" s="171"/>
      <c r="AX262" s="171"/>
      <c r="AY262" s="37">
        <f t="shared" ref="AY262:AY264" si="300">+L262+O262+R262+U262+X262+AA262+AD262+AG262+AJ262+AM262+AP262+AS262+AV262</f>
        <v>300000000</v>
      </c>
      <c r="AZ262" s="37">
        <f t="shared" si="299"/>
        <v>0</v>
      </c>
      <c r="BA262" s="37">
        <f t="shared" si="299"/>
        <v>0</v>
      </c>
    </row>
    <row r="263" spans="1:53" ht="60.75" customHeight="1" x14ac:dyDescent="0.25">
      <c r="A263" s="27"/>
      <c r="B263" s="27"/>
      <c r="C263" s="282">
        <v>7</v>
      </c>
      <c r="D263" s="283" t="s">
        <v>560</v>
      </c>
      <c r="E263" s="320"/>
      <c r="F263" s="646">
        <v>28</v>
      </c>
      <c r="G263" s="637" t="s">
        <v>188</v>
      </c>
      <c r="H263" s="820"/>
      <c r="I263" s="821"/>
      <c r="J263" s="820"/>
      <c r="K263" s="646" t="s">
        <v>477</v>
      </c>
      <c r="L263" s="288"/>
      <c r="M263" s="288"/>
      <c r="N263" s="288"/>
      <c r="O263" s="288"/>
      <c r="P263" s="288"/>
      <c r="Q263" s="288"/>
      <c r="R263" s="288"/>
      <c r="S263" s="288"/>
      <c r="T263" s="288"/>
      <c r="U263" s="288"/>
      <c r="V263" s="288"/>
      <c r="W263" s="288"/>
      <c r="X263" s="288"/>
      <c r="Y263" s="288"/>
      <c r="Z263" s="288"/>
      <c r="AA263" s="288"/>
      <c r="AB263" s="288"/>
      <c r="AC263" s="288"/>
      <c r="AD263" s="288"/>
      <c r="AE263" s="288"/>
      <c r="AF263" s="288"/>
      <c r="AG263" s="288"/>
      <c r="AH263" s="321"/>
      <c r="AI263" s="321"/>
      <c r="AJ263" s="321"/>
      <c r="AK263" s="321"/>
      <c r="AL263" s="321"/>
      <c r="AM263" s="321"/>
      <c r="AN263" s="321"/>
      <c r="AO263" s="321"/>
      <c r="AP263" s="322">
        <v>35000000</v>
      </c>
      <c r="AQ263" s="322"/>
      <c r="AR263" s="322"/>
      <c r="AS263" s="321"/>
      <c r="AT263" s="321"/>
      <c r="AU263" s="321"/>
      <c r="AV263" s="321"/>
      <c r="AW263" s="321"/>
      <c r="AX263" s="321"/>
      <c r="AY263" s="323">
        <f t="shared" si="300"/>
        <v>35000000</v>
      </c>
      <c r="AZ263" s="323">
        <f t="shared" si="299"/>
        <v>0</v>
      </c>
      <c r="BA263" s="323">
        <f t="shared" si="299"/>
        <v>0</v>
      </c>
    </row>
    <row r="264" spans="1:53" ht="144" customHeight="1" x14ac:dyDescent="0.25">
      <c r="A264" s="27"/>
      <c r="B264" s="27"/>
      <c r="C264" s="204" t="s">
        <v>564</v>
      </c>
      <c r="D264" s="641" t="s">
        <v>565</v>
      </c>
      <c r="E264" s="182" t="s">
        <v>500</v>
      </c>
      <c r="F264" s="182">
        <v>30</v>
      </c>
      <c r="G264" s="641" t="s">
        <v>189</v>
      </c>
      <c r="H264" s="31" t="s">
        <v>478</v>
      </c>
      <c r="I264" s="699" t="s">
        <v>190</v>
      </c>
      <c r="J264" s="641" t="s">
        <v>191</v>
      </c>
      <c r="K264" s="182" t="s">
        <v>466</v>
      </c>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6"/>
      <c r="AO264" s="36"/>
      <c r="AP264" s="170">
        <v>36364849</v>
      </c>
      <c r="AQ264" s="170"/>
      <c r="AR264" s="170"/>
      <c r="AS264" s="33"/>
      <c r="AT264" s="33"/>
      <c r="AU264" s="33"/>
      <c r="AV264" s="33"/>
      <c r="AW264" s="288"/>
      <c r="AX264" s="288"/>
      <c r="AY264" s="323">
        <f t="shared" si="300"/>
        <v>36364849</v>
      </c>
      <c r="AZ264" s="323">
        <f t="shared" si="299"/>
        <v>0</v>
      </c>
      <c r="BA264" s="323">
        <f t="shared" si="299"/>
        <v>0</v>
      </c>
    </row>
    <row r="265" spans="1:53" ht="24.75" customHeight="1" x14ac:dyDescent="0.25">
      <c r="A265" s="27"/>
      <c r="B265" s="27"/>
      <c r="C265" s="651"/>
      <c r="D265" s="58"/>
      <c r="E265" s="76"/>
      <c r="F265" s="324"/>
      <c r="G265" s="325"/>
      <c r="H265" s="326"/>
      <c r="I265" s="706"/>
      <c r="J265" s="325"/>
      <c r="K265" s="326"/>
      <c r="L265" s="327"/>
      <c r="M265" s="327"/>
      <c r="N265" s="327"/>
      <c r="O265" s="327"/>
      <c r="P265" s="327"/>
      <c r="Q265" s="327"/>
      <c r="R265" s="327"/>
      <c r="S265" s="327"/>
      <c r="T265" s="327"/>
      <c r="U265" s="327"/>
      <c r="V265" s="327"/>
      <c r="W265" s="327"/>
      <c r="X265" s="327"/>
      <c r="Y265" s="327"/>
      <c r="Z265" s="327"/>
      <c r="AA265" s="327"/>
      <c r="AB265" s="327"/>
      <c r="AC265" s="327"/>
      <c r="AD265" s="327"/>
      <c r="AE265" s="327"/>
      <c r="AF265" s="327"/>
      <c r="AG265" s="327"/>
      <c r="AH265" s="327"/>
      <c r="AI265" s="327"/>
      <c r="AJ265" s="327"/>
      <c r="AK265" s="327"/>
      <c r="AL265" s="327"/>
      <c r="AM265" s="327"/>
      <c r="AN265" s="327"/>
      <c r="AO265" s="327"/>
      <c r="AP265" s="327">
        <f>SUM(AP261:AP264)</f>
        <v>609364849</v>
      </c>
      <c r="AQ265" s="327">
        <f t="shared" ref="AQ265:AR265" si="301">SUM(AQ261:AQ264)</f>
        <v>0</v>
      </c>
      <c r="AR265" s="327">
        <f t="shared" si="301"/>
        <v>0</v>
      </c>
      <c r="AS265" s="327">
        <f t="shared" ref="AS265:AY265" si="302">SUM(AS261:AS264)</f>
        <v>0</v>
      </c>
      <c r="AT265" s="327"/>
      <c r="AU265" s="327"/>
      <c r="AV265" s="327">
        <f t="shared" si="302"/>
        <v>0</v>
      </c>
      <c r="AW265" s="327"/>
      <c r="AX265" s="327"/>
      <c r="AY265" s="327">
        <f t="shared" si="302"/>
        <v>609364849</v>
      </c>
      <c r="AZ265" s="327">
        <f t="shared" ref="AZ265:BA265" si="303">SUM(AZ261:AZ264)</f>
        <v>0</v>
      </c>
      <c r="BA265" s="327">
        <f t="shared" si="303"/>
        <v>0</v>
      </c>
    </row>
    <row r="266" spans="1:53" ht="15" x14ac:dyDescent="0.25">
      <c r="A266" s="27"/>
      <c r="B266" s="27"/>
      <c r="C266" s="651"/>
      <c r="D266" s="58"/>
      <c r="E266" s="328"/>
      <c r="F266" s="156"/>
      <c r="G266" s="58"/>
      <c r="H266" s="651"/>
      <c r="I266" s="689"/>
      <c r="J266" s="58"/>
      <c r="K266" s="651"/>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88"/>
      <c r="AQ266" s="88"/>
      <c r="AR266" s="88"/>
      <c r="AS266" s="60"/>
      <c r="AT266" s="60"/>
      <c r="AU266" s="60"/>
      <c r="AV266" s="61"/>
      <c r="AW266" s="63"/>
      <c r="AX266" s="63"/>
      <c r="AY266" s="64"/>
      <c r="AZ266" s="64"/>
      <c r="BA266" s="64"/>
    </row>
    <row r="267" spans="1:53" ht="26.25" customHeight="1" x14ac:dyDescent="0.25">
      <c r="A267" s="27"/>
      <c r="B267" s="27"/>
      <c r="C267" s="28"/>
      <c r="D267" s="29"/>
      <c r="E267" s="191">
        <v>6</v>
      </c>
      <c r="F267" s="192" t="s">
        <v>566</v>
      </c>
      <c r="G267" s="78"/>
      <c r="H267" s="78"/>
      <c r="I267" s="690"/>
      <c r="J267" s="78"/>
      <c r="K267" s="78"/>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80"/>
      <c r="AQ267" s="80"/>
      <c r="AR267" s="80"/>
      <c r="AS267" s="79"/>
      <c r="AT267" s="79"/>
      <c r="AU267" s="79"/>
      <c r="AV267" s="79"/>
      <c r="AW267" s="79"/>
      <c r="AX267" s="79"/>
      <c r="AY267" s="81"/>
      <c r="AZ267" s="81"/>
      <c r="BA267" s="81"/>
    </row>
    <row r="268" spans="1:53" ht="66" customHeight="1" x14ac:dyDescent="0.25">
      <c r="A268" s="178"/>
      <c r="B268" s="178"/>
      <c r="C268" s="237">
        <v>5</v>
      </c>
      <c r="D268" s="645" t="s">
        <v>567</v>
      </c>
      <c r="E268" s="329"/>
      <c r="F268" s="330">
        <v>31</v>
      </c>
      <c r="G268" s="641" t="s">
        <v>192</v>
      </c>
      <c r="H268" s="645" t="s">
        <v>478</v>
      </c>
      <c r="I268" s="669" t="s">
        <v>193</v>
      </c>
      <c r="J268" s="645" t="s">
        <v>194</v>
      </c>
      <c r="K268" s="182" t="s">
        <v>466</v>
      </c>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6"/>
      <c r="AO268" s="186"/>
      <c r="AP268" s="185">
        <f>165000000-20000000+250000000</f>
        <v>395000000</v>
      </c>
      <c r="AQ268" s="185">
        <v>145849999</v>
      </c>
      <c r="AR268" s="185">
        <v>54383333</v>
      </c>
      <c r="AS268" s="186"/>
      <c r="AT268" s="186"/>
      <c r="AU268" s="186"/>
      <c r="AV268" s="186"/>
      <c r="AW268" s="186"/>
      <c r="AX268" s="186"/>
      <c r="AY268" s="37">
        <f>+L268+O268+R268+U268+X268+AA268+AD268+AG268+AJ268+AM268+AP268+AS268+AV268</f>
        <v>395000000</v>
      </c>
      <c r="AZ268" s="37">
        <f t="shared" ref="AZ268:BA268" si="304">+M268+P268+S268+V268+Y268+AB268+AE268+AH268+AK268+AN268+AQ268+AT268+AW268</f>
        <v>145849999</v>
      </c>
      <c r="BA268" s="37">
        <f t="shared" si="304"/>
        <v>54383333</v>
      </c>
    </row>
    <row r="269" spans="1:53" ht="26.25" customHeight="1" x14ac:dyDescent="0.25">
      <c r="A269" s="27"/>
      <c r="B269" s="27"/>
      <c r="C269" s="854"/>
      <c r="D269" s="854"/>
      <c r="E269" s="258"/>
      <c r="F269" s="42"/>
      <c r="G269" s="258"/>
      <c r="H269" s="258"/>
      <c r="I269" s="707"/>
      <c r="J269" s="258"/>
      <c r="K269" s="42"/>
      <c r="L269" s="331"/>
      <c r="M269" s="331"/>
      <c r="N269" s="331"/>
      <c r="O269" s="331"/>
      <c r="P269" s="331"/>
      <c r="Q269" s="331"/>
      <c r="R269" s="331"/>
      <c r="S269" s="331"/>
      <c r="T269" s="331"/>
      <c r="U269" s="331"/>
      <c r="V269" s="331"/>
      <c r="W269" s="331"/>
      <c r="X269" s="331"/>
      <c r="Y269" s="331"/>
      <c r="Z269" s="331"/>
      <c r="AA269" s="331"/>
      <c r="AB269" s="331"/>
      <c r="AC269" s="331"/>
      <c r="AD269" s="331"/>
      <c r="AE269" s="331"/>
      <c r="AF269" s="331"/>
      <c r="AG269" s="331"/>
      <c r="AH269" s="331"/>
      <c r="AI269" s="331"/>
      <c r="AJ269" s="331"/>
      <c r="AK269" s="331"/>
      <c r="AL269" s="331"/>
      <c r="AM269" s="331"/>
      <c r="AN269" s="331"/>
      <c r="AO269" s="331"/>
      <c r="AP269" s="331">
        <f>SUM(AP268:AP268)</f>
        <v>395000000</v>
      </c>
      <c r="AQ269" s="331">
        <f t="shared" ref="AQ269:AR269" si="305">SUM(AQ268:AQ268)</f>
        <v>145849999</v>
      </c>
      <c r="AR269" s="331">
        <f t="shared" si="305"/>
        <v>54383333</v>
      </c>
      <c r="AS269" s="331">
        <f>SUM(AS268:AS268)</f>
        <v>0</v>
      </c>
      <c r="AT269" s="331"/>
      <c r="AU269" s="331"/>
      <c r="AV269" s="331">
        <f>SUM(AV268:AV268)</f>
        <v>0</v>
      </c>
      <c r="AW269" s="331"/>
      <c r="AX269" s="331"/>
      <c r="AY269" s="331">
        <f>SUM(AY268:AY268)</f>
        <v>395000000</v>
      </c>
      <c r="AZ269" s="331">
        <f t="shared" ref="AZ269:BA269" si="306">SUM(AZ268:AZ268)</f>
        <v>145849999</v>
      </c>
      <c r="BA269" s="331">
        <f t="shared" si="306"/>
        <v>54383333</v>
      </c>
    </row>
    <row r="270" spans="1:53" ht="15" x14ac:dyDescent="0.25">
      <c r="A270" s="27"/>
      <c r="B270" s="27"/>
      <c r="C270" s="651"/>
      <c r="D270" s="651"/>
      <c r="E270" s="99"/>
      <c r="F270" s="59"/>
      <c r="G270" s="99"/>
      <c r="H270" s="99"/>
      <c r="I270" s="708"/>
      <c r="J270" s="99"/>
      <c r="K270" s="59"/>
      <c r="L270" s="332"/>
      <c r="M270" s="332"/>
      <c r="N270" s="332"/>
      <c r="O270" s="332"/>
      <c r="P270" s="332"/>
      <c r="Q270" s="332"/>
      <c r="R270" s="332"/>
      <c r="S270" s="332"/>
      <c r="T270" s="332"/>
      <c r="U270" s="332"/>
      <c r="V270" s="332"/>
      <c r="W270" s="332"/>
      <c r="X270" s="332"/>
      <c r="Y270" s="332"/>
      <c r="Z270" s="332"/>
      <c r="AA270" s="332"/>
      <c r="AB270" s="332"/>
      <c r="AC270" s="332"/>
      <c r="AD270" s="332"/>
      <c r="AE270" s="332"/>
      <c r="AF270" s="332"/>
      <c r="AG270" s="332"/>
      <c r="AH270" s="332"/>
      <c r="AI270" s="332"/>
      <c r="AJ270" s="332"/>
      <c r="AK270" s="332"/>
      <c r="AL270" s="332"/>
      <c r="AM270" s="332"/>
      <c r="AN270" s="332"/>
      <c r="AO270" s="332"/>
      <c r="AP270" s="88"/>
      <c r="AQ270" s="88"/>
      <c r="AR270" s="88"/>
      <c r="AS270" s="332"/>
      <c r="AT270" s="332"/>
      <c r="AU270" s="332"/>
      <c r="AV270" s="333"/>
      <c r="AW270" s="333"/>
      <c r="AX270" s="333"/>
      <c r="AY270" s="334" t="s">
        <v>500</v>
      </c>
      <c r="AZ270" s="334" t="s">
        <v>500</v>
      </c>
      <c r="BA270" s="334" t="s">
        <v>500</v>
      </c>
    </row>
    <row r="271" spans="1:53" ht="24.75" customHeight="1" x14ac:dyDescent="0.25">
      <c r="A271" s="27"/>
      <c r="B271" s="27"/>
      <c r="C271" s="651"/>
      <c r="D271" s="651"/>
      <c r="E271" s="335">
        <v>7</v>
      </c>
      <c r="F271" s="192" t="s">
        <v>568</v>
      </c>
      <c r="G271" s="78"/>
      <c r="H271" s="78"/>
      <c r="I271" s="690"/>
      <c r="J271" s="78"/>
      <c r="K271" s="78"/>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80"/>
      <c r="AQ271" s="80"/>
      <c r="AR271" s="80"/>
      <c r="AS271" s="79"/>
      <c r="AT271" s="79"/>
      <c r="AU271" s="79"/>
      <c r="AV271" s="79"/>
      <c r="AW271" s="79"/>
      <c r="AX271" s="79"/>
      <c r="AY271" s="81"/>
      <c r="AZ271" s="81"/>
      <c r="BA271" s="81"/>
    </row>
    <row r="272" spans="1:53" ht="61.5" customHeight="1" x14ac:dyDescent="0.25">
      <c r="A272" s="27"/>
      <c r="B272" s="27"/>
      <c r="C272" s="199">
        <v>5</v>
      </c>
      <c r="D272" s="167" t="s">
        <v>559</v>
      </c>
      <c r="E272" s="30"/>
      <c r="F272" s="31">
        <v>35</v>
      </c>
      <c r="G272" s="29" t="s">
        <v>195</v>
      </c>
      <c r="H272" s="844" t="s">
        <v>478</v>
      </c>
      <c r="I272" s="827" t="s">
        <v>196</v>
      </c>
      <c r="J272" s="828" t="s">
        <v>197</v>
      </c>
      <c r="K272" s="31" t="s">
        <v>466</v>
      </c>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6"/>
      <c r="AO272" s="36"/>
      <c r="AP272" s="739">
        <v>50000000</v>
      </c>
      <c r="AQ272" s="740">
        <v>7200000</v>
      </c>
      <c r="AR272" s="301">
        <v>3600000</v>
      </c>
      <c r="AS272" s="36"/>
      <c r="AT272" s="36"/>
      <c r="AU272" s="36"/>
      <c r="AV272" s="36"/>
      <c r="AW272" s="36"/>
      <c r="AX272" s="36"/>
      <c r="AY272" s="37">
        <f t="shared" ref="AY272:AY273" si="307">+L272+O272+R272+U272+X272+AA272+AD272+AG272+AJ272+AM272+AP272+AS272+AV272</f>
        <v>50000000</v>
      </c>
      <c r="AZ272" s="37">
        <f t="shared" ref="AZ272:AZ273" si="308">+M272+P272+S272+V272+Y272+AB272+AE272+AH272+AK272+AN272+AQ272+AT272+AW272</f>
        <v>7200000</v>
      </c>
      <c r="BA272" s="37">
        <f t="shared" ref="BA272:BA273" si="309">+N272+Q272+T272+W272+Z272+AC272+AF272+AI272+AL272+AO272+AR272+AU272+AX272</f>
        <v>3600000</v>
      </c>
    </row>
    <row r="273" spans="1:53" ht="66" customHeight="1" x14ac:dyDescent="0.25">
      <c r="A273" s="27"/>
      <c r="B273" s="27"/>
      <c r="C273" s="204">
        <v>7</v>
      </c>
      <c r="D273" s="29" t="s">
        <v>569</v>
      </c>
      <c r="E273" s="38"/>
      <c r="F273" s="31">
        <v>37</v>
      </c>
      <c r="G273" s="29" t="s">
        <v>198</v>
      </c>
      <c r="H273" s="845"/>
      <c r="I273" s="830"/>
      <c r="J273" s="831"/>
      <c r="K273" s="31" t="s">
        <v>466</v>
      </c>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6"/>
      <c r="AO273" s="36"/>
      <c r="AP273" s="304">
        <v>128000000</v>
      </c>
      <c r="AQ273" s="304">
        <v>29200000</v>
      </c>
      <c r="AR273" s="304">
        <v>6000000</v>
      </c>
      <c r="AS273" s="36"/>
      <c r="AT273" s="36"/>
      <c r="AU273" s="36"/>
      <c r="AV273" s="36"/>
      <c r="AW273" s="36"/>
      <c r="AX273" s="36"/>
      <c r="AY273" s="37">
        <f t="shared" si="307"/>
        <v>128000000</v>
      </c>
      <c r="AZ273" s="37">
        <f t="shared" si="308"/>
        <v>29200000</v>
      </c>
      <c r="BA273" s="37">
        <f t="shared" si="309"/>
        <v>6000000</v>
      </c>
    </row>
    <row r="274" spans="1:53" ht="26.25" customHeight="1" x14ac:dyDescent="0.25">
      <c r="A274" s="27"/>
      <c r="B274" s="39"/>
      <c r="C274" s="28"/>
      <c r="D274" s="29"/>
      <c r="E274" s="40"/>
      <c r="F274" s="41"/>
      <c r="G274" s="40"/>
      <c r="H274" s="41"/>
      <c r="I274" s="685"/>
      <c r="J274" s="40"/>
      <c r="K274" s="41"/>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f t="shared" ref="AP274:AY274" si="310">SUM(AP272:AP273)</f>
        <v>178000000</v>
      </c>
      <c r="AQ274" s="43">
        <f t="shared" ref="AQ274:AR274" si="311">SUM(AQ272:AQ273)</f>
        <v>36400000</v>
      </c>
      <c r="AR274" s="43">
        <f t="shared" si="311"/>
        <v>9600000</v>
      </c>
      <c r="AS274" s="43">
        <f t="shared" si="310"/>
        <v>0</v>
      </c>
      <c r="AT274" s="43"/>
      <c r="AU274" s="43"/>
      <c r="AV274" s="43">
        <f t="shared" si="310"/>
        <v>0</v>
      </c>
      <c r="AW274" s="43"/>
      <c r="AX274" s="43"/>
      <c r="AY274" s="43">
        <f t="shared" si="310"/>
        <v>178000000</v>
      </c>
      <c r="AZ274" s="43">
        <f t="shared" ref="AZ274:BA274" si="312">SUM(AZ272:AZ273)</f>
        <v>36400000</v>
      </c>
      <c r="BA274" s="43">
        <f t="shared" si="312"/>
        <v>9600000</v>
      </c>
    </row>
    <row r="275" spans="1:53" ht="24" customHeight="1" x14ac:dyDescent="0.25">
      <c r="A275" s="27"/>
      <c r="B275" s="336"/>
      <c r="C275" s="107"/>
      <c r="D275" s="106"/>
      <c r="E275" s="106"/>
      <c r="F275" s="107"/>
      <c r="G275" s="106"/>
      <c r="H275" s="107"/>
      <c r="I275" s="709"/>
      <c r="J275" s="106"/>
      <c r="K275" s="107"/>
      <c r="L275" s="337"/>
      <c r="M275" s="337"/>
      <c r="N275" s="337"/>
      <c r="O275" s="337"/>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7"/>
      <c r="AK275" s="337"/>
      <c r="AL275" s="337"/>
      <c r="AM275" s="337"/>
      <c r="AN275" s="337"/>
      <c r="AO275" s="337"/>
      <c r="AP275" s="337">
        <f>AP274+AP269+AP265+AP258</f>
        <v>1547364849</v>
      </c>
      <c r="AQ275" s="337">
        <f t="shared" ref="AQ275:AR275" si="313">AQ274+AQ269+AQ265+AQ258</f>
        <v>182249999</v>
      </c>
      <c r="AR275" s="337">
        <f t="shared" si="313"/>
        <v>63983333</v>
      </c>
      <c r="AS275" s="337">
        <f>AS274+AS269+AS265+AS258</f>
        <v>0</v>
      </c>
      <c r="AT275" s="337"/>
      <c r="AU275" s="337"/>
      <c r="AV275" s="337">
        <f>AV274+AV269+AV265+AV258</f>
        <v>0</v>
      </c>
      <c r="AW275" s="337"/>
      <c r="AX275" s="337"/>
      <c r="AY275" s="337">
        <f>AY274+AY269+AY265+AY258</f>
        <v>1547364849</v>
      </c>
      <c r="AZ275" s="337">
        <f t="shared" ref="AZ275:BA275" si="314">AZ274+AZ269+AZ265+AZ258</f>
        <v>182249999</v>
      </c>
      <c r="BA275" s="337">
        <f t="shared" si="314"/>
        <v>63983333</v>
      </c>
    </row>
    <row r="276" spans="1:53" s="12" customFormat="1" ht="29.25" customHeight="1" x14ac:dyDescent="0.25">
      <c r="A276" s="49"/>
      <c r="B276" s="49"/>
      <c r="C276" s="50"/>
      <c r="D276" s="49"/>
      <c r="E276" s="49"/>
      <c r="F276" s="50"/>
      <c r="G276" s="49"/>
      <c r="H276" s="50"/>
      <c r="I276" s="687"/>
      <c r="J276" s="49"/>
      <c r="K276" s="50"/>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f t="shared" ref="AP276:AY276" si="315">AP275</f>
        <v>1547364849</v>
      </c>
      <c r="AQ276" s="52">
        <f t="shared" ref="AQ276:AR276" si="316">AQ275</f>
        <v>182249999</v>
      </c>
      <c r="AR276" s="52">
        <f t="shared" si="316"/>
        <v>63983333</v>
      </c>
      <c r="AS276" s="52">
        <f t="shared" si="315"/>
        <v>0</v>
      </c>
      <c r="AT276" s="52"/>
      <c r="AU276" s="52"/>
      <c r="AV276" s="52">
        <f t="shared" si="315"/>
        <v>0</v>
      </c>
      <c r="AW276" s="52"/>
      <c r="AX276" s="52"/>
      <c r="AY276" s="52">
        <f t="shared" si="315"/>
        <v>1547364849</v>
      </c>
      <c r="AZ276" s="52">
        <f t="shared" ref="AZ276:BA276" si="317">AZ275</f>
        <v>182249999</v>
      </c>
      <c r="BA276" s="52">
        <f t="shared" si="317"/>
        <v>63983333</v>
      </c>
    </row>
    <row r="277" spans="1:53" s="12" customFormat="1" ht="20.25" x14ac:dyDescent="0.25">
      <c r="A277" s="338"/>
      <c r="B277" s="253"/>
      <c r="C277" s="144"/>
      <c r="D277" s="253"/>
      <c r="E277" s="253"/>
      <c r="F277" s="144"/>
      <c r="G277" s="253"/>
      <c r="H277" s="144"/>
      <c r="I277" s="697"/>
      <c r="J277" s="141"/>
      <c r="K277" s="144"/>
      <c r="L277" s="233"/>
      <c r="M277" s="233"/>
      <c r="N277" s="233"/>
      <c r="O277" s="233"/>
      <c r="P277" s="233"/>
      <c r="Q277" s="233"/>
      <c r="R277" s="233"/>
      <c r="S277" s="233"/>
      <c r="T277" s="233"/>
      <c r="U277" s="233"/>
      <c r="V277" s="233"/>
      <c r="W277" s="233"/>
      <c r="X277" s="233"/>
      <c r="Y277" s="233"/>
      <c r="Z277" s="233"/>
      <c r="AA277" s="233"/>
      <c r="AB277" s="233"/>
      <c r="AC277" s="233"/>
      <c r="AD277" s="233"/>
      <c r="AE277" s="233"/>
      <c r="AF277" s="233"/>
      <c r="AG277" s="233"/>
      <c r="AH277" s="233"/>
      <c r="AI277" s="233"/>
      <c r="AJ277" s="233"/>
      <c r="AK277" s="233"/>
      <c r="AL277" s="233"/>
      <c r="AM277" s="233"/>
      <c r="AN277" s="233"/>
      <c r="AO277" s="233"/>
      <c r="AP277" s="234"/>
      <c r="AQ277" s="234"/>
      <c r="AR277" s="234"/>
      <c r="AS277" s="233"/>
      <c r="AT277" s="233"/>
      <c r="AU277" s="233"/>
      <c r="AV277" s="255"/>
      <c r="AW277" s="63"/>
      <c r="AX277" s="63"/>
      <c r="AY277" s="147"/>
      <c r="AZ277" s="147"/>
      <c r="BA277" s="147"/>
    </row>
    <row r="278" spans="1:53" s="12" customFormat="1" ht="20.25" x14ac:dyDescent="0.25">
      <c r="A278" s="4">
        <v>3</v>
      </c>
      <c r="B278" s="13" t="s">
        <v>570</v>
      </c>
      <c r="C278" s="14"/>
      <c r="D278" s="13"/>
      <c r="E278" s="13"/>
      <c r="F278" s="14"/>
      <c r="G278" s="13"/>
      <c r="H278" s="13"/>
      <c r="I278" s="681"/>
      <c r="J278" s="13"/>
      <c r="K278" s="13"/>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9"/>
      <c r="AQ278" s="69"/>
      <c r="AR278" s="69"/>
      <c r="AS278" s="68"/>
      <c r="AT278" s="68"/>
      <c r="AU278" s="68"/>
      <c r="AV278" s="68"/>
      <c r="AW278" s="68"/>
      <c r="AX278" s="68"/>
      <c r="AY278" s="70"/>
      <c r="AZ278" s="70"/>
      <c r="BA278" s="70"/>
    </row>
    <row r="279" spans="1:53" s="12" customFormat="1" ht="20.25" x14ac:dyDescent="0.25">
      <c r="A279" s="71"/>
      <c r="B279" s="154">
        <v>11</v>
      </c>
      <c r="C279" s="634" t="s">
        <v>571</v>
      </c>
      <c r="D279" s="17"/>
      <c r="E279" s="17"/>
      <c r="F279" s="640"/>
      <c r="G279" s="17"/>
      <c r="H279" s="17"/>
      <c r="I279" s="682"/>
      <c r="J279" s="17"/>
      <c r="K279" s="17"/>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3"/>
      <c r="AQ279" s="73"/>
      <c r="AR279" s="73"/>
      <c r="AS279" s="72"/>
      <c r="AT279" s="72"/>
      <c r="AU279" s="72"/>
      <c r="AV279" s="72"/>
      <c r="AW279" s="72"/>
      <c r="AX279" s="72"/>
      <c r="AY279" s="74"/>
      <c r="AZ279" s="74"/>
      <c r="BA279" s="74"/>
    </row>
    <row r="280" spans="1:53" s="12" customFormat="1" ht="20.25" x14ac:dyDescent="0.25">
      <c r="A280" s="27"/>
      <c r="B280" s="339"/>
      <c r="C280" s="651"/>
      <c r="D280" s="58"/>
      <c r="E280" s="76">
        <v>34</v>
      </c>
      <c r="F280" s="77" t="s">
        <v>572</v>
      </c>
      <c r="G280" s="78"/>
      <c r="H280" s="78"/>
      <c r="I280" s="690"/>
      <c r="J280" s="78"/>
      <c r="K280" s="78"/>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80"/>
      <c r="AQ280" s="80"/>
      <c r="AR280" s="80"/>
      <c r="AS280" s="79"/>
      <c r="AT280" s="79"/>
      <c r="AU280" s="79"/>
      <c r="AV280" s="79"/>
      <c r="AW280" s="79"/>
      <c r="AX280" s="79"/>
      <c r="AY280" s="81"/>
      <c r="AZ280" s="81"/>
      <c r="BA280" s="81"/>
    </row>
    <row r="281" spans="1:53" ht="75" customHeight="1" x14ac:dyDescent="0.25">
      <c r="A281" s="178"/>
      <c r="B281" s="340"/>
      <c r="C281" s="219">
        <v>23</v>
      </c>
      <c r="D281" s="341" t="s">
        <v>573</v>
      </c>
      <c r="E281" s="180"/>
      <c r="F281" s="182">
        <v>123</v>
      </c>
      <c r="G281" s="641" t="s">
        <v>199</v>
      </c>
      <c r="H281" s="847" t="s">
        <v>574</v>
      </c>
      <c r="I281" s="838" t="s">
        <v>200</v>
      </c>
      <c r="J281" s="840" t="s">
        <v>201</v>
      </c>
      <c r="K281" s="342" t="s">
        <v>466</v>
      </c>
      <c r="L281" s="343"/>
      <c r="M281" s="343"/>
      <c r="N281" s="343"/>
      <c r="O281" s="343"/>
      <c r="P281" s="343"/>
      <c r="Q281" s="343"/>
      <c r="R281" s="343"/>
      <c r="S281" s="343"/>
      <c r="T281" s="343"/>
      <c r="U281" s="343"/>
      <c r="V281" s="343"/>
      <c r="W281" s="343"/>
      <c r="X281" s="343"/>
      <c r="Y281" s="343"/>
      <c r="Z281" s="343"/>
      <c r="AA281" s="343"/>
      <c r="AB281" s="343"/>
      <c r="AC281" s="343"/>
      <c r="AD281" s="343"/>
      <c r="AE281" s="343"/>
      <c r="AF281" s="343"/>
      <c r="AG281" s="343"/>
      <c r="AH281" s="344"/>
      <c r="AI281" s="344"/>
      <c r="AJ281" s="344"/>
      <c r="AK281" s="344"/>
      <c r="AL281" s="344"/>
      <c r="AM281" s="344"/>
      <c r="AN281" s="344"/>
      <c r="AO281" s="344"/>
      <c r="AP281" s="345">
        <f>20000000</f>
        <v>20000000</v>
      </c>
      <c r="AQ281" s="345">
        <v>16200000</v>
      </c>
      <c r="AR281" s="345">
        <v>5700000</v>
      </c>
      <c r="AS281" s="344"/>
      <c r="AT281" s="344"/>
      <c r="AU281" s="344"/>
      <c r="AV281" s="344"/>
      <c r="AW281" s="344"/>
      <c r="AX281" s="344"/>
      <c r="AY281" s="37">
        <f t="shared" ref="AY281:AY282" si="318">+L281+O281+R281+U281+X281+AA281+AD281+AG281+AJ281+AM281+AP281+AS281+AV281</f>
        <v>20000000</v>
      </c>
      <c r="AZ281" s="37">
        <f t="shared" ref="AZ281:AZ282" si="319">+M281+P281+S281+V281+Y281+AB281+AE281+AH281+AK281+AN281+AQ281+AT281+AW281</f>
        <v>16200000</v>
      </c>
      <c r="BA281" s="37">
        <f t="shared" ref="BA281:BA282" si="320">+N281+Q281+T281+W281+Z281+AC281+AF281+AI281+AL281+AO281+AR281+AU281+AX281</f>
        <v>5700000</v>
      </c>
    </row>
    <row r="282" spans="1:53" ht="66.75" customHeight="1" x14ac:dyDescent="0.25">
      <c r="A282" s="178"/>
      <c r="B282" s="340"/>
      <c r="C282" s="219">
        <v>23</v>
      </c>
      <c r="D282" s="341" t="s">
        <v>573</v>
      </c>
      <c r="E282" s="180"/>
      <c r="F282" s="182">
        <v>124</v>
      </c>
      <c r="G282" s="641" t="s">
        <v>202</v>
      </c>
      <c r="H282" s="847"/>
      <c r="I282" s="838"/>
      <c r="J282" s="840"/>
      <c r="K282" s="342" t="s">
        <v>477</v>
      </c>
      <c r="L282" s="343"/>
      <c r="M282" s="343"/>
      <c r="N282" s="343"/>
      <c r="O282" s="343"/>
      <c r="P282" s="343"/>
      <c r="Q282" s="343"/>
      <c r="R282" s="343"/>
      <c r="S282" s="343"/>
      <c r="T282" s="343"/>
      <c r="U282" s="343"/>
      <c r="V282" s="343"/>
      <c r="W282" s="343"/>
      <c r="X282" s="343"/>
      <c r="Y282" s="343"/>
      <c r="Z282" s="343"/>
      <c r="AA282" s="343"/>
      <c r="AB282" s="343"/>
      <c r="AC282" s="343"/>
      <c r="AD282" s="343"/>
      <c r="AE282" s="343"/>
      <c r="AF282" s="343"/>
      <c r="AG282" s="343"/>
      <c r="AH282" s="344"/>
      <c r="AI282" s="344"/>
      <c r="AJ282" s="344"/>
      <c r="AK282" s="344"/>
      <c r="AL282" s="344"/>
      <c r="AM282" s="344"/>
      <c r="AN282" s="344"/>
      <c r="AO282" s="344"/>
      <c r="AP282" s="345">
        <f>45000000+45000000</f>
        <v>90000000</v>
      </c>
      <c r="AQ282" s="345">
        <v>35266666</v>
      </c>
      <c r="AR282" s="345">
        <v>16850000</v>
      </c>
      <c r="AS282" s="344"/>
      <c r="AT282" s="344"/>
      <c r="AU282" s="344"/>
      <c r="AV282" s="344"/>
      <c r="AW282" s="344"/>
      <c r="AX282" s="344"/>
      <c r="AY282" s="37">
        <f t="shared" si="318"/>
        <v>90000000</v>
      </c>
      <c r="AZ282" s="37">
        <f t="shared" si="319"/>
        <v>35266666</v>
      </c>
      <c r="BA282" s="37">
        <f t="shared" si="320"/>
        <v>16850000</v>
      </c>
    </row>
    <row r="283" spans="1:53" ht="15" x14ac:dyDescent="0.25">
      <c r="A283" s="27"/>
      <c r="B283" s="44"/>
      <c r="C283" s="646"/>
      <c r="D283" s="637"/>
      <c r="E283" s="102"/>
      <c r="F283" s="103"/>
      <c r="G283" s="102"/>
      <c r="H283" s="103"/>
      <c r="I283" s="696"/>
      <c r="J283" s="102"/>
      <c r="K283" s="103"/>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39"/>
      <c r="AL283" s="139"/>
      <c r="AM283" s="139"/>
      <c r="AN283" s="139"/>
      <c r="AO283" s="139"/>
      <c r="AP283" s="139">
        <f>SUM(AP281:AP282)</f>
        <v>110000000</v>
      </c>
      <c r="AQ283" s="139">
        <f t="shared" ref="AQ283:AR283" si="321">SUM(AQ281:AQ282)</f>
        <v>51466666</v>
      </c>
      <c r="AR283" s="139">
        <f t="shared" si="321"/>
        <v>22550000</v>
      </c>
      <c r="AS283" s="139">
        <f>SUM(AS281:AS282)</f>
        <v>0</v>
      </c>
      <c r="AT283" s="139"/>
      <c r="AU283" s="139"/>
      <c r="AV283" s="139"/>
      <c r="AW283" s="139"/>
      <c r="AX283" s="139"/>
      <c r="AY283" s="139">
        <f>SUM(AY281:AY282)</f>
        <v>110000000</v>
      </c>
      <c r="AZ283" s="139">
        <f t="shared" ref="AZ283:BA283" si="322">SUM(AZ281:AZ282)</f>
        <v>51466666</v>
      </c>
      <c r="BA283" s="139">
        <f t="shared" si="322"/>
        <v>22550000</v>
      </c>
    </row>
    <row r="284" spans="1:53" ht="15" x14ac:dyDescent="0.25">
      <c r="A284" s="39"/>
      <c r="B284" s="336"/>
      <c r="C284" s="107"/>
      <c r="D284" s="106"/>
      <c r="E284" s="106"/>
      <c r="F284" s="107"/>
      <c r="G284" s="106"/>
      <c r="H284" s="107"/>
      <c r="I284" s="709"/>
      <c r="J284" s="106"/>
      <c r="K284" s="107"/>
      <c r="L284" s="337"/>
      <c r="M284" s="337"/>
      <c r="N284" s="337"/>
      <c r="O284" s="337"/>
      <c r="P284" s="337"/>
      <c r="Q284" s="337"/>
      <c r="R284" s="337"/>
      <c r="S284" s="337"/>
      <c r="T284" s="337"/>
      <c r="U284" s="337"/>
      <c r="V284" s="337"/>
      <c r="W284" s="337"/>
      <c r="X284" s="337"/>
      <c r="Y284" s="337"/>
      <c r="Z284" s="337"/>
      <c r="AA284" s="337"/>
      <c r="AB284" s="337"/>
      <c r="AC284" s="337"/>
      <c r="AD284" s="337"/>
      <c r="AE284" s="337"/>
      <c r="AF284" s="337"/>
      <c r="AG284" s="337"/>
      <c r="AH284" s="337"/>
      <c r="AI284" s="337"/>
      <c r="AJ284" s="337"/>
      <c r="AK284" s="337"/>
      <c r="AL284" s="337"/>
      <c r="AM284" s="337"/>
      <c r="AN284" s="337"/>
      <c r="AO284" s="337"/>
      <c r="AP284" s="337">
        <f t="shared" ref="AP284:AS285" si="323">AP283</f>
        <v>110000000</v>
      </c>
      <c r="AQ284" s="337">
        <f t="shared" ref="AQ284:AR284" si="324">AQ283</f>
        <v>51466666</v>
      </c>
      <c r="AR284" s="337">
        <f t="shared" si="324"/>
        <v>22550000</v>
      </c>
      <c r="AS284" s="337">
        <f t="shared" si="323"/>
        <v>0</v>
      </c>
      <c r="AT284" s="337"/>
      <c r="AU284" s="337"/>
      <c r="AV284" s="337"/>
      <c r="AW284" s="337"/>
      <c r="AX284" s="337"/>
      <c r="AY284" s="337">
        <f t="shared" ref="AY284:BA285" si="325">AY283</f>
        <v>110000000</v>
      </c>
      <c r="AZ284" s="337">
        <f t="shared" si="325"/>
        <v>51466666</v>
      </c>
      <c r="BA284" s="337">
        <f t="shared" si="325"/>
        <v>22550000</v>
      </c>
    </row>
    <row r="285" spans="1:53" ht="15" x14ac:dyDescent="0.25">
      <c r="A285" s="249"/>
      <c r="B285" s="249"/>
      <c r="C285" s="250"/>
      <c r="D285" s="249"/>
      <c r="E285" s="249"/>
      <c r="F285" s="250"/>
      <c r="G285" s="249"/>
      <c r="H285" s="250"/>
      <c r="I285" s="710"/>
      <c r="J285" s="249"/>
      <c r="K285" s="250"/>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f t="shared" si="323"/>
        <v>110000000</v>
      </c>
      <c r="AQ285" s="346">
        <f t="shared" ref="AQ285:AR285" si="326">AQ284</f>
        <v>51466666</v>
      </c>
      <c r="AR285" s="346">
        <f t="shared" si="326"/>
        <v>22550000</v>
      </c>
      <c r="AS285" s="346">
        <f t="shared" si="323"/>
        <v>0</v>
      </c>
      <c r="AT285" s="346"/>
      <c r="AU285" s="346"/>
      <c r="AV285" s="346"/>
      <c r="AW285" s="346"/>
      <c r="AX285" s="346"/>
      <c r="AY285" s="346">
        <f t="shared" si="325"/>
        <v>110000000</v>
      </c>
      <c r="AZ285" s="346">
        <f t="shared" si="325"/>
        <v>51466666</v>
      </c>
      <c r="BA285" s="346">
        <f t="shared" si="325"/>
        <v>22550000</v>
      </c>
    </row>
    <row r="286" spans="1:53" ht="20.25" customHeight="1" x14ac:dyDescent="0.25">
      <c r="A286" s="53"/>
      <c r="B286" s="53"/>
      <c r="C286" s="54"/>
      <c r="D286" s="53"/>
      <c r="E286" s="53"/>
      <c r="F286" s="54"/>
      <c r="G286" s="53"/>
      <c r="H286" s="55"/>
      <c r="I286" s="688"/>
      <c r="J286" s="53"/>
      <c r="K286" s="54"/>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f>+AP285+AP276+AP250</f>
        <v>2943343000</v>
      </c>
      <c r="AQ286" s="56">
        <f t="shared" ref="AQ286:AR286" si="327">+AQ285+AQ276+AQ250</f>
        <v>318016664</v>
      </c>
      <c r="AR286" s="56">
        <f t="shared" si="327"/>
        <v>116883333</v>
      </c>
      <c r="AS286" s="56">
        <f>+AS285+AS276+AS250</f>
        <v>0</v>
      </c>
      <c r="AT286" s="56"/>
      <c r="AU286" s="56"/>
      <c r="AV286" s="56"/>
      <c r="AW286" s="56"/>
      <c r="AX286" s="56"/>
      <c r="AY286" s="56">
        <f>+AY285+AY276+AY250</f>
        <v>2943343000</v>
      </c>
      <c r="AZ286" s="56">
        <f t="shared" ref="AZ286:BA286" si="328">+AZ285+AZ276+AZ250</f>
        <v>318016664</v>
      </c>
      <c r="BA286" s="56">
        <f t="shared" si="328"/>
        <v>116883333</v>
      </c>
    </row>
    <row r="287" spans="1:53" ht="29.25" customHeight="1" x14ac:dyDescent="0.25">
      <c r="A287" s="57"/>
      <c r="B287" s="58"/>
      <c r="C287" s="651"/>
      <c r="D287" s="58"/>
      <c r="E287" s="58"/>
      <c r="F287" s="651"/>
      <c r="G287" s="58"/>
      <c r="H287" s="59"/>
      <c r="I287" s="689"/>
      <c r="J287" s="307"/>
      <c r="K287" s="651"/>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2"/>
      <c r="AQ287" s="62"/>
      <c r="AR287" s="62"/>
      <c r="AS287" s="60"/>
      <c r="AT287" s="60"/>
      <c r="AU287" s="60"/>
      <c r="AV287" s="60"/>
      <c r="AW287" s="145"/>
      <c r="AX287" s="145"/>
      <c r="AY287" s="64"/>
      <c r="AZ287" s="64"/>
      <c r="BA287" s="64"/>
    </row>
    <row r="288" spans="1:53" ht="20.25" customHeight="1" x14ac:dyDescent="0.25">
      <c r="A288" s="7" t="s">
        <v>203</v>
      </c>
      <c r="B288" s="8"/>
      <c r="C288" s="9"/>
      <c r="D288" s="8"/>
      <c r="E288" s="8"/>
      <c r="F288" s="9"/>
      <c r="G288" s="8"/>
      <c r="H288" s="8"/>
      <c r="I288" s="680"/>
      <c r="J288" s="8"/>
      <c r="K288" s="9"/>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6"/>
      <c r="AQ288" s="66"/>
      <c r="AR288" s="66"/>
      <c r="AS288" s="65"/>
      <c r="AT288" s="65"/>
      <c r="AU288" s="65"/>
      <c r="AV288" s="65"/>
      <c r="AW288" s="65"/>
      <c r="AX288" s="65"/>
      <c r="AY288" s="67" t="s">
        <v>500</v>
      </c>
      <c r="AZ288" s="67" t="s">
        <v>500</v>
      </c>
      <c r="BA288" s="67" t="s">
        <v>500</v>
      </c>
    </row>
    <row r="289" spans="1:53" ht="15.75" customHeight="1" x14ac:dyDescent="0.25">
      <c r="A289" s="4">
        <v>5</v>
      </c>
      <c r="B289" s="13" t="s">
        <v>461</v>
      </c>
      <c r="C289" s="14"/>
      <c r="D289" s="13"/>
      <c r="E289" s="13"/>
      <c r="F289" s="14"/>
      <c r="G289" s="13"/>
      <c r="H289" s="13"/>
      <c r="I289" s="681"/>
      <c r="J289" s="13"/>
      <c r="K289" s="13"/>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9"/>
      <c r="AQ289" s="69"/>
      <c r="AR289" s="69"/>
      <c r="AS289" s="68"/>
      <c r="AT289" s="68"/>
      <c r="AU289" s="68"/>
      <c r="AV289" s="68"/>
      <c r="AW289" s="68"/>
      <c r="AX289" s="68"/>
      <c r="AY289" s="70"/>
      <c r="AZ289" s="70"/>
      <c r="BA289" s="70"/>
    </row>
    <row r="290" spans="1:53" s="12" customFormat="1" ht="20.25" customHeight="1" x14ac:dyDescent="0.25">
      <c r="A290" s="71"/>
      <c r="B290" s="154">
        <v>26</v>
      </c>
      <c r="C290" s="634" t="s">
        <v>467</v>
      </c>
      <c r="D290" s="17"/>
      <c r="E290" s="17"/>
      <c r="F290" s="640"/>
      <c r="G290" s="17"/>
      <c r="H290" s="17"/>
      <c r="I290" s="682"/>
      <c r="J290" s="17"/>
      <c r="K290" s="17"/>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3"/>
      <c r="AQ290" s="73"/>
      <c r="AR290" s="73"/>
      <c r="AS290" s="72"/>
      <c r="AT290" s="72"/>
      <c r="AU290" s="72"/>
      <c r="AV290" s="72"/>
      <c r="AW290" s="72"/>
      <c r="AX290" s="72"/>
      <c r="AY290" s="74"/>
      <c r="AZ290" s="74"/>
      <c r="BA290" s="74"/>
    </row>
    <row r="291" spans="1:53" s="12" customFormat="1" ht="20.25" customHeight="1" x14ac:dyDescent="0.25">
      <c r="A291" s="27"/>
      <c r="B291" s="71"/>
      <c r="C291" s="651"/>
      <c r="D291" s="58"/>
      <c r="E291" s="76">
        <v>83</v>
      </c>
      <c r="F291" s="78" t="s">
        <v>468</v>
      </c>
      <c r="G291" s="78"/>
      <c r="H291" s="78"/>
      <c r="I291" s="222"/>
      <c r="J291" s="78"/>
      <c r="K291" s="78"/>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80"/>
      <c r="AQ291" s="80"/>
      <c r="AR291" s="80"/>
      <c r="AS291" s="79"/>
      <c r="AT291" s="79"/>
      <c r="AU291" s="79"/>
      <c r="AV291" s="79"/>
      <c r="AW291" s="79"/>
      <c r="AX291" s="79"/>
      <c r="AY291" s="81"/>
      <c r="AZ291" s="81"/>
      <c r="BA291" s="81"/>
    </row>
    <row r="292" spans="1:53" ht="83.25" customHeight="1" x14ac:dyDescent="0.25">
      <c r="A292" s="178"/>
      <c r="B292" s="178"/>
      <c r="C292" s="204">
        <v>37</v>
      </c>
      <c r="D292" s="641" t="s">
        <v>575</v>
      </c>
      <c r="E292" s="194"/>
      <c r="F292" s="182">
        <v>244</v>
      </c>
      <c r="G292" s="641" t="s">
        <v>204</v>
      </c>
      <c r="H292" s="252" t="s">
        <v>576</v>
      </c>
      <c r="I292" s="672" t="s">
        <v>205</v>
      </c>
      <c r="J292" s="641" t="s">
        <v>206</v>
      </c>
      <c r="K292" s="182" t="s">
        <v>477</v>
      </c>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6"/>
      <c r="AI292" s="186"/>
      <c r="AJ292" s="186"/>
      <c r="AK292" s="186"/>
      <c r="AL292" s="186"/>
      <c r="AM292" s="186"/>
      <c r="AN292" s="186"/>
      <c r="AO292" s="186"/>
      <c r="AP292" s="185">
        <f>400000000-100000000</f>
        <v>300000000</v>
      </c>
      <c r="AQ292" s="185">
        <v>81061000</v>
      </c>
      <c r="AR292" s="185">
        <v>30370000</v>
      </c>
      <c r="AS292" s="186"/>
      <c r="AT292" s="186"/>
      <c r="AU292" s="186"/>
      <c r="AV292" s="186"/>
      <c r="AW292" s="186"/>
      <c r="AX292" s="186"/>
      <c r="AY292" s="37">
        <f t="shared" ref="AY292" si="329">+L292+O292+R292+U292+X292+AA292+AD292+AG292+AJ292+AM292+AP292+AS292+AV292</f>
        <v>300000000</v>
      </c>
      <c r="AZ292" s="37">
        <f t="shared" ref="AZ292" si="330">+M292+P292+S292+V292+Y292+AB292+AE292+AH292+AK292+AN292+AQ292+AT292+AW292</f>
        <v>81061000</v>
      </c>
      <c r="BA292" s="37">
        <f t="shared" ref="BA292" si="331">+N292+Q292+T292+W292+Z292+AC292+AF292+AI292+AL292+AO292+AR292+AU292+AX292</f>
        <v>30370000</v>
      </c>
    </row>
    <row r="293" spans="1:53" ht="15" customHeight="1" x14ac:dyDescent="0.25">
      <c r="A293" s="27"/>
      <c r="B293" s="39"/>
      <c r="C293" s="28"/>
      <c r="D293" s="29"/>
      <c r="E293" s="40"/>
      <c r="F293" s="41"/>
      <c r="G293" s="40"/>
      <c r="H293" s="42"/>
      <c r="I293" s="685"/>
      <c r="J293" s="40"/>
      <c r="K293" s="41"/>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173">
        <f>SUM(AP292:AP292)</f>
        <v>300000000</v>
      </c>
      <c r="AQ293" s="173">
        <f t="shared" ref="AQ293:AR293" si="332">SUM(AQ292:AQ292)</f>
        <v>81061000</v>
      </c>
      <c r="AR293" s="173">
        <f t="shared" si="332"/>
        <v>30370000</v>
      </c>
      <c r="AS293" s="173">
        <f>SUM(AS292:AS292)</f>
        <v>0</v>
      </c>
      <c r="AT293" s="173"/>
      <c r="AU293" s="173"/>
      <c r="AV293" s="173">
        <f>SUM(AV292:AV292)</f>
        <v>0</v>
      </c>
      <c r="AW293" s="173"/>
      <c r="AX293" s="173"/>
      <c r="AY293" s="173">
        <f>SUM(AY292:AY292)</f>
        <v>300000000</v>
      </c>
      <c r="AZ293" s="173">
        <f t="shared" ref="AZ293:BA293" si="333">SUM(AZ292:AZ292)</f>
        <v>81061000</v>
      </c>
      <c r="BA293" s="173">
        <f t="shared" si="333"/>
        <v>30370000</v>
      </c>
    </row>
    <row r="294" spans="1:53" ht="15" customHeight="1" x14ac:dyDescent="0.25">
      <c r="A294" s="27"/>
      <c r="B294" s="104"/>
      <c r="C294" s="46"/>
      <c r="D294" s="45"/>
      <c r="E294" s="45"/>
      <c r="F294" s="46"/>
      <c r="G294" s="45"/>
      <c r="H294" s="47"/>
      <c r="I294" s="686"/>
      <c r="J294" s="45"/>
      <c r="K294" s="46"/>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174">
        <f t="shared" ref="AP294:AY294" si="334">AP293</f>
        <v>300000000</v>
      </c>
      <c r="AQ294" s="174">
        <f t="shared" ref="AQ294:AR294" si="335">AQ293</f>
        <v>81061000</v>
      </c>
      <c r="AR294" s="174">
        <f t="shared" si="335"/>
        <v>30370000</v>
      </c>
      <c r="AS294" s="174">
        <f t="shared" si="334"/>
        <v>0</v>
      </c>
      <c r="AT294" s="174"/>
      <c r="AU294" s="174"/>
      <c r="AV294" s="174">
        <f t="shared" si="334"/>
        <v>0</v>
      </c>
      <c r="AW294" s="174"/>
      <c r="AX294" s="174"/>
      <c r="AY294" s="174">
        <f t="shared" si="334"/>
        <v>300000000</v>
      </c>
      <c r="AZ294" s="174">
        <f t="shared" ref="AZ294:BA294" si="336">AZ293</f>
        <v>81061000</v>
      </c>
      <c r="BA294" s="174">
        <f t="shared" si="336"/>
        <v>30370000</v>
      </c>
    </row>
    <row r="295" spans="1:53" ht="15" customHeight="1" x14ac:dyDescent="0.25">
      <c r="A295" s="27"/>
      <c r="B295" s="58"/>
      <c r="C295" s="651"/>
      <c r="D295" s="58"/>
      <c r="E295" s="58"/>
      <c r="F295" s="651"/>
      <c r="G295" s="58"/>
      <c r="H295" s="59"/>
      <c r="I295" s="689"/>
      <c r="J295" s="58"/>
      <c r="K295" s="651"/>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88"/>
      <c r="AQ295" s="88"/>
      <c r="AR295" s="88"/>
      <c r="AS295" s="60"/>
      <c r="AT295" s="60"/>
      <c r="AU295" s="60"/>
      <c r="AV295" s="60"/>
      <c r="AW295" s="145"/>
      <c r="AX295" s="145"/>
      <c r="AY295" s="64"/>
      <c r="AZ295" s="64"/>
      <c r="BA295" s="64"/>
    </row>
    <row r="296" spans="1:53" ht="15.75" customHeight="1" x14ac:dyDescent="0.25">
      <c r="A296" s="27"/>
      <c r="B296" s="154">
        <v>28</v>
      </c>
      <c r="C296" s="819" t="s">
        <v>462</v>
      </c>
      <c r="D296" s="819"/>
      <c r="E296" s="819"/>
      <c r="F296" s="819"/>
      <c r="G296" s="819"/>
      <c r="H296" s="17"/>
      <c r="I296" s="682"/>
      <c r="J296" s="17"/>
      <c r="K296" s="17"/>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3"/>
      <c r="AQ296" s="73"/>
      <c r="AR296" s="73"/>
      <c r="AS296" s="72"/>
      <c r="AT296" s="72"/>
      <c r="AU296" s="72"/>
      <c r="AV296" s="72"/>
      <c r="AW296" s="72"/>
      <c r="AX296" s="72"/>
      <c r="AY296" s="74"/>
      <c r="AZ296" s="74"/>
      <c r="BA296" s="74"/>
    </row>
    <row r="297" spans="1:53" ht="20.25" customHeight="1" x14ac:dyDescent="0.25">
      <c r="A297" s="27"/>
      <c r="B297" s="71"/>
      <c r="C297" s="651"/>
      <c r="D297" s="58"/>
      <c r="E297" s="76">
        <v>89</v>
      </c>
      <c r="F297" s="78" t="s">
        <v>463</v>
      </c>
      <c r="G297" s="78"/>
      <c r="H297" s="78"/>
      <c r="I297" s="222"/>
      <c r="J297" s="78"/>
      <c r="K297" s="78"/>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80"/>
      <c r="AQ297" s="80"/>
      <c r="AR297" s="80"/>
      <c r="AS297" s="79"/>
      <c r="AT297" s="79"/>
      <c r="AU297" s="79"/>
      <c r="AV297" s="79"/>
      <c r="AW297" s="79"/>
      <c r="AX297" s="79"/>
      <c r="AY297" s="81"/>
      <c r="AZ297" s="81"/>
      <c r="BA297" s="81"/>
    </row>
    <row r="298" spans="1:53" ht="75" customHeight="1" x14ac:dyDescent="0.25">
      <c r="A298" s="178"/>
      <c r="B298" s="178"/>
      <c r="C298" s="282">
        <v>38</v>
      </c>
      <c r="D298" s="283" t="s">
        <v>464</v>
      </c>
      <c r="E298" s="641"/>
      <c r="F298" s="182">
        <v>288</v>
      </c>
      <c r="G298" s="641" t="s">
        <v>207</v>
      </c>
      <c r="H298" s="252" t="s">
        <v>576</v>
      </c>
      <c r="I298" s="672" t="s">
        <v>208</v>
      </c>
      <c r="J298" s="641" t="s">
        <v>209</v>
      </c>
      <c r="K298" s="182" t="s">
        <v>466</v>
      </c>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6"/>
      <c r="AO298" s="186"/>
      <c r="AP298" s="185">
        <f>731744000+100000000-200000000-50000000</f>
        <v>581744000</v>
      </c>
      <c r="AQ298" s="185">
        <v>113725000</v>
      </c>
      <c r="AR298" s="185">
        <v>43942000</v>
      </c>
      <c r="AS298" s="186"/>
      <c r="AT298" s="186"/>
      <c r="AU298" s="186"/>
      <c r="AV298" s="186"/>
      <c r="AW298" s="186"/>
      <c r="AX298" s="186"/>
      <c r="AY298" s="37">
        <f t="shared" ref="AY298" si="337">+L298+O298+R298+U298+X298+AA298+AD298+AG298+AJ298+AM298+AP298+AS298+AV298</f>
        <v>581744000</v>
      </c>
      <c r="AZ298" s="37">
        <f t="shared" ref="AZ298" si="338">+M298+P298+S298+V298+Y298+AB298+AE298+AH298+AK298+AN298+AQ298+AT298+AW298</f>
        <v>113725000</v>
      </c>
      <c r="BA298" s="37">
        <f t="shared" ref="BA298" si="339">+N298+Q298+T298+W298+Z298+AC298+AF298+AI298+AL298+AO298+AR298+AU298+AX298</f>
        <v>43942000</v>
      </c>
    </row>
    <row r="299" spans="1:53" ht="18.75" customHeight="1" x14ac:dyDescent="0.25">
      <c r="A299" s="27"/>
      <c r="B299" s="39"/>
      <c r="C299" s="28"/>
      <c r="D299" s="29"/>
      <c r="E299" s="40"/>
      <c r="F299" s="41"/>
      <c r="G299" s="40"/>
      <c r="H299" s="42"/>
      <c r="I299" s="685"/>
      <c r="J299" s="40"/>
      <c r="K299" s="41"/>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173">
        <f t="shared" ref="AP299:AY299" si="340">SUM(AP298)</f>
        <v>581744000</v>
      </c>
      <c r="AQ299" s="173">
        <f t="shared" ref="AQ299:AR299" si="341">SUM(AQ298)</f>
        <v>113725000</v>
      </c>
      <c r="AR299" s="173">
        <f t="shared" si="341"/>
        <v>43942000</v>
      </c>
      <c r="AS299" s="173">
        <f t="shared" si="340"/>
        <v>0</v>
      </c>
      <c r="AT299" s="173"/>
      <c r="AU299" s="173"/>
      <c r="AV299" s="173">
        <f t="shared" si="340"/>
        <v>0</v>
      </c>
      <c r="AW299" s="173"/>
      <c r="AX299" s="173"/>
      <c r="AY299" s="173">
        <f t="shared" si="340"/>
        <v>581744000</v>
      </c>
      <c r="AZ299" s="173">
        <f t="shared" ref="AZ299:BA299" si="342">SUM(AZ298)</f>
        <v>113725000</v>
      </c>
      <c r="BA299" s="173">
        <f t="shared" si="342"/>
        <v>43942000</v>
      </c>
    </row>
    <row r="300" spans="1:53" ht="17.25" customHeight="1" x14ac:dyDescent="0.25">
      <c r="A300" s="39"/>
      <c r="B300" s="104"/>
      <c r="C300" s="46"/>
      <c r="D300" s="45"/>
      <c r="E300" s="45"/>
      <c r="F300" s="46"/>
      <c r="G300" s="45"/>
      <c r="H300" s="47"/>
      <c r="I300" s="686"/>
      <c r="J300" s="45"/>
      <c r="K300" s="46"/>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174">
        <f t="shared" ref="AP300:AY300" si="343">AP299</f>
        <v>581744000</v>
      </c>
      <c r="AQ300" s="174">
        <f t="shared" ref="AQ300:AR300" si="344">AQ299</f>
        <v>113725000</v>
      </c>
      <c r="AR300" s="174">
        <f t="shared" si="344"/>
        <v>43942000</v>
      </c>
      <c r="AS300" s="174">
        <f t="shared" si="343"/>
        <v>0</v>
      </c>
      <c r="AT300" s="174"/>
      <c r="AU300" s="174"/>
      <c r="AV300" s="174">
        <f t="shared" si="343"/>
        <v>0</v>
      </c>
      <c r="AW300" s="174"/>
      <c r="AX300" s="174"/>
      <c r="AY300" s="174">
        <f t="shared" si="343"/>
        <v>581744000</v>
      </c>
      <c r="AZ300" s="174">
        <f t="shared" ref="AZ300:BA300" si="345">AZ299</f>
        <v>113725000</v>
      </c>
      <c r="BA300" s="174">
        <f t="shared" si="345"/>
        <v>43942000</v>
      </c>
    </row>
    <row r="301" spans="1:53" ht="16.5" customHeight="1" x14ac:dyDescent="0.25">
      <c r="A301" s="49"/>
      <c r="B301" s="49"/>
      <c r="C301" s="50"/>
      <c r="D301" s="49"/>
      <c r="E301" s="49"/>
      <c r="F301" s="50"/>
      <c r="G301" s="49"/>
      <c r="H301" s="51"/>
      <c r="I301" s="687"/>
      <c r="J301" s="49"/>
      <c r="K301" s="50"/>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175">
        <f t="shared" ref="AP301:AY301" si="346">AP300+AP294</f>
        <v>881744000</v>
      </c>
      <c r="AQ301" s="175">
        <f t="shared" ref="AQ301:AR301" si="347">AQ300+AQ294</f>
        <v>194786000</v>
      </c>
      <c r="AR301" s="175">
        <f t="shared" si="347"/>
        <v>74312000</v>
      </c>
      <c r="AS301" s="175">
        <f t="shared" si="346"/>
        <v>0</v>
      </c>
      <c r="AT301" s="175"/>
      <c r="AU301" s="175"/>
      <c r="AV301" s="175">
        <f t="shared" si="346"/>
        <v>0</v>
      </c>
      <c r="AW301" s="175"/>
      <c r="AX301" s="175"/>
      <c r="AY301" s="175">
        <f t="shared" si="346"/>
        <v>881744000</v>
      </c>
      <c r="AZ301" s="175">
        <f t="shared" ref="AZ301:BA301" si="348">AZ300+AZ294</f>
        <v>194786000</v>
      </c>
      <c r="BA301" s="175">
        <f t="shared" si="348"/>
        <v>74312000</v>
      </c>
    </row>
    <row r="302" spans="1:53" ht="21" customHeight="1" x14ac:dyDescent="0.25">
      <c r="A302" s="53"/>
      <c r="B302" s="53"/>
      <c r="C302" s="54"/>
      <c r="D302" s="53"/>
      <c r="E302" s="53"/>
      <c r="F302" s="54"/>
      <c r="G302" s="53"/>
      <c r="H302" s="55"/>
      <c r="I302" s="688"/>
      <c r="J302" s="53"/>
      <c r="K302" s="54"/>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176">
        <f t="shared" ref="AP302:AY302" si="349">AP301</f>
        <v>881744000</v>
      </c>
      <c r="AQ302" s="176">
        <f t="shared" ref="AQ302:AR302" si="350">AQ301</f>
        <v>194786000</v>
      </c>
      <c r="AR302" s="176">
        <f t="shared" si="350"/>
        <v>74312000</v>
      </c>
      <c r="AS302" s="176">
        <f t="shared" si="349"/>
        <v>0</v>
      </c>
      <c r="AT302" s="176"/>
      <c r="AU302" s="176"/>
      <c r="AV302" s="176">
        <f t="shared" si="349"/>
        <v>0</v>
      </c>
      <c r="AW302" s="176"/>
      <c r="AX302" s="176"/>
      <c r="AY302" s="176">
        <f t="shared" si="349"/>
        <v>881744000</v>
      </c>
      <c r="AZ302" s="176">
        <f t="shared" ref="AZ302:BA302" si="351">AZ301</f>
        <v>194786000</v>
      </c>
      <c r="BA302" s="176">
        <f t="shared" si="351"/>
        <v>74312000</v>
      </c>
    </row>
    <row r="303" spans="1:53" ht="29.25" customHeight="1" x14ac:dyDescent="0.25">
      <c r="A303" s="57"/>
      <c r="B303" s="58"/>
      <c r="C303" s="651"/>
      <c r="D303" s="58"/>
      <c r="E303" s="58"/>
      <c r="F303" s="651"/>
      <c r="G303" s="58"/>
      <c r="H303" s="59"/>
      <c r="I303" s="689"/>
      <c r="J303" s="58"/>
      <c r="K303" s="651"/>
      <c r="L303" s="60"/>
      <c r="M303" s="60"/>
      <c r="N303" s="60"/>
      <c r="O303" s="60"/>
      <c r="P303" s="60"/>
      <c r="Q303" s="60"/>
      <c r="R303" s="60"/>
      <c r="S303" s="60"/>
      <c r="T303" s="60"/>
      <c r="U303" s="60"/>
      <c r="V303" s="60"/>
      <c r="W303" s="60"/>
      <c r="X303" s="60"/>
      <c r="Y303" s="60"/>
      <c r="Z303" s="60"/>
      <c r="AA303" s="60"/>
      <c r="AB303" s="60"/>
      <c r="AC303" s="60"/>
      <c r="AD303" s="61"/>
      <c r="AE303" s="61"/>
      <c r="AF303" s="61"/>
      <c r="AG303" s="61"/>
      <c r="AH303" s="61"/>
      <c r="AI303" s="61"/>
      <c r="AJ303" s="60"/>
      <c r="AK303" s="60"/>
      <c r="AL303" s="60"/>
      <c r="AM303" s="60"/>
      <c r="AN303" s="60"/>
      <c r="AO303" s="60"/>
      <c r="AP303" s="62"/>
      <c r="AQ303" s="62"/>
      <c r="AR303" s="62"/>
      <c r="AS303" s="60"/>
      <c r="AT303" s="60"/>
      <c r="AU303" s="60"/>
      <c r="AV303" s="60"/>
      <c r="AW303" s="145"/>
      <c r="AX303" s="145"/>
      <c r="AY303" s="64"/>
      <c r="AZ303" s="64"/>
      <c r="BA303" s="64"/>
    </row>
    <row r="304" spans="1:53" ht="20.25" x14ac:dyDescent="0.25">
      <c r="A304" s="7" t="s">
        <v>577</v>
      </c>
      <c r="B304" s="8"/>
      <c r="C304" s="9"/>
      <c r="D304" s="8"/>
      <c r="E304" s="8"/>
      <c r="F304" s="9"/>
      <c r="G304" s="8"/>
      <c r="H304" s="8"/>
      <c r="I304" s="680"/>
      <c r="J304" s="8"/>
      <c r="K304" s="9"/>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6"/>
      <c r="AQ304" s="66"/>
      <c r="AR304" s="66"/>
      <c r="AS304" s="65"/>
      <c r="AT304" s="65"/>
      <c r="AU304" s="65"/>
      <c r="AV304" s="65"/>
      <c r="AW304" s="65"/>
      <c r="AX304" s="65"/>
      <c r="AY304" s="67" t="s">
        <v>500</v>
      </c>
      <c r="AZ304" s="67" t="s">
        <v>500</v>
      </c>
      <c r="BA304" s="67" t="s">
        <v>500</v>
      </c>
    </row>
    <row r="305" spans="1:53" ht="25.5" customHeight="1" x14ac:dyDescent="0.25">
      <c r="A305" s="4">
        <v>3</v>
      </c>
      <c r="B305" s="13" t="s">
        <v>525</v>
      </c>
      <c r="C305" s="14"/>
      <c r="D305" s="13"/>
      <c r="E305" s="13"/>
      <c r="F305" s="14"/>
      <c r="G305" s="13"/>
      <c r="H305" s="13"/>
      <c r="I305" s="681"/>
      <c r="J305" s="13"/>
      <c r="K305" s="13"/>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9"/>
      <c r="AQ305" s="69"/>
      <c r="AR305" s="69"/>
      <c r="AS305" s="68"/>
      <c r="AT305" s="68"/>
      <c r="AU305" s="68"/>
      <c r="AV305" s="68"/>
      <c r="AW305" s="68"/>
      <c r="AX305" s="68"/>
      <c r="AY305" s="70"/>
      <c r="AZ305" s="70"/>
      <c r="BA305" s="70"/>
    </row>
    <row r="306" spans="1:53" ht="22.5" customHeight="1" x14ac:dyDescent="0.25">
      <c r="A306" s="71"/>
      <c r="B306" s="154">
        <v>5</v>
      </c>
      <c r="C306" s="634" t="s">
        <v>578</v>
      </c>
      <c r="D306" s="17"/>
      <c r="E306" s="17"/>
      <c r="F306" s="640"/>
      <c r="G306" s="17"/>
      <c r="H306" s="17"/>
      <c r="I306" s="682"/>
      <c r="J306" s="17"/>
      <c r="K306" s="17"/>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3"/>
      <c r="AQ306" s="73"/>
      <c r="AR306" s="73"/>
      <c r="AS306" s="72"/>
      <c r="AT306" s="72"/>
      <c r="AU306" s="72"/>
      <c r="AV306" s="72"/>
      <c r="AW306" s="72"/>
      <c r="AX306" s="72"/>
      <c r="AY306" s="74"/>
      <c r="AZ306" s="74"/>
      <c r="BA306" s="74"/>
    </row>
    <row r="307" spans="1:53" ht="23.25" customHeight="1" x14ac:dyDescent="0.25">
      <c r="A307" s="27"/>
      <c r="B307" s="71"/>
      <c r="C307" s="651"/>
      <c r="D307" s="58"/>
      <c r="E307" s="76">
        <v>16</v>
      </c>
      <c r="F307" s="78" t="s">
        <v>579</v>
      </c>
      <c r="G307" s="78"/>
      <c r="H307" s="78"/>
      <c r="I307" s="222"/>
      <c r="J307" s="78"/>
      <c r="K307" s="78"/>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80"/>
      <c r="AQ307" s="80"/>
      <c r="AR307" s="80"/>
      <c r="AS307" s="79"/>
      <c r="AT307" s="79"/>
      <c r="AU307" s="79"/>
      <c r="AV307" s="79"/>
      <c r="AW307" s="79"/>
      <c r="AX307" s="79"/>
      <c r="AY307" s="81"/>
      <c r="AZ307" s="81"/>
      <c r="BA307" s="81"/>
    </row>
    <row r="308" spans="1:53" ht="57.75" customHeight="1" x14ac:dyDescent="0.25">
      <c r="A308" s="178"/>
      <c r="B308" s="178"/>
      <c r="C308" s="204">
        <v>15</v>
      </c>
      <c r="D308" s="641" t="s">
        <v>580</v>
      </c>
      <c r="E308" s="194"/>
      <c r="F308" s="182">
        <v>65</v>
      </c>
      <c r="G308" s="641" t="s">
        <v>210</v>
      </c>
      <c r="H308" s="849" t="s">
        <v>581</v>
      </c>
      <c r="I308" s="842" t="s">
        <v>211</v>
      </c>
      <c r="J308" s="843" t="s">
        <v>212</v>
      </c>
      <c r="K308" s="182" t="s">
        <v>466</v>
      </c>
      <c r="L308" s="183"/>
      <c r="M308" s="183"/>
      <c r="N308" s="183"/>
      <c r="O308" s="183"/>
      <c r="P308" s="183"/>
      <c r="Q308" s="183"/>
      <c r="R308" s="183"/>
      <c r="S308" s="183"/>
      <c r="T308" s="183"/>
      <c r="U308" s="347">
        <v>2349543380</v>
      </c>
      <c r="V308" s="347">
        <v>1277519050</v>
      </c>
      <c r="W308" s="347"/>
      <c r="X308" s="183"/>
      <c r="Y308" s="183"/>
      <c r="Z308" s="183"/>
      <c r="AA308" s="183"/>
      <c r="AB308" s="183"/>
      <c r="AC308" s="183"/>
      <c r="AD308" s="183"/>
      <c r="AE308" s="183"/>
      <c r="AF308" s="183"/>
      <c r="AG308" s="183"/>
      <c r="AH308" s="348"/>
      <c r="AI308" s="348"/>
      <c r="AJ308" s="348"/>
      <c r="AK308" s="348"/>
      <c r="AL308" s="348"/>
      <c r="AM308" s="348"/>
      <c r="AN308" s="348"/>
      <c r="AO308" s="348"/>
      <c r="AP308" s="349">
        <f>1140000000+130863000</f>
        <v>1270863000</v>
      </c>
      <c r="AQ308" s="349">
        <v>1103034835</v>
      </c>
      <c r="AR308" s="349">
        <v>304969837</v>
      </c>
      <c r="AS308" s="183"/>
      <c r="AT308" s="348"/>
      <c r="AU308" s="348"/>
      <c r="AV308" s="348"/>
      <c r="AW308" s="348"/>
      <c r="AX308" s="348"/>
      <c r="AY308" s="37">
        <f t="shared" ref="AY308:AY310" si="352">+L308+O308+R308+U308+X308+AA308+AD308+AG308+AJ308+AM308+AP308+AS308+AV308</f>
        <v>3620406380</v>
      </c>
      <c r="AZ308" s="37">
        <f t="shared" ref="AZ308:AZ310" si="353">+M308+P308+S308+V308+Y308+AB308+AE308+AH308+AK308+AN308+AQ308+AT308+AW308</f>
        <v>2380553885</v>
      </c>
      <c r="BA308" s="37">
        <f t="shared" ref="BA308:BA310" si="354">+N308+Q308+T308+W308+Z308+AC308+AF308+AI308+AL308+AO308+AR308+AU308+AX308</f>
        <v>304969837</v>
      </c>
    </row>
    <row r="309" spans="1:53" ht="54" customHeight="1" x14ac:dyDescent="0.25">
      <c r="A309" s="178"/>
      <c r="B309" s="178"/>
      <c r="C309" s="204">
        <v>15</v>
      </c>
      <c r="D309" s="641" t="s">
        <v>580</v>
      </c>
      <c r="E309" s="180"/>
      <c r="F309" s="182">
        <v>66</v>
      </c>
      <c r="G309" s="641" t="s">
        <v>213</v>
      </c>
      <c r="H309" s="850"/>
      <c r="I309" s="838"/>
      <c r="J309" s="840"/>
      <c r="K309" s="182" t="s">
        <v>466</v>
      </c>
      <c r="L309" s="183"/>
      <c r="M309" s="183"/>
      <c r="N309" s="183"/>
      <c r="O309" s="183"/>
      <c r="P309" s="183"/>
      <c r="Q309" s="183"/>
      <c r="R309" s="183"/>
      <c r="S309" s="183"/>
      <c r="T309" s="183"/>
      <c r="U309" s="347"/>
      <c r="V309" s="347"/>
      <c r="W309" s="347"/>
      <c r="X309" s="183"/>
      <c r="Y309" s="183"/>
      <c r="Z309" s="183"/>
      <c r="AA309" s="183"/>
      <c r="AB309" s="183"/>
      <c r="AC309" s="183"/>
      <c r="AD309" s="183"/>
      <c r="AE309" s="186"/>
      <c r="AF309" s="186"/>
      <c r="AG309" s="350"/>
      <c r="AH309" s="350"/>
      <c r="AI309" s="350"/>
      <c r="AJ309" s="351">
        <v>12150000000</v>
      </c>
      <c r="AK309" s="351">
        <v>10133103712</v>
      </c>
      <c r="AL309" s="351">
        <v>57750000</v>
      </c>
      <c r="AM309" s="186"/>
      <c r="AN309" s="186"/>
      <c r="AO309" s="186"/>
      <c r="AP309" s="352">
        <v>286000000</v>
      </c>
      <c r="AQ309" s="352">
        <v>286000000</v>
      </c>
      <c r="AR309" s="352"/>
      <c r="AS309" s="183"/>
      <c r="AT309" s="186"/>
      <c r="AU309" s="186"/>
      <c r="AV309" s="186"/>
      <c r="AW309" s="186"/>
      <c r="AX309" s="186"/>
      <c r="AY309" s="37">
        <f t="shared" si="352"/>
        <v>12436000000</v>
      </c>
      <c r="AZ309" s="37">
        <f t="shared" si="353"/>
        <v>10419103712</v>
      </c>
      <c r="BA309" s="37">
        <f t="shared" si="354"/>
        <v>57750000</v>
      </c>
    </row>
    <row r="310" spans="1:53" ht="57.75" customHeight="1" x14ac:dyDescent="0.25">
      <c r="A310" s="178"/>
      <c r="B310" s="178"/>
      <c r="C310" s="204">
        <v>15</v>
      </c>
      <c r="D310" s="641" t="s">
        <v>580</v>
      </c>
      <c r="E310" s="180"/>
      <c r="F310" s="182">
        <v>67</v>
      </c>
      <c r="G310" s="641" t="s">
        <v>214</v>
      </c>
      <c r="H310" s="851"/>
      <c r="I310" s="839"/>
      <c r="J310" s="841"/>
      <c r="K310" s="182" t="s">
        <v>466</v>
      </c>
      <c r="L310" s="183"/>
      <c r="M310" s="183"/>
      <c r="N310" s="183"/>
      <c r="O310" s="183"/>
      <c r="P310" s="183"/>
      <c r="Q310" s="183"/>
      <c r="R310" s="183"/>
      <c r="S310" s="183"/>
      <c r="T310" s="183"/>
      <c r="U310" s="347">
        <v>200000000</v>
      </c>
      <c r="V310" s="347"/>
      <c r="W310" s="347"/>
      <c r="X310" s="183"/>
      <c r="Y310" s="183"/>
      <c r="Z310" s="183"/>
      <c r="AA310" s="183"/>
      <c r="AB310" s="183"/>
      <c r="AC310" s="183"/>
      <c r="AD310" s="183"/>
      <c r="AE310" s="183"/>
      <c r="AF310" s="183"/>
      <c r="AG310" s="183"/>
      <c r="AH310" s="186"/>
      <c r="AI310" s="186"/>
      <c r="AJ310" s="186"/>
      <c r="AK310" s="186"/>
      <c r="AL310" s="186"/>
      <c r="AM310" s="186"/>
      <c r="AN310" s="186"/>
      <c r="AO310" s="186"/>
      <c r="AP310" s="352">
        <f>860000000+40000000</f>
        <v>900000000</v>
      </c>
      <c r="AQ310" s="352"/>
      <c r="AR310" s="352"/>
      <c r="AS310" s="183"/>
      <c r="AT310" s="186"/>
      <c r="AU310" s="186"/>
      <c r="AV310" s="186"/>
      <c r="AW310" s="186"/>
      <c r="AX310" s="186"/>
      <c r="AY310" s="37">
        <f t="shared" si="352"/>
        <v>1100000000</v>
      </c>
      <c r="AZ310" s="37">
        <f t="shared" si="353"/>
        <v>0</v>
      </c>
      <c r="BA310" s="37">
        <f t="shared" si="354"/>
        <v>0</v>
      </c>
    </row>
    <row r="311" spans="1:53" ht="18" customHeight="1" x14ac:dyDescent="0.25">
      <c r="A311" s="27"/>
      <c r="B311" s="27"/>
      <c r="C311" s="204"/>
      <c r="D311" s="641"/>
      <c r="E311" s="40"/>
      <c r="F311" s="41"/>
      <c r="G311" s="40"/>
      <c r="H311" s="353"/>
      <c r="I311" s="685"/>
      <c r="J311" s="40"/>
      <c r="K311" s="41"/>
      <c r="L311" s="354"/>
      <c r="M311" s="354"/>
      <c r="N311" s="354"/>
      <c r="O311" s="43"/>
      <c r="P311" s="43"/>
      <c r="Q311" s="43"/>
      <c r="R311" s="43"/>
      <c r="S311" s="43"/>
      <c r="T311" s="43"/>
      <c r="U311" s="43">
        <f t="shared" ref="U311:AY311" si="355">SUM(U308:U310)</f>
        <v>2549543380</v>
      </c>
      <c r="V311" s="43">
        <f t="shared" si="355"/>
        <v>1277519050</v>
      </c>
      <c r="W311" s="43">
        <f t="shared" si="355"/>
        <v>0</v>
      </c>
      <c r="X311" s="43"/>
      <c r="Y311" s="43"/>
      <c r="Z311" s="43"/>
      <c r="AA311" s="43"/>
      <c r="AB311" s="43"/>
      <c r="AC311" s="43"/>
      <c r="AD311" s="43"/>
      <c r="AE311" s="43"/>
      <c r="AF311" s="43"/>
      <c r="AG311" s="43"/>
      <c r="AH311" s="43"/>
      <c r="AI311" s="43"/>
      <c r="AJ311" s="43">
        <f t="shared" si="355"/>
        <v>12150000000</v>
      </c>
      <c r="AK311" s="43"/>
      <c r="AL311" s="43"/>
      <c r="AM311" s="43"/>
      <c r="AN311" s="43"/>
      <c r="AO311" s="43"/>
      <c r="AP311" s="173">
        <f t="shared" si="355"/>
        <v>2456863000</v>
      </c>
      <c r="AQ311" s="173">
        <f t="shared" si="355"/>
        <v>1389034835</v>
      </c>
      <c r="AR311" s="173">
        <f t="shared" si="355"/>
        <v>304969837</v>
      </c>
      <c r="AS311" s="173">
        <f t="shared" si="355"/>
        <v>0</v>
      </c>
      <c r="AT311" s="173"/>
      <c r="AU311" s="173"/>
      <c r="AV311" s="173">
        <f t="shared" si="355"/>
        <v>0</v>
      </c>
      <c r="AW311" s="173"/>
      <c r="AX311" s="173"/>
      <c r="AY311" s="173">
        <f t="shared" si="355"/>
        <v>17156406380</v>
      </c>
      <c r="AZ311" s="173">
        <f t="shared" ref="AZ311:BA311" si="356">SUM(AZ308:AZ310)</f>
        <v>12799657597</v>
      </c>
      <c r="BA311" s="173">
        <f t="shared" si="356"/>
        <v>362719837</v>
      </c>
    </row>
    <row r="312" spans="1:53" ht="12.75" customHeight="1" x14ac:dyDescent="0.25">
      <c r="A312" s="27"/>
      <c r="B312" s="27"/>
      <c r="C312" s="651"/>
      <c r="D312" s="58"/>
      <c r="E312" s="58"/>
      <c r="F312" s="651"/>
      <c r="G312" s="58"/>
      <c r="H312" s="356"/>
      <c r="I312" s="700"/>
      <c r="J312" s="108"/>
      <c r="K312" s="651"/>
      <c r="L312" s="60"/>
      <c r="M312" s="60"/>
      <c r="N312" s="60"/>
      <c r="O312" s="60"/>
      <c r="P312" s="60"/>
      <c r="Q312" s="60"/>
      <c r="R312" s="60"/>
      <c r="S312" s="60"/>
      <c r="T312" s="60"/>
      <c r="U312" s="60"/>
      <c r="V312" s="60"/>
      <c r="W312" s="60"/>
      <c r="X312" s="60"/>
      <c r="Y312" s="60"/>
      <c r="Z312" s="60"/>
      <c r="AA312" s="60"/>
      <c r="AB312" s="60"/>
      <c r="AC312" s="60"/>
      <c r="AD312" s="61"/>
      <c r="AE312" s="61"/>
      <c r="AF312" s="61"/>
      <c r="AG312" s="61"/>
      <c r="AH312" s="63"/>
      <c r="AI312" s="63"/>
      <c r="AJ312" s="145"/>
      <c r="AK312" s="145"/>
      <c r="AL312" s="145"/>
      <c r="AM312" s="145"/>
      <c r="AN312" s="145"/>
      <c r="AO312" s="145"/>
      <c r="AP312" s="357"/>
      <c r="AQ312" s="357"/>
      <c r="AR312" s="357"/>
      <c r="AS312" s="60"/>
      <c r="AT312" s="60"/>
      <c r="AU312" s="60"/>
      <c r="AV312" s="60"/>
      <c r="AW312" s="145"/>
      <c r="AX312" s="145"/>
      <c r="AY312" s="64"/>
      <c r="AZ312" s="64"/>
      <c r="BA312" s="64"/>
    </row>
    <row r="313" spans="1:53" ht="15" x14ac:dyDescent="0.25">
      <c r="A313" s="27"/>
      <c r="B313" s="27"/>
      <c r="C313" s="28"/>
      <c r="D313" s="29"/>
      <c r="E313" s="287">
        <v>17</v>
      </c>
      <c r="F313" s="78" t="s">
        <v>582</v>
      </c>
      <c r="G313" s="78"/>
      <c r="H313" s="78"/>
      <c r="I313" s="222"/>
      <c r="J313" s="78"/>
      <c r="K313" s="78"/>
      <c r="L313" s="358"/>
      <c r="M313" s="358"/>
      <c r="N313" s="358"/>
      <c r="O313" s="79"/>
      <c r="P313" s="79"/>
      <c r="Q313" s="79"/>
      <c r="R313" s="79"/>
      <c r="S313" s="79"/>
      <c r="T313" s="79"/>
      <c r="U313" s="79"/>
      <c r="V313" s="79"/>
      <c r="W313" s="79"/>
      <c r="X313" s="79"/>
      <c r="Y313" s="79"/>
      <c r="Z313" s="79"/>
      <c r="AA313" s="79"/>
      <c r="AB313" s="79"/>
      <c r="AC313" s="79"/>
      <c r="AD313" s="358"/>
      <c r="AE313" s="358"/>
      <c r="AF313" s="358"/>
      <c r="AG313" s="358"/>
      <c r="AH313" s="358"/>
      <c r="AI313" s="358"/>
      <c r="AJ313" s="358"/>
      <c r="AK313" s="358"/>
      <c r="AL313" s="358"/>
      <c r="AM313" s="358"/>
      <c r="AN313" s="358"/>
      <c r="AO313" s="358"/>
      <c r="AP313" s="80"/>
      <c r="AQ313" s="80"/>
      <c r="AR313" s="80"/>
      <c r="AS313" s="79"/>
      <c r="AT313" s="79"/>
      <c r="AU313" s="79"/>
      <c r="AV313" s="79"/>
      <c r="AW313" s="79"/>
      <c r="AX313" s="79"/>
      <c r="AY313" s="81"/>
      <c r="AZ313" s="81"/>
      <c r="BA313" s="81"/>
    </row>
    <row r="314" spans="1:53" ht="94.5" customHeight="1" x14ac:dyDescent="0.25">
      <c r="A314" s="178"/>
      <c r="B314" s="178"/>
      <c r="C314" s="204">
        <v>15</v>
      </c>
      <c r="D314" s="641" t="s">
        <v>580</v>
      </c>
      <c r="E314" s="180"/>
      <c r="F314" s="182">
        <v>72</v>
      </c>
      <c r="G314" s="641" t="s">
        <v>215</v>
      </c>
      <c r="H314" s="852" t="s">
        <v>581</v>
      </c>
      <c r="I314" s="838" t="s">
        <v>216</v>
      </c>
      <c r="J314" s="840" t="s">
        <v>217</v>
      </c>
      <c r="K314" s="182" t="s">
        <v>466</v>
      </c>
      <c r="L314" s="183"/>
      <c r="M314" s="183"/>
      <c r="N314" s="183"/>
      <c r="O314" s="183"/>
      <c r="P314" s="183"/>
      <c r="Q314" s="183"/>
      <c r="R314" s="183"/>
      <c r="S314" s="183"/>
      <c r="T314" s="183"/>
      <c r="U314" s="183"/>
      <c r="V314" s="183"/>
      <c r="W314" s="183"/>
      <c r="X314" s="183"/>
      <c r="Y314" s="183"/>
      <c r="Z314" s="183"/>
      <c r="AA314" s="183"/>
      <c r="AB314" s="183"/>
      <c r="AC314" s="183"/>
      <c r="AD314" s="183">
        <v>52000000</v>
      </c>
      <c r="AE314" s="183"/>
      <c r="AF314" s="183"/>
      <c r="AG314" s="183"/>
      <c r="AH314" s="186"/>
      <c r="AI314" s="186"/>
      <c r="AJ314" s="186"/>
      <c r="AK314" s="186"/>
      <c r="AL314" s="186"/>
      <c r="AM314" s="186"/>
      <c r="AN314" s="186"/>
      <c r="AO314" s="186"/>
      <c r="AP314" s="185">
        <v>0</v>
      </c>
      <c r="AQ314" s="185"/>
      <c r="AR314" s="185"/>
      <c r="AS314" s="186"/>
      <c r="AT314" s="186"/>
      <c r="AU314" s="186"/>
      <c r="AV314" s="186"/>
      <c r="AW314" s="186"/>
      <c r="AX314" s="186"/>
      <c r="AY314" s="37">
        <f t="shared" ref="AY314:AY315" si="357">+L314+O314+R314+U314+X314+AA314+AD314+AG314+AJ314+AM314+AP314+AS314+AV314</f>
        <v>52000000</v>
      </c>
      <c r="AZ314" s="37">
        <f t="shared" ref="AZ314:AZ315" si="358">+M314+P314+S314+V314+Y314+AB314+AE314+AH314+AK314+AN314+AQ314+AT314+AW314</f>
        <v>0</v>
      </c>
      <c r="BA314" s="37">
        <f t="shared" ref="BA314:BA315" si="359">+N314+Q314+T314+W314+Z314+AC314+AF314+AI314+AL314+AO314+AR314+AU314+AX314</f>
        <v>0</v>
      </c>
    </row>
    <row r="315" spans="1:53" ht="62.25" customHeight="1" x14ac:dyDescent="0.25">
      <c r="A315" s="178"/>
      <c r="B315" s="178"/>
      <c r="C315" s="204">
        <v>15</v>
      </c>
      <c r="D315" s="641" t="s">
        <v>580</v>
      </c>
      <c r="E315" s="220"/>
      <c r="F315" s="182">
        <v>73</v>
      </c>
      <c r="G315" s="641" t="s">
        <v>218</v>
      </c>
      <c r="H315" s="853"/>
      <c r="I315" s="839"/>
      <c r="J315" s="841"/>
      <c r="K315" s="182" t="s">
        <v>466</v>
      </c>
      <c r="L315" s="183"/>
      <c r="M315" s="183"/>
      <c r="N315" s="183"/>
      <c r="O315" s="183"/>
      <c r="P315" s="183"/>
      <c r="Q315" s="183"/>
      <c r="R315" s="183"/>
      <c r="S315" s="183"/>
      <c r="T315" s="183"/>
      <c r="U315" s="183"/>
      <c r="V315" s="183"/>
      <c r="W315" s="183"/>
      <c r="X315" s="183"/>
      <c r="Y315" s="183"/>
      <c r="Z315" s="183"/>
      <c r="AA315" s="183"/>
      <c r="AB315" s="183"/>
      <c r="AC315" s="183"/>
      <c r="AD315" s="359">
        <v>1580000000</v>
      </c>
      <c r="AE315" s="359">
        <v>1187277568</v>
      </c>
      <c r="AF315" s="359">
        <v>123913140</v>
      </c>
      <c r="AG315" s="183"/>
      <c r="AH315" s="186"/>
      <c r="AI315" s="186"/>
      <c r="AJ315" s="186"/>
      <c r="AK315" s="186"/>
      <c r="AL315" s="186"/>
      <c r="AM315" s="186"/>
      <c r="AN315" s="186"/>
      <c r="AO315" s="186"/>
      <c r="AP315" s="185"/>
      <c r="AQ315" s="185"/>
      <c r="AR315" s="185"/>
      <c r="AS315" s="186"/>
      <c r="AT315" s="186"/>
      <c r="AU315" s="186"/>
      <c r="AV315" s="186"/>
      <c r="AW315" s="186"/>
      <c r="AX315" s="186"/>
      <c r="AY315" s="37">
        <f t="shared" si="357"/>
        <v>1580000000</v>
      </c>
      <c r="AZ315" s="37">
        <f t="shared" si="358"/>
        <v>1187277568</v>
      </c>
      <c r="BA315" s="37">
        <f t="shared" si="359"/>
        <v>123913140</v>
      </c>
    </row>
    <row r="316" spans="1:53" ht="15" x14ac:dyDescent="0.25">
      <c r="A316" s="27"/>
      <c r="B316" s="27"/>
      <c r="C316" s="204"/>
      <c r="D316" s="641"/>
      <c r="E316" s="40"/>
      <c r="F316" s="41"/>
      <c r="G316" s="40"/>
      <c r="H316" s="353"/>
      <c r="I316" s="685"/>
      <c r="J316" s="40"/>
      <c r="K316" s="41"/>
      <c r="L316" s="43"/>
      <c r="M316" s="43"/>
      <c r="N316" s="43"/>
      <c r="O316" s="43"/>
      <c r="P316" s="43"/>
      <c r="Q316" s="43"/>
      <c r="R316" s="43"/>
      <c r="S316" s="43"/>
      <c r="T316" s="43"/>
      <c r="U316" s="43"/>
      <c r="V316" s="43"/>
      <c r="W316" s="43"/>
      <c r="X316" s="43"/>
      <c r="Y316" s="43"/>
      <c r="Z316" s="43"/>
      <c r="AA316" s="43"/>
      <c r="AB316" s="43"/>
      <c r="AC316" s="43"/>
      <c r="AD316" s="43">
        <f>SUM(AD314:AD315)</f>
        <v>1632000000</v>
      </c>
      <c r="AE316" s="43">
        <f t="shared" ref="AE316:AF316" si="360">SUM(AE314:AE315)</f>
        <v>1187277568</v>
      </c>
      <c r="AF316" s="43">
        <f t="shared" si="360"/>
        <v>123913140</v>
      </c>
      <c r="AG316" s="43"/>
      <c r="AH316" s="43"/>
      <c r="AI316" s="43"/>
      <c r="AJ316" s="43"/>
      <c r="AK316" s="43"/>
      <c r="AL316" s="43"/>
      <c r="AM316" s="43"/>
      <c r="AN316" s="43"/>
      <c r="AO316" s="43"/>
      <c r="AP316" s="43">
        <f>SUM(AP314:AP315)</f>
        <v>0</v>
      </c>
      <c r="AQ316" s="43"/>
      <c r="AR316" s="43"/>
      <c r="AS316" s="43">
        <f>SUM(AS314:AS315)</f>
        <v>0</v>
      </c>
      <c r="AT316" s="43"/>
      <c r="AU316" s="43"/>
      <c r="AV316" s="43">
        <f>SUM(AV314:AV315)</f>
        <v>0</v>
      </c>
      <c r="AW316" s="43"/>
      <c r="AX316" s="43"/>
      <c r="AY316" s="43">
        <f>SUM(AY314:AY315)</f>
        <v>1632000000</v>
      </c>
      <c r="AZ316" s="43">
        <f t="shared" ref="AZ316:BA316" si="361">SUM(AZ314:AZ315)</f>
        <v>1187277568</v>
      </c>
      <c r="BA316" s="43">
        <f t="shared" si="361"/>
        <v>123913140</v>
      </c>
    </row>
    <row r="317" spans="1:53" ht="15" x14ac:dyDescent="0.25">
      <c r="A317" s="27"/>
      <c r="B317" s="27"/>
      <c r="C317" s="651"/>
      <c r="D317" s="58"/>
      <c r="E317" s="58"/>
      <c r="F317" s="651"/>
      <c r="G317" s="58"/>
      <c r="H317" s="360"/>
      <c r="I317" s="689"/>
      <c r="J317" s="58"/>
      <c r="K317" s="651"/>
      <c r="L317" s="60"/>
      <c r="M317" s="60"/>
      <c r="N317" s="60"/>
      <c r="O317" s="60"/>
      <c r="P317" s="60"/>
      <c r="Q317" s="60"/>
      <c r="R317" s="60"/>
      <c r="S317" s="60"/>
      <c r="T317" s="60"/>
      <c r="U317" s="60"/>
      <c r="V317" s="60"/>
      <c r="W317" s="60"/>
      <c r="X317" s="60"/>
      <c r="Y317" s="60"/>
      <c r="Z317" s="60"/>
      <c r="AA317" s="60"/>
      <c r="AB317" s="60"/>
      <c r="AC317" s="60"/>
      <c r="AD317" s="61"/>
      <c r="AE317" s="61"/>
      <c r="AF317" s="61"/>
      <c r="AG317" s="61"/>
      <c r="AH317" s="63"/>
      <c r="AI317" s="63"/>
      <c r="AJ317" s="145"/>
      <c r="AK317" s="145"/>
      <c r="AL317" s="145"/>
      <c r="AM317" s="145"/>
      <c r="AN317" s="145"/>
      <c r="AO317" s="145"/>
      <c r="AP317" s="357"/>
      <c r="AQ317" s="357"/>
      <c r="AR317" s="357"/>
      <c r="AS317" s="60"/>
      <c r="AT317" s="60"/>
      <c r="AU317" s="60"/>
      <c r="AV317" s="60"/>
      <c r="AW317" s="60"/>
      <c r="AX317" s="60"/>
      <c r="AY317" s="110"/>
      <c r="AZ317" s="110"/>
      <c r="BA317" s="110"/>
    </row>
    <row r="318" spans="1:53" ht="15" x14ac:dyDescent="0.25">
      <c r="A318" s="27"/>
      <c r="B318" s="27"/>
      <c r="C318" s="28"/>
      <c r="D318" s="29"/>
      <c r="E318" s="191">
        <v>18</v>
      </c>
      <c r="F318" s="221" t="s">
        <v>583</v>
      </c>
      <c r="G318" s="78"/>
      <c r="H318" s="78"/>
      <c r="I318" s="222"/>
      <c r="J318" s="78"/>
      <c r="K318" s="78"/>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80"/>
      <c r="AQ318" s="80"/>
      <c r="AR318" s="80"/>
      <c r="AS318" s="79"/>
      <c r="AT318" s="79"/>
      <c r="AU318" s="79"/>
      <c r="AV318" s="79"/>
      <c r="AW318" s="79"/>
      <c r="AX318" s="79"/>
      <c r="AY318" s="361"/>
      <c r="AZ318" s="361"/>
      <c r="BA318" s="361"/>
    </row>
    <row r="319" spans="1:53" ht="102" customHeight="1" x14ac:dyDescent="0.25">
      <c r="A319" s="27"/>
      <c r="B319" s="27"/>
      <c r="C319" s="204">
        <v>15</v>
      </c>
      <c r="D319" s="641" t="s">
        <v>580</v>
      </c>
      <c r="E319" s="100"/>
      <c r="F319" s="31">
        <v>74</v>
      </c>
      <c r="G319" s="29" t="s">
        <v>219</v>
      </c>
      <c r="H319" s="362" t="s">
        <v>581</v>
      </c>
      <c r="I319" s="691" t="s">
        <v>220</v>
      </c>
      <c r="J319" s="29" t="s">
        <v>221</v>
      </c>
      <c r="K319" s="31" t="s">
        <v>466</v>
      </c>
      <c r="L319" s="33"/>
      <c r="M319" s="33"/>
      <c r="N319" s="33"/>
      <c r="O319" s="33"/>
      <c r="P319" s="33"/>
      <c r="Q319" s="33"/>
      <c r="R319" s="33"/>
      <c r="S319" s="33"/>
      <c r="T319" s="33"/>
      <c r="U319" s="33"/>
      <c r="V319" s="33"/>
      <c r="W319" s="33"/>
      <c r="X319" s="33"/>
      <c r="Y319" s="33"/>
      <c r="Z319" s="33"/>
      <c r="AA319" s="33"/>
      <c r="AB319" s="33"/>
      <c r="AC319" s="33"/>
      <c r="AD319" s="183">
        <f>128238000000+30000000</f>
        <v>128268000000</v>
      </c>
      <c r="AE319" s="183">
        <v>27145659945</v>
      </c>
      <c r="AF319" s="183">
        <v>26695715115</v>
      </c>
      <c r="AG319" s="273">
        <f>16500000000+7000000000</f>
        <v>23500000000</v>
      </c>
      <c r="AH319" s="273">
        <v>6742325972</v>
      </c>
      <c r="AI319" s="273">
        <v>6742325972</v>
      </c>
      <c r="AJ319" s="33"/>
      <c r="AK319" s="33"/>
      <c r="AL319" s="33"/>
      <c r="AM319" s="33"/>
      <c r="AN319" s="36"/>
      <c r="AO319" s="36"/>
      <c r="AP319" s="35"/>
      <c r="AQ319" s="35"/>
      <c r="AR319" s="35"/>
      <c r="AS319" s="36"/>
      <c r="AT319" s="36"/>
      <c r="AU319" s="36"/>
      <c r="AV319" s="36"/>
      <c r="AW319" s="36"/>
      <c r="AX319" s="36"/>
      <c r="AY319" s="37">
        <f t="shared" ref="AY319" si="362">+L319+O319+R319+U319+X319+AA319+AD319+AG319+AJ319+AM319+AP319+AS319+AV319</f>
        <v>151768000000</v>
      </c>
      <c r="AZ319" s="37">
        <f t="shared" ref="AZ319" si="363">+M319+P319+S319+V319+Y319+AB319+AE319+AH319+AK319+AN319+AQ319+AT319+AW319</f>
        <v>33887985917</v>
      </c>
      <c r="BA319" s="37">
        <f t="shared" ref="BA319" si="364">+N319+Q319+T319+W319+Z319+AC319+AF319+AI319+AL319+AO319+AR319+AU319+AX319</f>
        <v>33438041087</v>
      </c>
    </row>
    <row r="320" spans="1:53" ht="18.75" customHeight="1" x14ac:dyDescent="0.25">
      <c r="A320" s="27"/>
      <c r="B320" s="39"/>
      <c r="C320" s="204"/>
      <c r="D320" s="641"/>
      <c r="E320" s="41"/>
      <c r="F320" s="41"/>
      <c r="G320" s="40"/>
      <c r="H320" s="353"/>
      <c r="I320" s="685"/>
      <c r="J320" s="41"/>
      <c r="K320" s="41"/>
      <c r="L320" s="43"/>
      <c r="M320" s="43"/>
      <c r="N320" s="43"/>
      <c r="O320" s="43"/>
      <c r="P320" s="43"/>
      <c r="Q320" s="43"/>
      <c r="R320" s="43"/>
      <c r="S320" s="43"/>
      <c r="T320" s="43"/>
      <c r="U320" s="43">
        <f t="shared" ref="U320:W320" si="365">SUM(U319:U319)</f>
        <v>0</v>
      </c>
      <c r="V320" s="43">
        <f t="shared" si="365"/>
        <v>0</v>
      </c>
      <c r="W320" s="43">
        <f t="shared" si="365"/>
        <v>0</v>
      </c>
      <c r="X320" s="43"/>
      <c r="Y320" s="43"/>
      <c r="Z320" s="43"/>
      <c r="AA320" s="43"/>
      <c r="AB320" s="43"/>
      <c r="AC320" s="43"/>
      <c r="AD320" s="43">
        <f t="shared" ref="AD320:AJ320" si="366">SUM(AD319:AD319)</f>
        <v>128268000000</v>
      </c>
      <c r="AE320" s="43">
        <f t="shared" ref="AE320:AF320" si="367">SUM(AE319:AE319)</f>
        <v>27145659945</v>
      </c>
      <c r="AF320" s="43">
        <f t="shared" si="367"/>
        <v>26695715115</v>
      </c>
      <c r="AG320" s="43">
        <f t="shared" si="366"/>
        <v>23500000000</v>
      </c>
      <c r="AH320" s="43">
        <f t="shared" ref="AH320:AI320" si="368">SUM(AH319:AH319)</f>
        <v>6742325972</v>
      </c>
      <c r="AI320" s="43">
        <f t="shared" si="368"/>
        <v>6742325972</v>
      </c>
      <c r="AJ320" s="43">
        <f t="shared" si="366"/>
        <v>0</v>
      </c>
      <c r="AK320" s="43"/>
      <c r="AL320" s="43"/>
      <c r="AM320" s="43"/>
      <c r="AN320" s="43"/>
      <c r="AO320" s="43"/>
      <c r="AP320" s="43">
        <f t="shared" ref="AP320:AY320" si="369">SUM(AP319:AP319)</f>
        <v>0</v>
      </c>
      <c r="AQ320" s="43"/>
      <c r="AR320" s="43"/>
      <c r="AS320" s="43">
        <f t="shared" si="369"/>
        <v>0</v>
      </c>
      <c r="AT320" s="43"/>
      <c r="AU320" s="43"/>
      <c r="AV320" s="43">
        <f t="shared" si="369"/>
        <v>0</v>
      </c>
      <c r="AW320" s="43"/>
      <c r="AX320" s="43"/>
      <c r="AY320" s="43">
        <f t="shared" si="369"/>
        <v>151768000000</v>
      </c>
      <c r="AZ320" s="43">
        <f t="shared" ref="AZ320:BA320" si="370">SUM(AZ319:AZ319)</f>
        <v>33887985917</v>
      </c>
      <c r="BA320" s="43">
        <f t="shared" si="370"/>
        <v>33438041087</v>
      </c>
    </row>
    <row r="321" spans="1:53" ht="18.75" customHeight="1" x14ac:dyDescent="0.25">
      <c r="A321" s="27"/>
      <c r="B321" s="104"/>
      <c r="C321" s="46"/>
      <c r="D321" s="45"/>
      <c r="E321" s="45"/>
      <c r="F321" s="46"/>
      <c r="G321" s="45"/>
      <c r="H321" s="363"/>
      <c r="I321" s="686"/>
      <c r="J321" s="45"/>
      <c r="K321" s="46"/>
      <c r="L321" s="48"/>
      <c r="M321" s="48"/>
      <c r="N321" s="48"/>
      <c r="O321" s="48"/>
      <c r="P321" s="48"/>
      <c r="Q321" s="48"/>
      <c r="R321" s="48"/>
      <c r="S321" s="48"/>
      <c r="T321" s="48"/>
      <c r="U321" s="48">
        <f>U320+U316+U311</f>
        <v>2549543380</v>
      </c>
      <c r="V321" s="48">
        <f t="shared" ref="V321:W321" si="371">V320+V316+V311</f>
        <v>1277519050</v>
      </c>
      <c r="W321" s="48">
        <f t="shared" si="371"/>
        <v>0</v>
      </c>
      <c r="X321" s="48"/>
      <c r="Y321" s="48"/>
      <c r="Z321" s="48"/>
      <c r="AA321" s="48"/>
      <c r="AB321" s="48"/>
      <c r="AC321" s="48"/>
      <c r="AD321" s="48">
        <f>AD320+AD316+AD311</f>
        <v>129900000000</v>
      </c>
      <c r="AE321" s="48">
        <f t="shared" ref="AE321:AF321" si="372">AE320+AE316+AE311</f>
        <v>28332937513</v>
      </c>
      <c r="AF321" s="48">
        <f t="shared" si="372"/>
        <v>26819628255</v>
      </c>
      <c r="AG321" s="48">
        <f>AG320+AG316+AG311</f>
        <v>23500000000</v>
      </c>
      <c r="AH321" s="48">
        <f t="shared" ref="AH321:AI321" si="373">AH320+AH316+AH311</f>
        <v>6742325972</v>
      </c>
      <c r="AI321" s="48">
        <f t="shared" si="373"/>
        <v>6742325972</v>
      </c>
      <c r="AJ321" s="48">
        <f>AJ320+AJ316+AJ311</f>
        <v>12150000000</v>
      </c>
      <c r="AK321" s="48"/>
      <c r="AL321" s="48"/>
      <c r="AM321" s="48"/>
      <c r="AN321" s="48"/>
      <c r="AO321" s="48"/>
      <c r="AP321" s="48">
        <f>AP320+AP316+AP311</f>
        <v>2456863000</v>
      </c>
      <c r="AQ321" s="48">
        <f t="shared" ref="AQ321:AR321" si="374">AQ320+AQ316+AQ311</f>
        <v>1389034835</v>
      </c>
      <c r="AR321" s="48">
        <f t="shared" si="374"/>
        <v>304969837</v>
      </c>
      <c r="AS321" s="48">
        <f>AS320+AS316+AS311</f>
        <v>0</v>
      </c>
      <c r="AT321" s="48"/>
      <c r="AU321" s="48"/>
      <c r="AV321" s="48">
        <f>AV320+AV316+AV311</f>
        <v>0</v>
      </c>
      <c r="AW321" s="48"/>
      <c r="AX321" s="48"/>
      <c r="AY321" s="48">
        <f>AY320+AY316+AY311</f>
        <v>170556406380</v>
      </c>
      <c r="AZ321" s="48">
        <f t="shared" ref="AZ321:BA321" si="375">AZ320+AZ316+AZ311</f>
        <v>47874921082</v>
      </c>
      <c r="BA321" s="48">
        <f t="shared" si="375"/>
        <v>33924674064</v>
      </c>
    </row>
    <row r="322" spans="1:53" ht="15" x14ac:dyDescent="0.25">
      <c r="A322" s="27"/>
      <c r="B322" s="58"/>
      <c r="C322" s="651"/>
      <c r="D322" s="58"/>
      <c r="E322" s="58"/>
      <c r="F322" s="651"/>
      <c r="G322" s="58"/>
      <c r="H322" s="356"/>
      <c r="I322" s="700"/>
      <c r="J322" s="108"/>
      <c r="K322" s="651"/>
      <c r="L322" s="60"/>
      <c r="M322" s="60"/>
      <c r="N322" s="60"/>
      <c r="O322" s="60"/>
      <c r="P322" s="145"/>
      <c r="Q322" s="145"/>
      <c r="R322" s="145"/>
      <c r="S322" s="145"/>
      <c r="T322" s="145"/>
      <c r="U322" s="145"/>
      <c r="V322" s="145"/>
      <c r="W322" s="145"/>
      <c r="X322" s="60"/>
      <c r="Y322" s="60"/>
      <c r="Z322" s="60"/>
      <c r="AA322" s="60"/>
      <c r="AB322" s="60"/>
      <c r="AC322" s="60"/>
      <c r="AD322" s="61"/>
      <c r="AE322" s="61"/>
      <c r="AF322" s="61"/>
      <c r="AG322" s="61"/>
      <c r="AH322" s="63"/>
      <c r="AI322" s="63"/>
      <c r="AJ322" s="145"/>
      <c r="AK322" s="145"/>
      <c r="AL322" s="145"/>
      <c r="AM322" s="145"/>
      <c r="AN322" s="145"/>
      <c r="AO322" s="145"/>
      <c r="AP322" s="248"/>
      <c r="AQ322" s="248"/>
      <c r="AR322" s="248"/>
      <c r="AS322" s="60"/>
      <c r="AT322" s="60"/>
      <c r="AU322" s="60"/>
      <c r="AV322" s="60"/>
      <c r="AW322" s="145"/>
      <c r="AX322" s="145"/>
      <c r="AY322" s="64"/>
      <c r="AZ322" s="64"/>
      <c r="BA322" s="64"/>
    </row>
    <row r="323" spans="1:53" x14ac:dyDescent="0.25">
      <c r="A323" s="27"/>
      <c r="B323" s="154">
        <v>6</v>
      </c>
      <c r="C323" s="634" t="s">
        <v>584</v>
      </c>
      <c r="D323" s="17"/>
      <c r="E323" s="17"/>
      <c r="F323" s="640"/>
      <c r="G323" s="17"/>
      <c r="H323" s="17"/>
      <c r="I323" s="682"/>
      <c r="J323" s="17"/>
      <c r="K323" s="17"/>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3"/>
      <c r="AQ323" s="73"/>
      <c r="AR323" s="73"/>
      <c r="AS323" s="72"/>
      <c r="AT323" s="72"/>
      <c r="AU323" s="72"/>
      <c r="AV323" s="72"/>
      <c r="AW323" s="72"/>
      <c r="AX323" s="72"/>
      <c r="AY323" s="74"/>
      <c r="AZ323" s="74"/>
      <c r="BA323" s="74"/>
    </row>
    <row r="324" spans="1:53" ht="15" x14ac:dyDescent="0.25">
      <c r="A324" s="27"/>
      <c r="B324" s="27"/>
      <c r="C324" s="653"/>
      <c r="D324" s="637"/>
      <c r="E324" s="364">
        <v>20</v>
      </c>
      <c r="F324" s="221" t="s">
        <v>585</v>
      </c>
      <c r="G324" s="78"/>
      <c r="H324" s="78"/>
      <c r="I324" s="222"/>
      <c r="J324" s="78"/>
      <c r="K324" s="78"/>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80"/>
      <c r="AQ324" s="80"/>
      <c r="AR324" s="80"/>
      <c r="AS324" s="79"/>
      <c r="AT324" s="79"/>
      <c r="AU324" s="79"/>
      <c r="AV324" s="79"/>
      <c r="AW324" s="79"/>
      <c r="AX324" s="79"/>
      <c r="AY324" s="81"/>
      <c r="AZ324" s="81"/>
      <c r="BA324" s="81"/>
    </row>
    <row r="325" spans="1:53" ht="69" customHeight="1" x14ac:dyDescent="0.25">
      <c r="A325" s="178"/>
      <c r="B325" s="340"/>
      <c r="C325" s="365">
        <v>19</v>
      </c>
      <c r="D325" s="366" t="s">
        <v>586</v>
      </c>
      <c r="E325" s="197"/>
      <c r="F325" s="182">
        <v>83</v>
      </c>
      <c r="G325" s="641" t="s">
        <v>222</v>
      </c>
      <c r="H325" s="861" t="s">
        <v>581</v>
      </c>
      <c r="I325" s="827" t="s">
        <v>223</v>
      </c>
      <c r="J325" s="828" t="s">
        <v>224</v>
      </c>
      <c r="K325" s="182" t="s">
        <v>477</v>
      </c>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86"/>
      <c r="AO325" s="186"/>
      <c r="AP325" s="185">
        <f>20000000+10000000+31600000</f>
        <v>61600000</v>
      </c>
      <c r="AQ325" s="185">
        <v>20600000</v>
      </c>
      <c r="AR325" s="185"/>
      <c r="AS325" s="186"/>
      <c r="AT325" s="186"/>
      <c r="AU325" s="186"/>
      <c r="AV325" s="186"/>
      <c r="AW325" s="186"/>
      <c r="AX325" s="186"/>
      <c r="AY325" s="37">
        <f t="shared" ref="AY325:AY330" si="376">+L325+O325+R325+U325+X325+AA325+AD325+AG325+AJ325+AM325+AP325+AS325+AV325</f>
        <v>61600000</v>
      </c>
      <c r="AZ325" s="37">
        <f t="shared" ref="AZ325:AZ330" si="377">+M325+P325+S325+V325+Y325+AB325+AE325+AH325+AK325+AN325+AQ325+AT325+AW325</f>
        <v>20600000</v>
      </c>
      <c r="BA325" s="37">
        <f t="shared" ref="BA325:BA330" si="378">+N325+Q325+T325+W325+Z325+AC325+AF325+AI325+AL325+AO325+AR325+AU325+AX325</f>
        <v>0</v>
      </c>
    </row>
    <row r="326" spans="1:53" ht="62.25" customHeight="1" x14ac:dyDescent="0.25">
      <c r="A326" s="178"/>
      <c r="B326" s="340"/>
      <c r="C326" s="365">
        <v>19</v>
      </c>
      <c r="D326" s="366" t="s">
        <v>586</v>
      </c>
      <c r="E326" s="367"/>
      <c r="F326" s="182">
        <v>87</v>
      </c>
      <c r="G326" s="641" t="s">
        <v>225</v>
      </c>
      <c r="H326" s="862"/>
      <c r="I326" s="821"/>
      <c r="J326" s="824"/>
      <c r="K326" s="182" t="s">
        <v>466</v>
      </c>
      <c r="L326" s="183"/>
      <c r="M326" s="183"/>
      <c r="N326" s="183"/>
      <c r="O326" s="183"/>
      <c r="P326" s="183"/>
      <c r="Q326" s="183"/>
      <c r="R326" s="183"/>
      <c r="S326" s="183"/>
      <c r="T326" s="183"/>
      <c r="U326" s="183"/>
      <c r="V326" s="183"/>
      <c r="W326" s="183"/>
      <c r="X326" s="183"/>
      <c r="Y326" s="183"/>
      <c r="Z326" s="183"/>
      <c r="AA326" s="183"/>
      <c r="AB326" s="183"/>
      <c r="AC326" s="183"/>
      <c r="AD326" s="183">
        <v>25000000</v>
      </c>
      <c r="AE326" s="183"/>
      <c r="AF326" s="183"/>
      <c r="AG326" s="183"/>
      <c r="AH326" s="186"/>
      <c r="AI326" s="186"/>
      <c r="AJ326" s="186"/>
      <c r="AK326" s="186"/>
      <c r="AL326" s="186"/>
      <c r="AM326" s="186"/>
      <c r="AN326" s="186"/>
      <c r="AO326" s="186"/>
      <c r="AP326" s="185">
        <f>20000000+30000000-30000000</f>
        <v>20000000</v>
      </c>
      <c r="AQ326" s="185"/>
      <c r="AR326" s="185"/>
      <c r="AS326" s="186"/>
      <c r="AT326" s="186"/>
      <c r="AU326" s="186"/>
      <c r="AV326" s="186"/>
      <c r="AW326" s="186"/>
      <c r="AX326" s="186"/>
      <c r="AY326" s="37">
        <f t="shared" si="376"/>
        <v>45000000</v>
      </c>
      <c r="AZ326" s="37">
        <f t="shared" si="377"/>
        <v>0</v>
      </c>
      <c r="BA326" s="37">
        <f t="shared" si="378"/>
        <v>0</v>
      </c>
    </row>
    <row r="327" spans="1:53" ht="90.75" customHeight="1" x14ac:dyDescent="0.25">
      <c r="A327" s="178"/>
      <c r="B327" s="340"/>
      <c r="C327" s="282">
        <v>17</v>
      </c>
      <c r="D327" s="283" t="s">
        <v>587</v>
      </c>
      <c r="E327" s="367"/>
      <c r="F327" s="182">
        <v>88</v>
      </c>
      <c r="G327" s="641" t="s">
        <v>226</v>
      </c>
      <c r="H327" s="862"/>
      <c r="I327" s="821"/>
      <c r="J327" s="824"/>
      <c r="K327" s="182" t="s">
        <v>477</v>
      </c>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6"/>
      <c r="AO327" s="186"/>
      <c r="AP327" s="185">
        <f>35000000-8222000+8000000</f>
        <v>34778000</v>
      </c>
      <c r="AQ327" s="185"/>
      <c r="AR327" s="185"/>
      <c r="AS327" s="186"/>
      <c r="AT327" s="186"/>
      <c r="AU327" s="186"/>
      <c r="AV327" s="186"/>
      <c r="AW327" s="186"/>
      <c r="AX327" s="186"/>
      <c r="AY327" s="37">
        <f t="shared" si="376"/>
        <v>34778000</v>
      </c>
      <c r="AZ327" s="37">
        <f t="shared" si="377"/>
        <v>0</v>
      </c>
      <c r="BA327" s="37">
        <f t="shared" si="378"/>
        <v>0</v>
      </c>
    </row>
    <row r="328" spans="1:53" ht="66" customHeight="1" x14ac:dyDescent="0.25">
      <c r="A328" s="178"/>
      <c r="B328" s="340"/>
      <c r="C328" s="182">
        <v>18</v>
      </c>
      <c r="D328" s="641" t="s">
        <v>588</v>
      </c>
      <c r="E328" s="367"/>
      <c r="F328" s="182">
        <v>86</v>
      </c>
      <c r="G328" s="641" t="s">
        <v>227</v>
      </c>
      <c r="H328" s="862"/>
      <c r="I328" s="821"/>
      <c r="J328" s="824"/>
      <c r="K328" s="182" t="s">
        <v>477</v>
      </c>
      <c r="L328" s="183"/>
      <c r="M328" s="183"/>
      <c r="N328" s="183"/>
      <c r="O328" s="183"/>
      <c r="P328" s="183"/>
      <c r="Q328" s="183"/>
      <c r="R328" s="183"/>
      <c r="S328" s="183"/>
      <c r="T328" s="183"/>
      <c r="U328" s="368"/>
      <c r="V328" s="368"/>
      <c r="W328" s="368"/>
      <c r="X328" s="183"/>
      <c r="Y328" s="183"/>
      <c r="Z328" s="183"/>
      <c r="AA328" s="183"/>
      <c r="AB328" s="183"/>
      <c r="AC328" s="183"/>
      <c r="AD328" s="183"/>
      <c r="AE328" s="183"/>
      <c r="AF328" s="183"/>
      <c r="AG328" s="183"/>
      <c r="AH328" s="183"/>
      <c r="AI328" s="183"/>
      <c r="AJ328" s="183"/>
      <c r="AK328" s="183"/>
      <c r="AL328" s="183"/>
      <c r="AM328" s="183"/>
      <c r="AN328" s="186"/>
      <c r="AO328" s="186"/>
      <c r="AP328" s="185">
        <f>10000000+5000000-9600000</f>
        <v>5400000</v>
      </c>
      <c r="AQ328" s="185"/>
      <c r="AR328" s="185"/>
      <c r="AS328" s="186"/>
      <c r="AT328" s="186"/>
      <c r="AU328" s="186"/>
      <c r="AV328" s="186"/>
      <c r="AW328" s="186"/>
      <c r="AX328" s="186"/>
      <c r="AY328" s="37">
        <f t="shared" si="376"/>
        <v>5400000</v>
      </c>
      <c r="AZ328" s="37">
        <f t="shared" si="377"/>
        <v>0</v>
      </c>
      <c r="BA328" s="37">
        <f t="shared" si="378"/>
        <v>0</v>
      </c>
    </row>
    <row r="329" spans="1:53" ht="53.25" customHeight="1" x14ac:dyDescent="0.25">
      <c r="A329" s="27"/>
      <c r="B329" s="19"/>
      <c r="C329" s="182">
        <v>19</v>
      </c>
      <c r="D329" s="641" t="s">
        <v>589</v>
      </c>
      <c r="E329" s="302"/>
      <c r="F329" s="31">
        <v>90</v>
      </c>
      <c r="G329" s="29" t="s">
        <v>228</v>
      </c>
      <c r="H329" s="862"/>
      <c r="I329" s="821"/>
      <c r="J329" s="824"/>
      <c r="K329" s="31" t="s">
        <v>477</v>
      </c>
      <c r="L329" s="33"/>
      <c r="M329" s="33"/>
      <c r="N329" s="33"/>
      <c r="O329" s="33"/>
      <c r="P329" s="33"/>
      <c r="Q329" s="33"/>
      <c r="R329" s="33"/>
      <c r="S329" s="33"/>
      <c r="T329" s="33"/>
      <c r="U329" s="369"/>
      <c r="V329" s="369"/>
      <c r="W329" s="369"/>
      <c r="X329" s="33"/>
      <c r="Y329" s="33"/>
      <c r="Z329" s="33"/>
      <c r="AA329" s="33"/>
      <c r="AB329" s="33"/>
      <c r="AC329" s="33"/>
      <c r="AD329" s="33"/>
      <c r="AE329" s="33"/>
      <c r="AF329" s="33"/>
      <c r="AG329" s="33"/>
      <c r="AH329" s="33"/>
      <c r="AI329" s="33"/>
      <c r="AJ329" s="33"/>
      <c r="AK329" s="33"/>
      <c r="AL329" s="33"/>
      <c r="AM329" s="33"/>
      <c r="AN329" s="36"/>
      <c r="AO329" s="36"/>
      <c r="AP329" s="35">
        <f>20000000+5000000</f>
        <v>25000000</v>
      </c>
      <c r="AQ329" s="35">
        <v>18360000</v>
      </c>
      <c r="AR329" s="35">
        <v>18360000</v>
      </c>
      <c r="AS329" s="36"/>
      <c r="AT329" s="36"/>
      <c r="AU329" s="36"/>
      <c r="AV329" s="36"/>
      <c r="AW329" s="36"/>
      <c r="AX329" s="36"/>
      <c r="AY329" s="37">
        <f t="shared" si="376"/>
        <v>25000000</v>
      </c>
      <c r="AZ329" s="37">
        <f t="shared" si="377"/>
        <v>18360000</v>
      </c>
      <c r="BA329" s="37">
        <f t="shared" si="378"/>
        <v>18360000</v>
      </c>
    </row>
    <row r="330" spans="1:53" ht="74.25" customHeight="1" x14ac:dyDescent="0.25">
      <c r="A330" s="27"/>
      <c r="B330" s="19"/>
      <c r="C330" s="182">
        <v>19</v>
      </c>
      <c r="D330" s="641" t="s">
        <v>589</v>
      </c>
      <c r="E330" s="302"/>
      <c r="F330" s="31">
        <v>91</v>
      </c>
      <c r="G330" s="29" t="s">
        <v>229</v>
      </c>
      <c r="H330" s="862"/>
      <c r="I330" s="821"/>
      <c r="J330" s="824"/>
      <c r="K330" s="31" t="s">
        <v>466</v>
      </c>
      <c r="L330" s="33"/>
      <c r="M330" s="33"/>
      <c r="N330" s="33"/>
      <c r="O330" s="33"/>
      <c r="P330" s="33"/>
      <c r="Q330" s="33"/>
      <c r="R330" s="33"/>
      <c r="S330" s="33"/>
      <c r="T330" s="33"/>
      <c r="U330" s="33"/>
      <c r="V330" s="33"/>
      <c r="W330" s="33"/>
      <c r="X330" s="33"/>
      <c r="Y330" s="33"/>
      <c r="Z330" s="33"/>
      <c r="AA330" s="33"/>
      <c r="AB330" s="33"/>
      <c r="AC330" s="33"/>
      <c r="AD330" s="33">
        <f>25000000+18000000</f>
        <v>43000000</v>
      </c>
      <c r="AE330" s="33"/>
      <c r="AF330" s="33"/>
      <c r="AG330" s="33"/>
      <c r="AH330" s="33"/>
      <c r="AI330" s="33"/>
      <c r="AJ330" s="33"/>
      <c r="AK330" s="33"/>
      <c r="AL330" s="33"/>
      <c r="AM330" s="33"/>
      <c r="AN330" s="36"/>
      <c r="AO330" s="36"/>
      <c r="AP330" s="35"/>
      <c r="AQ330" s="35"/>
      <c r="AR330" s="35"/>
      <c r="AS330" s="36"/>
      <c r="AT330" s="36"/>
      <c r="AU330" s="36"/>
      <c r="AV330" s="36"/>
      <c r="AW330" s="36"/>
      <c r="AX330" s="36"/>
      <c r="AY330" s="37">
        <f t="shared" si="376"/>
        <v>43000000</v>
      </c>
      <c r="AZ330" s="37">
        <f t="shared" si="377"/>
        <v>0</v>
      </c>
      <c r="BA330" s="37">
        <f t="shared" si="378"/>
        <v>0</v>
      </c>
    </row>
    <row r="331" spans="1:53" ht="18.75" customHeight="1" x14ac:dyDescent="0.25">
      <c r="A331" s="27"/>
      <c r="B331" s="19"/>
      <c r="C331" s="647"/>
      <c r="D331" s="639"/>
      <c r="E331" s="370"/>
      <c r="F331" s="41"/>
      <c r="G331" s="40"/>
      <c r="H331" s="371"/>
      <c r="I331" s="685"/>
      <c r="J331" s="40"/>
      <c r="K331" s="41"/>
      <c r="L331" s="43"/>
      <c r="M331" s="43"/>
      <c r="N331" s="43"/>
      <c r="O331" s="43"/>
      <c r="P331" s="43"/>
      <c r="Q331" s="43"/>
      <c r="R331" s="43"/>
      <c r="S331" s="43"/>
      <c r="T331" s="43"/>
      <c r="U331" s="43"/>
      <c r="V331" s="43"/>
      <c r="W331" s="43"/>
      <c r="X331" s="43"/>
      <c r="Y331" s="43"/>
      <c r="Z331" s="43"/>
      <c r="AA331" s="43"/>
      <c r="AB331" s="43"/>
      <c r="AC331" s="43"/>
      <c r="AD331" s="43">
        <f>SUM(AD325:AD330)</f>
        <v>68000000</v>
      </c>
      <c r="AE331" s="43">
        <f t="shared" ref="AE331:AF331" si="379">SUM(AE325:AE330)</f>
        <v>0</v>
      </c>
      <c r="AF331" s="43">
        <f t="shared" si="379"/>
        <v>0</v>
      </c>
      <c r="AG331" s="43"/>
      <c r="AH331" s="43"/>
      <c r="AI331" s="43"/>
      <c r="AJ331" s="43"/>
      <c r="AK331" s="43"/>
      <c r="AL331" s="43"/>
      <c r="AM331" s="43"/>
      <c r="AN331" s="43"/>
      <c r="AO331" s="43"/>
      <c r="AP331" s="173">
        <f>SUM(AP325:AP330)</f>
        <v>146778000</v>
      </c>
      <c r="AQ331" s="173">
        <f t="shared" ref="AQ331:AR331" si="380">SUM(AQ325:AQ330)</f>
        <v>38960000</v>
      </c>
      <c r="AR331" s="173">
        <f t="shared" si="380"/>
        <v>18360000</v>
      </c>
      <c r="AS331" s="173">
        <f>SUM(AS325:AS330)</f>
        <v>0</v>
      </c>
      <c r="AT331" s="173"/>
      <c r="AU331" s="173"/>
      <c r="AV331" s="173">
        <f>SUM(AV325:AV330)</f>
        <v>0</v>
      </c>
      <c r="AW331" s="173"/>
      <c r="AX331" s="173"/>
      <c r="AY331" s="173">
        <f>SUM(AY325:AY330)</f>
        <v>214778000</v>
      </c>
      <c r="AZ331" s="173">
        <f t="shared" ref="AZ331:BA331" si="381">SUM(AZ325:AZ330)</f>
        <v>38960000</v>
      </c>
      <c r="BA331" s="173">
        <f t="shared" si="381"/>
        <v>18360000</v>
      </c>
    </row>
    <row r="332" spans="1:53" ht="15" x14ac:dyDescent="0.25">
      <c r="A332" s="27"/>
      <c r="B332" s="27"/>
      <c r="C332" s="651"/>
      <c r="D332" s="58"/>
      <c r="E332" s="58"/>
      <c r="F332" s="651"/>
      <c r="G332" s="58"/>
      <c r="H332" s="216"/>
      <c r="I332" s="700"/>
      <c r="J332" s="108"/>
      <c r="K332" s="651"/>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145"/>
      <c r="AI332" s="145"/>
      <c r="AJ332" s="145"/>
      <c r="AK332" s="145"/>
      <c r="AL332" s="145"/>
      <c r="AM332" s="145"/>
      <c r="AN332" s="145"/>
      <c r="AO332" s="145"/>
      <c r="AP332" s="357"/>
      <c r="AQ332" s="357"/>
      <c r="AR332" s="357"/>
      <c r="AS332" s="60"/>
      <c r="AT332" s="60"/>
      <c r="AU332" s="60"/>
      <c r="AV332" s="60"/>
      <c r="AW332" s="145"/>
      <c r="AX332" s="145"/>
      <c r="AY332" s="64"/>
      <c r="AZ332" s="64"/>
      <c r="BA332" s="64"/>
    </row>
    <row r="333" spans="1:53" ht="15" x14ac:dyDescent="0.25">
      <c r="A333" s="27"/>
      <c r="B333" s="27"/>
      <c r="C333" s="204"/>
      <c r="D333" s="641"/>
      <c r="E333" s="76">
        <v>22</v>
      </c>
      <c r="F333" s="78" t="s">
        <v>590</v>
      </c>
      <c r="G333" s="78"/>
      <c r="H333" s="78"/>
      <c r="I333" s="222"/>
      <c r="J333" s="78"/>
      <c r="K333" s="78"/>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80"/>
      <c r="AQ333" s="80"/>
      <c r="AR333" s="80"/>
      <c r="AS333" s="79"/>
      <c r="AT333" s="79"/>
      <c r="AU333" s="79"/>
      <c r="AV333" s="79"/>
      <c r="AW333" s="79"/>
      <c r="AX333" s="79"/>
      <c r="AY333" s="230"/>
      <c r="AZ333" s="230"/>
      <c r="BA333" s="230"/>
    </row>
    <row r="334" spans="1:53" ht="136.5" customHeight="1" x14ac:dyDescent="0.25">
      <c r="A334" s="178"/>
      <c r="B334" s="178"/>
      <c r="C334" s="182" t="s">
        <v>591</v>
      </c>
      <c r="D334" s="641" t="s">
        <v>592</v>
      </c>
      <c r="E334" s="641"/>
      <c r="F334" s="182">
        <v>97</v>
      </c>
      <c r="G334" s="641" t="s">
        <v>593</v>
      </c>
      <c r="H334" s="372" t="s">
        <v>581</v>
      </c>
      <c r="I334" s="672" t="s">
        <v>230</v>
      </c>
      <c r="J334" s="641" t="s">
        <v>231</v>
      </c>
      <c r="K334" s="182" t="s">
        <v>477</v>
      </c>
      <c r="L334" s="183"/>
      <c r="M334" s="183"/>
      <c r="N334" s="183"/>
      <c r="O334" s="183"/>
      <c r="P334" s="183"/>
      <c r="Q334" s="183"/>
      <c r="R334" s="183"/>
      <c r="S334" s="183"/>
      <c r="T334" s="183"/>
      <c r="U334" s="183"/>
      <c r="V334" s="183"/>
      <c r="W334" s="183"/>
      <c r="X334" s="183"/>
      <c r="Y334" s="373"/>
      <c r="Z334" s="373"/>
      <c r="AA334" s="373"/>
      <c r="AB334" s="373"/>
      <c r="AC334" s="373"/>
      <c r="AD334" s="374"/>
      <c r="AE334" s="374"/>
      <c r="AF334" s="374"/>
      <c r="AG334" s="373"/>
      <c r="AH334" s="373"/>
      <c r="AI334" s="373"/>
      <c r="AJ334" s="373"/>
      <c r="AK334" s="373"/>
      <c r="AL334" s="373"/>
      <c r="AM334" s="183"/>
      <c r="AN334" s="186"/>
      <c r="AO334" s="186"/>
      <c r="AP334" s="185">
        <f>10000000+10000000</f>
        <v>20000000</v>
      </c>
      <c r="AQ334" s="185">
        <v>19200000</v>
      </c>
      <c r="AR334" s="185">
        <v>6400000</v>
      </c>
      <c r="AS334" s="186"/>
      <c r="AT334" s="186"/>
      <c r="AU334" s="186"/>
      <c r="AV334" s="186"/>
      <c r="AW334" s="186"/>
      <c r="AX334" s="186"/>
      <c r="AY334" s="37">
        <f t="shared" ref="AY334" si="382">+L334+O334+R334+U334+X334+AA334+AD334+AG334+AJ334+AM334+AP334+AS334+AV334</f>
        <v>20000000</v>
      </c>
      <c r="AZ334" s="37">
        <f t="shared" ref="AZ334" si="383">+M334+P334+S334+V334+Y334+AB334+AE334+AH334+AK334+AN334+AQ334+AT334+AW334</f>
        <v>19200000</v>
      </c>
      <c r="BA334" s="37">
        <f t="shared" ref="BA334" si="384">+N334+Q334+T334+W334+Z334+AC334+AF334+AI334+AL334+AO334+AR334+AU334+AX334</f>
        <v>6400000</v>
      </c>
    </row>
    <row r="335" spans="1:53" ht="18.75" customHeight="1" x14ac:dyDescent="0.25">
      <c r="A335" s="27"/>
      <c r="B335" s="39"/>
      <c r="C335" s="204"/>
      <c r="D335" s="641"/>
      <c r="E335" s="41"/>
      <c r="F335" s="41"/>
      <c r="G335" s="40"/>
      <c r="H335" s="371"/>
      <c r="I335" s="685"/>
      <c r="J335" s="40"/>
      <c r="K335" s="41"/>
      <c r="L335" s="43"/>
      <c r="M335" s="43"/>
      <c r="N335" s="43"/>
      <c r="O335" s="43"/>
      <c r="P335" s="43"/>
      <c r="Q335" s="43"/>
      <c r="R335" s="43"/>
      <c r="S335" s="43"/>
      <c r="T335" s="43"/>
      <c r="U335" s="43">
        <f t="shared" ref="U335" si="385">SUM(U334)</f>
        <v>0</v>
      </c>
      <c r="V335" s="43"/>
      <c r="W335" s="43"/>
      <c r="X335" s="43"/>
      <c r="Y335" s="43"/>
      <c r="Z335" s="43"/>
      <c r="AA335" s="43"/>
      <c r="AB335" s="43"/>
      <c r="AC335" s="43"/>
      <c r="AD335" s="43">
        <f t="shared" ref="AD335:AJ335" si="386">SUM(AD334)</f>
        <v>0</v>
      </c>
      <c r="AE335" s="43">
        <f t="shared" ref="AE335:AF335" si="387">SUM(AE334)</f>
        <v>0</v>
      </c>
      <c r="AF335" s="43">
        <f t="shared" si="387"/>
        <v>0</v>
      </c>
      <c r="AG335" s="43">
        <f t="shared" si="386"/>
        <v>0</v>
      </c>
      <c r="AH335" s="43"/>
      <c r="AI335" s="43"/>
      <c r="AJ335" s="43">
        <f t="shared" si="386"/>
        <v>0</v>
      </c>
      <c r="AK335" s="43"/>
      <c r="AL335" s="43"/>
      <c r="AM335" s="43"/>
      <c r="AN335" s="43"/>
      <c r="AO335" s="43"/>
      <c r="AP335" s="43">
        <f t="shared" ref="AP335:AY335" si="388">SUM(AP334)</f>
        <v>20000000</v>
      </c>
      <c r="AQ335" s="43">
        <f t="shared" ref="AQ335:AR335" si="389">SUM(AQ334)</f>
        <v>19200000</v>
      </c>
      <c r="AR335" s="43">
        <f t="shared" si="389"/>
        <v>6400000</v>
      </c>
      <c r="AS335" s="43">
        <f t="shared" si="388"/>
        <v>0</v>
      </c>
      <c r="AT335" s="43"/>
      <c r="AU335" s="43"/>
      <c r="AV335" s="43">
        <f t="shared" si="388"/>
        <v>0</v>
      </c>
      <c r="AW335" s="43"/>
      <c r="AX335" s="43"/>
      <c r="AY335" s="43">
        <f t="shared" si="388"/>
        <v>20000000</v>
      </c>
      <c r="AZ335" s="43">
        <f t="shared" ref="AZ335:BA335" si="390">SUM(AZ334)</f>
        <v>19200000</v>
      </c>
      <c r="BA335" s="43">
        <f t="shared" si="390"/>
        <v>6400000</v>
      </c>
    </row>
    <row r="336" spans="1:53" ht="21" customHeight="1" x14ac:dyDescent="0.25">
      <c r="A336" s="27"/>
      <c r="B336" s="104"/>
      <c r="C336" s="46"/>
      <c r="D336" s="45"/>
      <c r="E336" s="45"/>
      <c r="F336" s="46"/>
      <c r="G336" s="45"/>
      <c r="H336" s="363"/>
      <c r="I336" s="686"/>
      <c r="J336" s="45"/>
      <c r="K336" s="46"/>
      <c r="L336" s="48">
        <f t="shared" ref="L336:AY336" si="391">L335+L331</f>
        <v>0</v>
      </c>
      <c r="M336" s="48"/>
      <c r="N336" s="48"/>
      <c r="O336" s="48">
        <f t="shared" si="391"/>
        <v>0</v>
      </c>
      <c r="P336" s="48"/>
      <c r="Q336" s="48"/>
      <c r="R336" s="48">
        <f t="shared" si="391"/>
        <v>0</v>
      </c>
      <c r="S336" s="48"/>
      <c r="T336" s="48"/>
      <c r="U336" s="48">
        <f t="shared" si="391"/>
        <v>0</v>
      </c>
      <c r="V336" s="48"/>
      <c r="W336" s="48"/>
      <c r="X336" s="48">
        <f t="shared" si="391"/>
        <v>0</v>
      </c>
      <c r="Y336" s="48"/>
      <c r="Z336" s="48"/>
      <c r="AA336" s="48">
        <f t="shared" si="391"/>
        <v>0</v>
      </c>
      <c r="AB336" s="48"/>
      <c r="AC336" s="48"/>
      <c r="AD336" s="48">
        <f t="shared" si="391"/>
        <v>68000000</v>
      </c>
      <c r="AE336" s="48">
        <f t="shared" ref="AE336:AF336" si="392">AE335+AE331</f>
        <v>0</v>
      </c>
      <c r="AF336" s="48">
        <f t="shared" si="392"/>
        <v>0</v>
      </c>
      <c r="AG336" s="48">
        <f t="shared" si="391"/>
        <v>0</v>
      </c>
      <c r="AH336" s="48"/>
      <c r="AI336" s="48"/>
      <c r="AJ336" s="48">
        <f t="shared" si="391"/>
        <v>0</v>
      </c>
      <c r="AK336" s="48"/>
      <c r="AL336" s="48"/>
      <c r="AM336" s="48">
        <f t="shared" si="391"/>
        <v>0</v>
      </c>
      <c r="AN336" s="48"/>
      <c r="AO336" s="48"/>
      <c r="AP336" s="48">
        <f t="shared" si="391"/>
        <v>166778000</v>
      </c>
      <c r="AQ336" s="48">
        <f t="shared" ref="AQ336:AR336" si="393">AQ335+AQ331</f>
        <v>58160000</v>
      </c>
      <c r="AR336" s="48">
        <f t="shared" si="393"/>
        <v>24760000</v>
      </c>
      <c r="AS336" s="48">
        <f t="shared" si="391"/>
        <v>0</v>
      </c>
      <c r="AT336" s="48"/>
      <c r="AU336" s="48"/>
      <c r="AV336" s="48">
        <f t="shared" si="391"/>
        <v>0</v>
      </c>
      <c r="AW336" s="48"/>
      <c r="AX336" s="48"/>
      <c r="AY336" s="48">
        <f t="shared" si="391"/>
        <v>234778000</v>
      </c>
      <c r="AZ336" s="48">
        <f t="shared" ref="AZ336:BA336" si="394">AZ335+AZ331</f>
        <v>58160000</v>
      </c>
      <c r="BA336" s="48">
        <f t="shared" si="394"/>
        <v>24760000</v>
      </c>
    </row>
    <row r="337" spans="1:53" ht="15" x14ac:dyDescent="0.25">
      <c r="A337" s="27"/>
      <c r="B337" s="253"/>
      <c r="C337" s="144"/>
      <c r="D337" s="253"/>
      <c r="E337" s="253"/>
      <c r="F337" s="144"/>
      <c r="G337" s="253"/>
      <c r="H337" s="375"/>
      <c r="I337" s="697"/>
      <c r="J337" s="141"/>
      <c r="K337" s="144"/>
      <c r="L337" s="233"/>
      <c r="M337" s="233"/>
      <c r="N337" s="233"/>
      <c r="O337" s="233"/>
      <c r="P337" s="145"/>
      <c r="Q337" s="145"/>
      <c r="R337" s="145"/>
      <c r="S337" s="145"/>
      <c r="T337" s="145"/>
      <c r="U337" s="145"/>
      <c r="V337" s="145"/>
      <c r="W337" s="145"/>
      <c r="X337" s="233"/>
      <c r="Y337" s="233"/>
      <c r="Z337" s="233"/>
      <c r="AA337" s="233"/>
      <c r="AB337" s="233"/>
      <c r="AC337" s="233"/>
      <c r="AD337" s="255"/>
      <c r="AE337" s="255"/>
      <c r="AF337" s="255"/>
      <c r="AG337" s="255"/>
      <c r="AH337" s="63"/>
      <c r="AI337" s="63"/>
      <c r="AJ337" s="145"/>
      <c r="AK337" s="145"/>
      <c r="AL337" s="145"/>
      <c r="AM337" s="145"/>
      <c r="AN337" s="145"/>
      <c r="AO337" s="145"/>
      <c r="AP337" s="248"/>
      <c r="AQ337" s="248"/>
      <c r="AR337" s="248"/>
      <c r="AS337" s="233"/>
      <c r="AT337" s="233"/>
      <c r="AU337" s="233"/>
      <c r="AV337" s="233"/>
      <c r="AW337" s="145"/>
      <c r="AX337" s="145"/>
      <c r="AY337" s="64"/>
      <c r="AZ337" s="64"/>
      <c r="BA337" s="64"/>
    </row>
    <row r="338" spans="1:53" x14ac:dyDescent="0.25">
      <c r="A338" s="27"/>
      <c r="B338" s="154">
        <v>7</v>
      </c>
      <c r="C338" s="634" t="s">
        <v>594</v>
      </c>
      <c r="D338" s="17"/>
      <c r="E338" s="17"/>
      <c r="F338" s="640"/>
      <c r="G338" s="17"/>
      <c r="H338" s="17"/>
      <c r="I338" s="682"/>
      <c r="J338" s="17"/>
      <c r="K338" s="17"/>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3"/>
      <c r="AQ338" s="73"/>
      <c r="AR338" s="73"/>
      <c r="AS338" s="72"/>
      <c r="AT338" s="72"/>
      <c r="AU338" s="72"/>
      <c r="AV338" s="72"/>
      <c r="AW338" s="72"/>
      <c r="AX338" s="72"/>
      <c r="AY338" s="74"/>
      <c r="AZ338" s="74"/>
      <c r="BA338" s="74"/>
    </row>
    <row r="339" spans="1:53" ht="15" x14ac:dyDescent="0.25">
      <c r="A339" s="27"/>
      <c r="B339" s="71"/>
      <c r="C339" s="651"/>
      <c r="D339" s="58"/>
      <c r="E339" s="287">
        <v>23</v>
      </c>
      <c r="F339" s="78" t="s">
        <v>595</v>
      </c>
      <c r="G339" s="78"/>
      <c r="H339" s="78"/>
      <c r="I339" s="222"/>
      <c r="J339" s="78"/>
      <c r="K339" s="78"/>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80"/>
      <c r="AQ339" s="80"/>
      <c r="AR339" s="80"/>
      <c r="AS339" s="79"/>
      <c r="AT339" s="79"/>
      <c r="AU339" s="79"/>
      <c r="AV339" s="79"/>
      <c r="AW339" s="79"/>
      <c r="AX339" s="79"/>
      <c r="AY339" s="81"/>
      <c r="AZ339" s="81"/>
      <c r="BA339" s="81"/>
    </row>
    <row r="340" spans="1:53" ht="93" customHeight="1" x14ac:dyDescent="0.25">
      <c r="A340" s="340"/>
      <c r="B340" s="178"/>
      <c r="C340" s="219">
        <v>17</v>
      </c>
      <c r="D340" s="283" t="s">
        <v>587</v>
      </c>
      <c r="E340" s="220"/>
      <c r="F340" s="182">
        <v>102</v>
      </c>
      <c r="G340" s="641" t="s">
        <v>232</v>
      </c>
      <c r="H340" s="376" t="s">
        <v>581</v>
      </c>
      <c r="I340" s="670" t="s">
        <v>233</v>
      </c>
      <c r="J340" s="644" t="s">
        <v>234</v>
      </c>
      <c r="K340" s="182" t="s">
        <v>477</v>
      </c>
      <c r="L340" s="183"/>
      <c r="M340" s="183"/>
      <c r="N340" s="183"/>
      <c r="O340" s="183"/>
      <c r="P340" s="183"/>
      <c r="Q340" s="183"/>
      <c r="R340" s="183"/>
      <c r="S340" s="183"/>
      <c r="T340" s="183"/>
      <c r="U340" s="183"/>
      <c r="V340" s="183"/>
      <c r="W340" s="183"/>
      <c r="X340" s="183"/>
      <c r="Y340" s="186"/>
      <c r="Z340" s="186"/>
      <c r="AA340" s="186"/>
      <c r="AB340" s="186"/>
      <c r="AC340" s="186"/>
      <c r="AD340" s="377"/>
      <c r="AE340" s="377"/>
      <c r="AF340" s="377"/>
      <c r="AG340" s="377"/>
      <c r="AH340" s="377"/>
      <c r="AI340" s="377"/>
      <c r="AJ340" s="183"/>
      <c r="AK340" s="183"/>
      <c r="AL340" s="183"/>
      <c r="AM340" s="183"/>
      <c r="AN340" s="186"/>
      <c r="AO340" s="186"/>
      <c r="AP340" s="185">
        <f>10000000+10000000</f>
        <v>20000000</v>
      </c>
      <c r="AQ340" s="185"/>
      <c r="AR340" s="185"/>
      <c r="AS340" s="186"/>
      <c r="AT340" s="186"/>
      <c r="AU340" s="186"/>
      <c r="AV340" s="186"/>
      <c r="AW340" s="186"/>
      <c r="AX340" s="186"/>
      <c r="AY340" s="37">
        <f t="shared" ref="AY340" si="395">+L340+O340+R340+U340+X340+AA340+AD340+AG340+AJ340+AM340+AP340+AS340+AV340</f>
        <v>20000000</v>
      </c>
      <c r="AZ340" s="37">
        <f t="shared" ref="AZ340" si="396">+M340+P340+S340+V340+Y340+AB340+AE340+AH340+AK340+AN340+AQ340+AT340+AW340</f>
        <v>0</v>
      </c>
      <c r="BA340" s="37">
        <f t="shared" ref="BA340" si="397">+N340+Q340+T340+W340+Z340+AC340+AF340+AI340+AL340+AO340+AR340+AU340+AX340</f>
        <v>0</v>
      </c>
    </row>
    <row r="341" spans="1:53" ht="15" x14ac:dyDescent="0.25">
      <c r="A341" s="19"/>
      <c r="B341" s="27"/>
      <c r="C341" s="378"/>
      <c r="D341" s="641"/>
      <c r="E341" s="40"/>
      <c r="F341" s="41"/>
      <c r="G341" s="40"/>
      <c r="H341" s="371"/>
      <c r="I341" s="685"/>
      <c r="J341" s="40"/>
      <c r="K341" s="41"/>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173">
        <f>SUM(AP340:AP340)</f>
        <v>20000000</v>
      </c>
      <c r="AQ341" s="173">
        <f t="shared" ref="AQ341:AR341" si="398">SUM(AQ340:AQ340)</f>
        <v>0</v>
      </c>
      <c r="AR341" s="173">
        <f t="shared" si="398"/>
        <v>0</v>
      </c>
      <c r="AS341" s="173">
        <f>SUM(AS340:AS340)</f>
        <v>0</v>
      </c>
      <c r="AT341" s="173"/>
      <c r="AU341" s="173"/>
      <c r="AV341" s="43"/>
      <c r="AW341" s="43"/>
      <c r="AX341" s="43"/>
      <c r="AY341" s="43">
        <f>SUM(AY340:AY340)</f>
        <v>20000000</v>
      </c>
      <c r="AZ341" s="43">
        <f t="shared" ref="AZ341:BA341" si="399">SUM(AZ340:AZ340)</f>
        <v>0</v>
      </c>
      <c r="BA341" s="43">
        <f t="shared" si="399"/>
        <v>0</v>
      </c>
    </row>
    <row r="342" spans="1:53" ht="15" x14ac:dyDescent="0.25">
      <c r="A342" s="19"/>
      <c r="B342" s="27"/>
      <c r="C342" s="651"/>
      <c r="D342" s="58"/>
      <c r="E342" s="58"/>
      <c r="F342" s="651"/>
      <c r="G342" s="58"/>
      <c r="H342" s="216"/>
      <c r="I342" s="700"/>
      <c r="J342" s="108"/>
      <c r="K342" s="651"/>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88"/>
      <c r="AQ342" s="88"/>
      <c r="AR342" s="88"/>
      <c r="AS342" s="60"/>
      <c r="AT342" s="60"/>
      <c r="AU342" s="60"/>
      <c r="AV342" s="60"/>
      <c r="AW342" s="145"/>
      <c r="AX342" s="145"/>
      <c r="AY342" s="64"/>
      <c r="AZ342" s="64"/>
      <c r="BA342" s="64"/>
    </row>
    <row r="343" spans="1:53" ht="15" x14ac:dyDescent="0.25">
      <c r="A343" s="19"/>
      <c r="B343" s="27"/>
      <c r="C343" s="653"/>
      <c r="D343" s="637"/>
      <c r="E343" s="76">
        <v>24</v>
      </c>
      <c r="F343" s="78" t="s">
        <v>596</v>
      </c>
      <c r="G343" s="78"/>
      <c r="H343" s="78"/>
      <c r="I343" s="222"/>
      <c r="J343" s="78"/>
      <c r="K343" s="78"/>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80"/>
      <c r="AQ343" s="80"/>
      <c r="AR343" s="80"/>
      <c r="AS343" s="79"/>
      <c r="AT343" s="79"/>
      <c r="AU343" s="79"/>
      <c r="AV343" s="79"/>
      <c r="AW343" s="79"/>
      <c r="AX343" s="79"/>
      <c r="AY343" s="81"/>
      <c r="AZ343" s="81"/>
      <c r="BA343" s="81"/>
    </row>
    <row r="344" spans="1:53" s="380" customFormat="1" ht="118.5" customHeight="1" x14ac:dyDescent="0.25">
      <c r="A344" s="340"/>
      <c r="B344" s="340"/>
      <c r="C344" s="122" t="s">
        <v>591</v>
      </c>
      <c r="D344" s="379" t="s">
        <v>592</v>
      </c>
      <c r="E344" s="649"/>
      <c r="F344" s="182">
        <v>104</v>
      </c>
      <c r="G344" s="641" t="s">
        <v>235</v>
      </c>
      <c r="H344" s="863" t="s">
        <v>581</v>
      </c>
      <c r="I344" s="838" t="s">
        <v>236</v>
      </c>
      <c r="J344" s="840" t="s">
        <v>237</v>
      </c>
      <c r="K344" s="182" t="s">
        <v>477</v>
      </c>
      <c r="L344" s="183"/>
      <c r="M344" s="183"/>
      <c r="N344" s="183"/>
      <c r="O344" s="183"/>
      <c r="P344" s="183"/>
      <c r="Q344" s="183"/>
      <c r="R344" s="183"/>
      <c r="S344" s="183"/>
      <c r="T344" s="183"/>
      <c r="U344" s="183"/>
      <c r="V344" s="183"/>
      <c r="W344" s="183"/>
      <c r="X344" s="183"/>
      <c r="Y344" s="183"/>
      <c r="Z344" s="183"/>
      <c r="AA344" s="183"/>
      <c r="AB344" s="183"/>
      <c r="AC344" s="183"/>
      <c r="AD344" s="218"/>
      <c r="AE344" s="218"/>
      <c r="AF344" s="218"/>
      <c r="AG344" s="218"/>
      <c r="AH344" s="218"/>
      <c r="AI344" s="218"/>
      <c r="AJ344" s="183"/>
      <c r="AK344" s="183"/>
      <c r="AL344" s="183"/>
      <c r="AM344" s="183"/>
      <c r="AN344" s="186"/>
      <c r="AO344" s="186"/>
      <c r="AP344" s="185">
        <f>20000000+46000000</f>
        <v>66000000</v>
      </c>
      <c r="AQ344" s="185">
        <v>12513333</v>
      </c>
      <c r="AR344" s="185"/>
      <c r="AS344" s="186"/>
      <c r="AT344" s="186"/>
      <c r="AU344" s="186"/>
      <c r="AV344" s="186"/>
      <c r="AW344" s="186"/>
      <c r="AX344" s="186"/>
      <c r="AY344" s="37">
        <f t="shared" ref="AY344:AY347" si="400">+L344+O344+R344+U344+X344+AA344+AD344+AG344+AJ344+AM344+AP344+AS344+AV344</f>
        <v>66000000</v>
      </c>
      <c r="AZ344" s="37">
        <f t="shared" ref="AZ344:AZ347" si="401">+M344+P344+S344+V344+Y344+AB344+AE344+AH344+AK344+AN344+AQ344+AT344+AW344</f>
        <v>12513333</v>
      </c>
      <c r="BA344" s="37">
        <f t="shared" ref="BA344:BA347" si="402">+N344+Q344+T344+W344+Z344+AC344+AF344+AI344+AL344+AO344+AR344+AU344+AX344</f>
        <v>0</v>
      </c>
    </row>
    <row r="345" spans="1:53" s="380" customFormat="1" ht="68.25" customHeight="1" x14ac:dyDescent="0.25">
      <c r="A345" s="340"/>
      <c r="B345" s="340"/>
      <c r="C345" s="649">
        <v>18</v>
      </c>
      <c r="D345" s="641" t="s">
        <v>597</v>
      </c>
      <c r="E345" s="649"/>
      <c r="F345" s="182">
        <v>105</v>
      </c>
      <c r="G345" s="641" t="s">
        <v>238</v>
      </c>
      <c r="H345" s="864"/>
      <c r="I345" s="821"/>
      <c r="J345" s="824"/>
      <c r="K345" s="182" t="s">
        <v>466</v>
      </c>
      <c r="L345" s="183"/>
      <c r="M345" s="183"/>
      <c r="N345" s="183"/>
      <c r="O345" s="183"/>
      <c r="P345" s="183"/>
      <c r="Q345" s="183"/>
      <c r="R345" s="183"/>
      <c r="S345" s="183"/>
      <c r="T345" s="183"/>
      <c r="U345" s="183"/>
      <c r="V345" s="183"/>
      <c r="W345" s="183"/>
      <c r="X345" s="183"/>
      <c r="Y345" s="183"/>
      <c r="Z345" s="183"/>
      <c r="AA345" s="183"/>
      <c r="AB345" s="183"/>
      <c r="AC345" s="183"/>
      <c r="AD345" s="218"/>
      <c r="AE345" s="218"/>
      <c r="AF345" s="218"/>
      <c r="AG345" s="218"/>
      <c r="AH345" s="218"/>
      <c r="AI345" s="218"/>
      <c r="AJ345" s="183"/>
      <c r="AK345" s="183"/>
      <c r="AL345" s="183"/>
      <c r="AM345" s="183"/>
      <c r="AN345" s="186"/>
      <c r="AO345" s="186"/>
      <c r="AP345" s="185">
        <f>126778000-76778000-46161500</f>
        <v>3838500</v>
      </c>
      <c r="AQ345" s="185"/>
      <c r="AR345" s="185"/>
      <c r="AS345" s="186"/>
      <c r="AT345" s="186"/>
      <c r="AU345" s="186"/>
      <c r="AV345" s="186"/>
      <c r="AW345" s="186"/>
      <c r="AX345" s="186"/>
      <c r="AY345" s="37">
        <f t="shared" si="400"/>
        <v>3838500</v>
      </c>
      <c r="AZ345" s="37">
        <f t="shared" si="401"/>
        <v>0</v>
      </c>
      <c r="BA345" s="37">
        <f t="shared" si="402"/>
        <v>0</v>
      </c>
    </row>
    <row r="346" spans="1:53" s="380" customFormat="1" ht="60" customHeight="1" x14ac:dyDescent="0.25">
      <c r="A346" s="340"/>
      <c r="B346" s="340"/>
      <c r="C346" s="649">
        <v>18</v>
      </c>
      <c r="D346" s="641" t="s">
        <v>597</v>
      </c>
      <c r="E346" s="649"/>
      <c r="F346" s="648">
        <v>106</v>
      </c>
      <c r="G346" s="645" t="s">
        <v>239</v>
      </c>
      <c r="H346" s="864"/>
      <c r="I346" s="821"/>
      <c r="J346" s="824"/>
      <c r="K346" s="648" t="s">
        <v>466</v>
      </c>
      <c r="L346" s="343"/>
      <c r="M346" s="343"/>
      <c r="N346" s="343"/>
      <c r="O346" s="343"/>
      <c r="P346" s="343"/>
      <c r="Q346" s="343"/>
      <c r="R346" s="343"/>
      <c r="S346" s="343"/>
      <c r="T346" s="343"/>
      <c r="U346" s="343"/>
      <c r="V346" s="343"/>
      <c r="W346" s="343"/>
      <c r="X346" s="343"/>
      <c r="Y346" s="343"/>
      <c r="Z346" s="343"/>
      <c r="AA346" s="343"/>
      <c r="AB346" s="343"/>
      <c r="AC346" s="343"/>
      <c r="AD346" s="381"/>
      <c r="AE346" s="381"/>
      <c r="AF346" s="381"/>
      <c r="AG346" s="381"/>
      <c r="AH346" s="381"/>
      <c r="AI346" s="381"/>
      <c r="AJ346" s="343"/>
      <c r="AK346" s="343"/>
      <c r="AL346" s="343"/>
      <c r="AM346" s="343"/>
      <c r="AN346" s="344"/>
      <c r="AO346" s="344"/>
      <c r="AP346" s="345">
        <f>30000000+20000000+161500</f>
        <v>50161500</v>
      </c>
      <c r="AQ346" s="345"/>
      <c r="AR346" s="345"/>
      <c r="AS346" s="344"/>
      <c r="AT346" s="344"/>
      <c r="AU346" s="344"/>
      <c r="AV346" s="344"/>
      <c r="AW346" s="344"/>
      <c r="AX346" s="344"/>
      <c r="AY346" s="37">
        <f t="shared" si="400"/>
        <v>50161500</v>
      </c>
      <c r="AZ346" s="37">
        <f t="shared" si="401"/>
        <v>0</v>
      </c>
      <c r="BA346" s="37">
        <f t="shared" si="402"/>
        <v>0</v>
      </c>
    </row>
    <row r="347" spans="1:53" s="380" customFormat="1" ht="84.75" customHeight="1" x14ac:dyDescent="0.25">
      <c r="A347" s="340"/>
      <c r="B347" s="340"/>
      <c r="C347" s="649">
        <v>18</v>
      </c>
      <c r="D347" s="641" t="s">
        <v>597</v>
      </c>
      <c r="E347" s="28"/>
      <c r="F347" s="182">
        <v>107</v>
      </c>
      <c r="G347" s="641" t="s">
        <v>240</v>
      </c>
      <c r="H347" s="382" t="s">
        <v>581</v>
      </c>
      <c r="I347" s="711" t="s">
        <v>241</v>
      </c>
      <c r="J347" s="641" t="s">
        <v>242</v>
      </c>
      <c r="K347" s="182" t="s">
        <v>466</v>
      </c>
      <c r="L347" s="183"/>
      <c r="M347" s="183"/>
      <c r="N347" s="183"/>
      <c r="O347" s="183"/>
      <c r="P347" s="183"/>
      <c r="Q347" s="183"/>
      <c r="R347" s="183"/>
      <c r="S347" s="183"/>
      <c r="T347" s="183"/>
      <c r="U347" s="383">
        <v>50000000</v>
      </c>
      <c r="V347" s="383"/>
      <c r="W347" s="383"/>
      <c r="X347" s="183"/>
      <c r="Y347" s="183"/>
      <c r="Z347" s="183"/>
      <c r="AA347" s="183"/>
      <c r="AB347" s="183"/>
      <c r="AC347" s="183"/>
      <c r="AD347" s="218"/>
      <c r="AE347" s="218"/>
      <c r="AF347" s="218"/>
      <c r="AG347" s="218"/>
      <c r="AH347" s="377"/>
      <c r="AI347" s="377"/>
      <c r="AJ347" s="186"/>
      <c r="AK347" s="186"/>
      <c r="AL347" s="186"/>
      <c r="AM347" s="186"/>
      <c r="AN347" s="186"/>
      <c r="AO347" s="186"/>
      <c r="AP347" s="198">
        <f>145000000+5000000</f>
        <v>150000000</v>
      </c>
      <c r="AQ347" s="198">
        <v>100000000</v>
      </c>
      <c r="AR347" s="198">
        <v>100000000</v>
      </c>
      <c r="AS347" s="183"/>
      <c r="AT347" s="183"/>
      <c r="AU347" s="183"/>
      <c r="AV347" s="183"/>
      <c r="AW347" s="183"/>
      <c r="AX347" s="183"/>
      <c r="AY347" s="37">
        <f t="shared" si="400"/>
        <v>200000000</v>
      </c>
      <c r="AZ347" s="37">
        <f t="shared" si="401"/>
        <v>100000000</v>
      </c>
      <c r="BA347" s="37">
        <f t="shared" si="402"/>
        <v>100000000</v>
      </c>
    </row>
    <row r="348" spans="1:53" s="380" customFormat="1" ht="15" x14ac:dyDescent="0.25">
      <c r="A348" s="19"/>
      <c r="B348" s="39"/>
      <c r="C348" s="276"/>
      <c r="D348" s="639"/>
      <c r="E348" s="384"/>
      <c r="F348" s="385"/>
      <c r="G348" s="384"/>
      <c r="H348" s="386"/>
      <c r="I348" s="712"/>
      <c r="J348" s="384"/>
      <c r="K348" s="385"/>
      <c r="L348" s="387"/>
      <c r="M348" s="387"/>
      <c r="N348" s="387"/>
      <c r="O348" s="387"/>
      <c r="P348" s="387"/>
      <c r="Q348" s="387"/>
      <c r="R348" s="387"/>
      <c r="S348" s="387"/>
      <c r="T348" s="387"/>
      <c r="U348" s="387">
        <f>SUM(U344:U347)</f>
        <v>50000000</v>
      </c>
      <c r="V348" s="387">
        <f t="shared" ref="V348:W348" si="403">SUM(V344:V347)</f>
        <v>0</v>
      </c>
      <c r="W348" s="387">
        <f t="shared" si="403"/>
        <v>0</v>
      </c>
      <c r="X348" s="387"/>
      <c r="Y348" s="387"/>
      <c r="Z348" s="387"/>
      <c r="AA348" s="387"/>
      <c r="AB348" s="387"/>
      <c r="AC348" s="387"/>
      <c r="AD348" s="387">
        <f>SUM(AD344:AD347)</f>
        <v>0</v>
      </c>
      <c r="AE348" s="387"/>
      <c r="AF348" s="387"/>
      <c r="AG348" s="387">
        <f>SUM(AG344:AG347)</f>
        <v>0</v>
      </c>
      <c r="AH348" s="387"/>
      <c r="AI348" s="387"/>
      <c r="AJ348" s="387">
        <f>SUM(AJ344:AJ347)</f>
        <v>0</v>
      </c>
      <c r="AK348" s="387"/>
      <c r="AL348" s="387"/>
      <c r="AM348" s="387"/>
      <c r="AN348" s="387"/>
      <c r="AO348" s="387"/>
      <c r="AP348" s="387">
        <f>SUM(AP344:AP347)</f>
        <v>270000000</v>
      </c>
      <c r="AQ348" s="387">
        <f t="shared" ref="AQ348:AR348" si="404">SUM(AQ344:AQ347)</f>
        <v>112513333</v>
      </c>
      <c r="AR348" s="387">
        <f t="shared" si="404"/>
        <v>100000000</v>
      </c>
      <c r="AS348" s="387">
        <f>SUM(AS344:AS347)</f>
        <v>0</v>
      </c>
      <c r="AT348" s="387"/>
      <c r="AU348" s="387"/>
      <c r="AV348" s="387">
        <f>SUM(AV344:AV347)</f>
        <v>0</v>
      </c>
      <c r="AW348" s="387"/>
      <c r="AX348" s="387"/>
      <c r="AY348" s="387">
        <f>SUM(AY344:AY347)</f>
        <v>320000000</v>
      </c>
      <c r="AZ348" s="387">
        <f t="shared" ref="AZ348:BA348" si="405">SUM(AZ344:AZ347)</f>
        <v>112513333</v>
      </c>
      <c r="BA348" s="387">
        <f t="shared" si="405"/>
        <v>100000000</v>
      </c>
    </row>
    <row r="349" spans="1:53" s="380" customFormat="1" ht="15" x14ac:dyDescent="0.25">
      <c r="A349" s="27"/>
      <c r="B349" s="388"/>
      <c r="C349" s="46"/>
      <c r="D349" s="45"/>
      <c r="E349" s="45"/>
      <c r="F349" s="46"/>
      <c r="G349" s="45"/>
      <c r="H349" s="389"/>
      <c r="I349" s="686"/>
      <c r="J349" s="45"/>
      <c r="K349" s="46"/>
      <c r="L349" s="48"/>
      <c r="M349" s="48"/>
      <c r="N349" s="48"/>
      <c r="O349" s="48"/>
      <c r="P349" s="48"/>
      <c r="Q349" s="48"/>
      <c r="R349" s="48"/>
      <c r="S349" s="48"/>
      <c r="T349" s="48"/>
      <c r="U349" s="48">
        <f>U348+U341</f>
        <v>50000000</v>
      </c>
      <c r="V349" s="48">
        <f t="shared" ref="V349:W349" si="406">V348+V341</f>
        <v>0</v>
      </c>
      <c r="W349" s="48">
        <f t="shared" si="406"/>
        <v>0</v>
      </c>
      <c r="X349" s="48"/>
      <c r="Y349" s="48"/>
      <c r="Z349" s="48"/>
      <c r="AA349" s="48"/>
      <c r="AB349" s="48"/>
      <c r="AC349" s="48"/>
      <c r="AD349" s="48">
        <f>AD348+AD341</f>
        <v>0</v>
      </c>
      <c r="AE349" s="48"/>
      <c r="AF349" s="48"/>
      <c r="AG349" s="48">
        <f>AG348+AG341</f>
        <v>0</v>
      </c>
      <c r="AH349" s="48"/>
      <c r="AI349" s="48"/>
      <c r="AJ349" s="48">
        <f>AJ348+AJ341</f>
        <v>0</v>
      </c>
      <c r="AK349" s="48"/>
      <c r="AL349" s="48"/>
      <c r="AM349" s="48"/>
      <c r="AN349" s="48"/>
      <c r="AO349" s="48"/>
      <c r="AP349" s="48">
        <f>AP348+AP341</f>
        <v>290000000</v>
      </c>
      <c r="AQ349" s="48">
        <f t="shared" ref="AQ349:AR349" si="407">AQ348+AQ341</f>
        <v>112513333</v>
      </c>
      <c r="AR349" s="48">
        <f t="shared" si="407"/>
        <v>100000000</v>
      </c>
      <c r="AS349" s="48">
        <f>AS348+AS341</f>
        <v>0</v>
      </c>
      <c r="AT349" s="48"/>
      <c r="AU349" s="48"/>
      <c r="AV349" s="48">
        <f>AV348+AV341</f>
        <v>0</v>
      </c>
      <c r="AW349" s="48"/>
      <c r="AX349" s="48"/>
      <c r="AY349" s="48">
        <f>AY348+AY341</f>
        <v>340000000</v>
      </c>
      <c r="AZ349" s="48">
        <f t="shared" ref="AZ349:BA349" si="408">AZ348+AZ341</f>
        <v>112513333</v>
      </c>
      <c r="BA349" s="48">
        <f t="shared" si="408"/>
        <v>100000000</v>
      </c>
    </row>
    <row r="350" spans="1:53" s="380" customFormat="1" ht="15" x14ac:dyDescent="0.2">
      <c r="A350" s="27"/>
      <c r="B350" s="58"/>
      <c r="C350" s="651"/>
      <c r="D350" s="58"/>
      <c r="E350" s="58"/>
      <c r="F350" s="651"/>
      <c r="G350" s="58"/>
      <c r="H350" s="356"/>
      <c r="I350" s="700"/>
      <c r="J350" s="108"/>
      <c r="K350" s="651"/>
      <c r="L350" s="60"/>
      <c r="M350" s="60"/>
      <c r="N350" s="60"/>
      <c r="O350" s="60"/>
      <c r="P350" s="145"/>
      <c r="Q350" s="145"/>
      <c r="R350" s="145"/>
      <c r="S350" s="145"/>
      <c r="T350" s="145"/>
      <c r="U350" s="145"/>
      <c r="V350" s="145"/>
      <c r="W350" s="145"/>
      <c r="X350" s="60"/>
      <c r="Y350" s="60"/>
      <c r="Z350" s="60"/>
      <c r="AA350" s="60"/>
      <c r="AB350" s="60"/>
      <c r="AC350" s="60"/>
      <c r="AD350" s="60"/>
      <c r="AE350" s="60"/>
      <c r="AF350" s="60"/>
      <c r="AG350" s="60"/>
      <c r="AH350" s="145"/>
      <c r="AI350" s="145"/>
      <c r="AJ350" s="145"/>
      <c r="AK350" s="145"/>
      <c r="AL350" s="145"/>
      <c r="AM350" s="145"/>
      <c r="AN350" s="145"/>
      <c r="AO350" s="145"/>
      <c r="AP350" s="357"/>
      <c r="AQ350" s="357"/>
      <c r="AR350" s="357"/>
      <c r="AS350" s="60"/>
      <c r="AT350" s="145"/>
      <c r="AU350" s="145"/>
      <c r="AV350" s="145"/>
      <c r="AW350" s="145"/>
      <c r="AX350" s="145"/>
      <c r="AY350" s="390"/>
      <c r="AZ350" s="390"/>
      <c r="BA350" s="390"/>
    </row>
    <row r="351" spans="1:53" s="380" customFormat="1" x14ac:dyDescent="0.25">
      <c r="A351" s="27"/>
      <c r="B351" s="154">
        <v>8</v>
      </c>
      <c r="C351" s="634" t="s">
        <v>598</v>
      </c>
      <c r="D351" s="17"/>
      <c r="E351" s="17"/>
      <c r="F351" s="640"/>
      <c r="G351" s="17"/>
      <c r="H351" s="17"/>
      <c r="I351" s="682"/>
      <c r="J351" s="17"/>
      <c r="K351" s="17"/>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3"/>
      <c r="AQ351" s="73"/>
      <c r="AR351" s="73"/>
      <c r="AS351" s="72"/>
      <c r="AT351" s="72"/>
      <c r="AU351" s="72"/>
      <c r="AV351" s="72"/>
      <c r="AW351" s="72"/>
      <c r="AX351" s="72"/>
      <c r="AY351" s="74"/>
      <c r="AZ351" s="74"/>
      <c r="BA351" s="74"/>
    </row>
    <row r="352" spans="1:53" s="380" customFormat="1" ht="15" x14ac:dyDescent="0.25">
      <c r="A352" s="27"/>
      <c r="B352" s="71"/>
      <c r="C352" s="651"/>
      <c r="D352" s="58"/>
      <c r="E352" s="287">
        <v>25</v>
      </c>
      <c r="F352" s="78" t="s">
        <v>599</v>
      </c>
      <c r="G352" s="78"/>
      <c r="H352" s="78"/>
      <c r="I352" s="222"/>
      <c r="J352" s="78"/>
      <c r="K352" s="78"/>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80"/>
      <c r="AQ352" s="80"/>
      <c r="AR352" s="80"/>
      <c r="AS352" s="79"/>
      <c r="AT352" s="79"/>
      <c r="AU352" s="79"/>
      <c r="AV352" s="79"/>
      <c r="AW352" s="79"/>
      <c r="AX352" s="79"/>
      <c r="AY352" s="81"/>
      <c r="AZ352" s="81"/>
      <c r="BA352" s="81"/>
    </row>
    <row r="353" spans="1:53" s="380" customFormat="1" ht="114.75" customHeight="1" x14ac:dyDescent="0.25">
      <c r="A353" s="27"/>
      <c r="B353" s="27"/>
      <c r="C353" s="199">
        <v>16</v>
      </c>
      <c r="D353" s="167" t="s">
        <v>600</v>
      </c>
      <c r="E353" s="100"/>
      <c r="F353" s="31">
        <v>108</v>
      </c>
      <c r="G353" s="29" t="s">
        <v>243</v>
      </c>
      <c r="H353" s="855" t="s">
        <v>581</v>
      </c>
      <c r="I353" s="827" t="s">
        <v>244</v>
      </c>
      <c r="J353" s="828" t="s">
        <v>245</v>
      </c>
      <c r="K353" s="31" t="s">
        <v>466</v>
      </c>
      <c r="L353" s="391"/>
      <c r="M353" s="391"/>
      <c r="N353" s="391"/>
      <c r="O353" s="391"/>
      <c r="P353" s="391"/>
      <c r="Q353" s="391"/>
      <c r="R353" s="391"/>
      <c r="S353" s="391"/>
      <c r="T353" s="391"/>
      <c r="U353" s="391"/>
      <c r="V353" s="391"/>
      <c r="W353" s="391"/>
      <c r="X353" s="391"/>
      <c r="Y353" s="391"/>
      <c r="Z353" s="391"/>
      <c r="AA353" s="391"/>
      <c r="AB353" s="391"/>
      <c r="AC353" s="391"/>
      <c r="AD353" s="391"/>
      <c r="AE353" s="391"/>
      <c r="AF353" s="391"/>
      <c r="AG353" s="391"/>
      <c r="AH353" s="392"/>
      <c r="AI353" s="392"/>
      <c r="AJ353" s="392"/>
      <c r="AK353" s="392"/>
      <c r="AL353" s="392"/>
      <c r="AM353" s="392"/>
      <c r="AN353" s="392"/>
      <c r="AO353" s="392"/>
      <c r="AP353" s="35">
        <v>10000000</v>
      </c>
      <c r="AQ353" s="35"/>
      <c r="AR353" s="35"/>
      <c r="AS353" s="392"/>
      <c r="AT353" s="392"/>
      <c r="AU353" s="392"/>
      <c r="AV353" s="392"/>
      <c r="AW353" s="392"/>
      <c r="AX353" s="392"/>
      <c r="AY353" s="37">
        <f t="shared" ref="AY353:AY354" si="409">+L353+O353+R353+U353+X353+AA353+AD353+AG353+AJ353+AM353+AP353+AS353+AV353</f>
        <v>10000000</v>
      </c>
      <c r="AZ353" s="37">
        <f t="shared" ref="AZ353:AZ354" si="410">+M353+P353+S353+V353+Y353+AB353+AE353+AH353+AK353+AN353+AQ353+AT353+AW353</f>
        <v>0</v>
      </c>
      <c r="BA353" s="37">
        <f t="shared" ref="BA353:BA354" si="411">+N353+Q353+T353+W353+Z353+AC353+AF353+AI353+AL353+AO353+AR353+AU353+AX353</f>
        <v>0</v>
      </c>
    </row>
    <row r="354" spans="1:53" s="380" customFormat="1" ht="129.75" customHeight="1" x14ac:dyDescent="0.25">
      <c r="A354" s="164"/>
      <c r="B354" s="164"/>
      <c r="C354" s="199">
        <v>16</v>
      </c>
      <c r="D354" s="167" t="s">
        <v>600</v>
      </c>
      <c r="E354" s="393"/>
      <c r="F354" s="122">
        <v>109</v>
      </c>
      <c r="G354" s="167" t="s">
        <v>246</v>
      </c>
      <c r="H354" s="856"/>
      <c r="I354" s="830"/>
      <c r="J354" s="831"/>
      <c r="K354" s="122" t="s">
        <v>466</v>
      </c>
      <c r="L354" s="394"/>
      <c r="M354" s="394"/>
      <c r="N354" s="394"/>
      <c r="O354" s="394"/>
      <c r="P354" s="394"/>
      <c r="Q354" s="394"/>
      <c r="R354" s="394"/>
      <c r="S354" s="394"/>
      <c r="T354" s="394"/>
      <c r="U354" s="394"/>
      <c r="V354" s="394"/>
      <c r="W354" s="394"/>
      <c r="X354" s="394"/>
      <c r="Y354" s="394"/>
      <c r="Z354" s="394"/>
      <c r="AA354" s="394"/>
      <c r="AB354" s="394"/>
      <c r="AC354" s="394"/>
      <c r="AD354" s="394"/>
      <c r="AE354" s="394"/>
      <c r="AF354" s="394"/>
      <c r="AG354" s="394"/>
      <c r="AH354" s="395"/>
      <c r="AI354" s="395"/>
      <c r="AJ354" s="395"/>
      <c r="AK354" s="395"/>
      <c r="AL354" s="395"/>
      <c r="AM354" s="395"/>
      <c r="AN354" s="395"/>
      <c r="AO354" s="395"/>
      <c r="AP354" s="170">
        <f>30000000-20000000</f>
        <v>10000000</v>
      </c>
      <c r="AQ354" s="170"/>
      <c r="AR354" s="170"/>
      <c r="AS354" s="395"/>
      <c r="AT354" s="395"/>
      <c r="AU354" s="395"/>
      <c r="AV354" s="395"/>
      <c r="AW354" s="395"/>
      <c r="AX354" s="395"/>
      <c r="AY354" s="37">
        <f t="shared" si="409"/>
        <v>10000000</v>
      </c>
      <c r="AZ354" s="37">
        <f t="shared" si="410"/>
        <v>0</v>
      </c>
      <c r="BA354" s="37">
        <f t="shared" si="411"/>
        <v>0</v>
      </c>
    </row>
    <row r="355" spans="1:53" s="380" customFormat="1" ht="15" x14ac:dyDescent="0.25">
      <c r="A355" s="27"/>
      <c r="B355" s="27"/>
      <c r="C355" s="204"/>
      <c r="D355" s="641"/>
      <c r="E355" s="40"/>
      <c r="F355" s="41"/>
      <c r="G355" s="40"/>
      <c r="H355" s="371"/>
      <c r="I355" s="685"/>
      <c r="J355" s="40"/>
      <c r="K355" s="41"/>
      <c r="L355" s="396"/>
      <c r="M355" s="396"/>
      <c r="N355" s="396"/>
      <c r="O355" s="396"/>
      <c r="P355" s="396"/>
      <c r="Q355" s="396"/>
      <c r="R355" s="396"/>
      <c r="S355" s="396"/>
      <c r="T355" s="396"/>
      <c r="U355" s="396"/>
      <c r="V355" s="396"/>
      <c r="W355" s="396"/>
      <c r="X355" s="396"/>
      <c r="Y355" s="396"/>
      <c r="Z355" s="396"/>
      <c r="AA355" s="396"/>
      <c r="AB355" s="396"/>
      <c r="AC355" s="396"/>
      <c r="AD355" s="396"/>
      <c r="AE355" s="396"/>
      <c r="AF355" s="396"/>
      <c r="AG355" s="396"/>
      <c r="AH355" s="396"/>
      <c r="AI355" s="396"/>
      <c r="AJ355" s="396"/>
      <c r="AK355" s="396"/>
      <c r="AL355" s="396"/>
      <c r="AM355" s="396"/>
      <c r="AN355" s="396"/>
      <c r="AO355" s="396"/>
      <c r="AP355" s="354">
        <f t="shared" ref="AP355:AY355" si="412">SUM(AP353:AP354)</f>
        <v>20000000</v>
      </c>
      <c r="AQ355" s="354">
        <f t="shared" si="412"/>
        <v>0</v>
      </c>
      <c r="AR355" s="354">
        <f t="shared" si="412"/>
        <v>0</v>
      </c>
      <c r="AS355" s="354">
        <f t="shared" si="412"/>
        <v>0</v>
      </c>
      <c r="AT355" s="354"/>
      <c r="AU355" s="354"/>
      <c r="AV355" s="354">
        <f t="shared" si="412"/>
        <v>0</v>
      </c>
      <c r="AW355" s="354"/>
      <c r="AX355" s="354"/>
      <c r="AY355" s="354">
        <f t="shared" si="412"/>
        <v>20000000</v>
      </c>
      <c r="AZ355" s="354">
        <f t="shared" ref="AZ355:BA355" si="413">SUM(AZ353:AZ354)</f>
        <v>0</v>
      </c>
      <c r="BA355" s="354">
        <f t="shared" si="413"/>
        <v>0</v>
      </c>
    </row>
    <row r="356" spans="1:53" s="380" customFormat="1" ht="15" x14ac:dyDescent="0.25">
      <c r="A356" s="27"/>
      <c r="B356" s="27"/>
      <c r="C356" s="397"/>
      <c r="D356" s="398"/>
      <c r="E356" s="58"/>
      <c r="F356" s="651"/>
      <c r="G356" s="58"/>
      <c r="H356" s="356"/>
      <c r="I356" s="700"/>
      <c r="J356" s="108"/>
      <c r="K356" s="651"/>
      <c r="L356" s="60"/>
      <c r="M356" s="60"/>
      <c r="N356" s="60"/>
      <c r="O356" s="60"/>
      <c r="P356" s="145"/>
      <c r="Q356" s="145"/>
      <c r="R356" s="145"/>
      <c r="S356" s="145"/>
      <c r="T356" s="145"/>
      <c r="U356" s="145"/>
      <c r="V356" s="145"/>
      <c r="W356" s="145"/>
      <c r="X356" s="60"/>
      <c r="Y356" s="60"/>
      <c r="Z356" s="60"/>
      <c r="AA356" s="60"/>
      <c r="AB356" s="60"/>
      <c r="AC356" s="60"/>
      <c r="AD356" s="60"/>
      <c r="AE356" s="60"/>
      <c r="AF356" s="60"/>
      <c r="AG356" s="60"/>
      <c r="AH356" s="145"/>
      <c r="AI356" s="145"/>
      <c r="AJ356" s="145"/>
      <c r="AK356" s="145"/>
      <c r="AL356" s="145"/>
      <c r="AM356" s="145"/>
      <c r="AN356" s="145"/>
      <c r="AO356" s="145"/>
      <c r="AP356" s="248"/>
      <c r="AQ356" s="248"/>
      <c r="AR356" s="248"/>
      <c r="AS356" s="60"/>
      <c r="AT356" s="60"/>
      <c r="AU356" s="60"/>
      <c r="AV356" s="60"/>
      <c r="AW356" s="145"/>
      <c r="AX356" s="145"/>
      <c r="AY356" s="390"/>
      <c r="AZ356" s="390"/>
      <c r="BA356" s="390"/>
    </row>
    <row r="357" spans="1:53" s="380" customFormat="1" ht="15" x14ac:dyDescent="0.25">
      <c r="A357" s="27"/>
      <c r="B357" s="27"/>
      <c r="C357" s="204"/>
      <c r="D357" s="641"/>
      <c r="E357" s="287">
        <v>26</v>
      </c>
      <c r="F357" s="78" t="s">
        <v>601</v>
      </c>
      <c r="G357" s="78"/>
      <c r="H357" s="78"/>
      <c r="I357" s="222"/>
      <c r="J357" s="78"/>
      <c r="K357" s="78"/>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80"/>
      <c r="AQ357" s="80"/>
      <c r="AR357" s="80"/>
      <c r="AS357" s="79"/>
      <c r="AT357" s="79"/>
      <c r="AU357" s="79"/>
      <c r="AV357" s="79"/>
      <c r="AW357" s="79"/>
      <c r="AX357" s="79"/>
      <c r="AY357" s="81"/>
      <c r="AZ357" s="81"/>
      <c r="BA357" s="81"/>
    </row>
    <row r="358" spans="1:53" s="380" customFormat="1" ht="124.5" customHeight="1" x14ac:dyDescent="0.25">
      <c r="A358" s="178"/>
      <c r="B358" s="178"/>
      <c r="C358" s="199">
        <v>16</v>
      </c>
      <c r="D358" s="167" t="s">
        <v>600</v>
      </c>
      <c r="E358" s="641"/>
      <c r="F358" s="182">
        <v>110</v>
      </c>
      <c r="G358" s="641" t="s">
        <v>247</v>
      </c>
      <c r="H358" s="399" t="s">
        <v>581</v>
      </c>
      <c r="I358" s="672" t="s">
        <v>248</v>
      </c>
      <c r="J358" s="641" t="s">
        <v>249</v>
      </c>
      <c r="K358" s="182" t="s">
        <v>466</v>
      </c>
      <c r="L358" s="400"/>
      <c r="M358" s="400"/>
      <c r="N358" s="400"/>
      <c r="O358" s="400"/>
      <c r="P358" s="400"/>
      <c r="Q358" s="400"/>
      <c r="R358" s="400"/>
      <c r="S358" s="400"/>
      <c r="T358" s="400"/>
      <c r="U358" s="400"/>
      <c r="V358" s="400"/>
      <c r="W358" s="400"/>
      <c r="X358" s="400"/>
      <c r="Y358" s="400"/>
      <c r="Z358" s="400"/>
      <c r="AA358" s="400"/>
      <c r="AB358" s="400"/>
      <c r="AC358" s="400"/>
      <c r="AD358" s="401">
        <v>700000000</v>
      </c>
      <c r="AE358" s="401"/>
      <c r="AF358" s="401"/>
      <c r="AG358" s="401"/>
      <c r="AH358" s="401"/>
      <c r="AI358" s="401"/>
      <c r="AJ358" s="400"/>
      <c r="AK358" s="400"/>
      <c r="AL358" s="400"/>
      <c r="AM358" s="400"/>
      <c r="AN358" s="402"/>
      <c r="AO358" s="402"/>
      <c r="AP358" s="185">
        <f>25000000-25000000</f>
        <v>0</v>
      </c>
      <c r="AQ358" s="185"/>
      <c r="AR358" s="185"/>
      <c r="AS358" s="402"/>
      <c r="AT358" s="402"/>
      <c r="AU358" s="402"/>
      <c r="AV358" s="402"/>
      <c r="AW358" s="402"/>
      <c r="AX358" s="402"/>
      <c r="AY358" s="37">
        <f t="shared" ref="AY358" si="414">+L358+O358+R358+U358+X358+AA358+AD358+AG358+AJ358+AM358+AP358+AS358+AV358</f>
        <v>700000000</v>
      </c>
      <c r="AZ358" s="37">
        <f t="shared" ref="AZ358" si="415">+M358+P358+S358+V358+Y358+AB358+AE358+AH358+AK358+AN358+AQ358+AT358+AW358</f>
        <v>0</v>
      </c>
      <c r="BA358" s="37">
        <f t="shared" ref="BA358" si="416">+N358+Q358+T358+W358+Z358+AC358+AF358+AI358+AL358+AO358+AR358+AU358+AX358</f>
        <v>0</v>
      </c>
    </row>
    <row r="359" spans="1:53" s="380" customFormat="1" ht="15" x14ac:dyDescent="0.25">
      <c r="A359" s="27"/>
      <c r="B359" s="27"/>
      <c r="C359" s="204"/>
      <c r="D359" s="641"/>
      <c r="E359" s="40"/>
      <c r="F359" s="41"/>
      <c r="G359" s="40"/>
      <c r="H359" s="371"/>
      <c r="I359" s="685"/>
      <c r="J359" s="40"/>
      <c r="K359" s="41"/>
      <c r="L359" s="306"/>
      <c r="M359" s="306"/>
      <c r="N359" s="306"/>
      <c r="O359" s="306"/>
      <c r="P359" s="306"/>
      <c r="Q359" s="306"/>
      <c r="R359" s="306"/>
      <c r="S359" s="306"/>
      <c r="T359" s="306"/>
      <c r="U359" s="306"/>
      <c r="V359" s="306"/>
      <c r="W359" s="306"/>
      <c r="X359" s="306"/>
      <c r="Y359" s="306"/>
      <c r="Z359" s="306"/>
      <c r="AA359" s="306"/>
      <c r="AB359" s="306"/>
      <c r="AC359" s="306"/>
      <c r="AD359" s="396">
        <f t="shared" ref="AD359:AY359" si="417">SUM(AD358)</f>
        <v>700000000</v>
      </c>
      <c r="AE359" s="396">
        <f t="shared" si="417"/>
        <v>0</v>
      </c>
      <c r="AF359" s="396">
        <f t="shared" si="417"/>
        <v>0</v>
      </c>
      <c r="AG359" s="306"/>
      <c r="AH359" s="306"/>
      <c r="AI359" s="306"/>
      <c r="AJ359" s="306"/>
      <c r="AK359" s="306"/>
      <c r="AL359" s="306"/>
      <c r="AM359" s="306"/>
      <c r="AN359" s="306"/>
      <c r="AO359" s="306"/>
      <c r="AP359" s="354">
        <f t="shared" si="417"/>
        <v>0</v>
      </c>
      <c r="AQ359" s="354"/>
      <c r="AR359" s="354"/>
      <c r="AS359" s="354">
        <f t="shared" si="417"/>
        <v>0</v>
      </c>
      <c r="AT359" s="354"/>
      <c r="AU359" s="354"/>
      <c r="AV359" s="354">
        <f t="shared" si="417"/>
        <v>0</v>
      </c>
      <c r="AW359" s="354"/>
      <c r="AX359" s="354"/>
      <c r="AY359" s="354">
        <f t="shared" si="417"/>
        <v>700000000</v>
      </c>
      <c r="AZ359" s="354">
        <f t="shared" ref="AZ359:BA359" si="418">SUM(AZ358)</f>
        <v>0</v>
      </c>
      <c r="BA359" s="354">
        <f t="shared" si="418"/>
        <v>0</v>
      </c>
    </row>
    <row r="360" spans="1:53" s="380" customFormat="1" ht="15" x14ac:dyDescent="0.25">
      <c r="A360" s="27"/>
      <c r="B360" s="27"/>
      <c r="C360" s="651"/>
      <c r="D360" s="58"/>
      <c r="E360" s="58"/>
      <c r="F360" s="651"/>
      <c r="G360" s="58"/>
      <c r="H360" s="356"/>
      <c r="I360" s="700"/>
      <c r="J360" s="108"/>
      <c r="K360" s="651"/>
      <c r="L360" s="60"/>
      <c r="M360" s="60"/>
      <c r="N360" s="60"/>
      <c r="O360" s="60"/>
      <c r="P360" s="145"/>
      <c r="Q360" s="145"/>
      <c r="R360" s="145"/>
      <c r="S360" s="145"/>
      <c r="T360" s="145"/>
      <c r="U360" s="145"/>
      <c r="V360" s="145"/>
      <c r="W360" s="145"/>
      <c r="X360" s="60"/>
      <c r="Y360" s="60"/>
      <c r="Z360" s="60"/>
      <c r="AA360" s="60"/>
      <c r="AB360" s="60"/>
      <c r="AC360" s="60"/>
      <c r="AD360" s="61"/>
      <c r="AE360" s="61"/>
      <c r="AF360" s="61"/>
      <c r="AG360" s="61"/>
      <c r="AH360" s="63"/>
      <c r="AI360" s="63"/>
      <c r="AJ360" s="145"/>
      <c r="AK360" s="145"/>
      <c r="AL360" s="145"/>
      <c r="AM360" s="145"/>
      <c r="AN360" s="145"/>
      <c r="AO360" s="145"/>
      <c r="AP360" s="248"/>
      <c r="AQ360" s="248"/>
      <c r="AR360" s="248"/>
      <c r="AS360" s="60"/>
      <c r="AT360" s="60"/>
      <c r="AU360" s="60"/>
      <c r="AV360" s="60"/>
      <c r="AW360" s="145"/>
      <c r="AX360" s="145"/>
      <c r="AY360" s="390"/>
      <c r="AZ360" s="390"/>
      <c r="BA360" s="390"/>
    </row>
    <row r="361" spans="1:53" s="380" customFormat="1" ht="15" x14ac:dyDescent="0.25">
      <c r="A361" s="27"/>
      <c r="B361" s="27"/>
      <c r="C361" s="28"/>
      <c r="D361" s="29"/>
      <c r="E361" s="287">
        <v>27</v>
      </c>
      <c r="F361" s="78" t="s">
        <v>602</v>
      </c>
      <c r="G361" s="78"/>
      <c r="H361" s="78"/>
      <c r="I361" s="222"/>
      <c r="J361" s="78"/>
      <c r="K361" s="78"/>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80"/>
      <c r="AQ361" s="80"/>
      <c r="AR361" s="80"/>
      <c r="AS361" s="79"/>
      <c r="AT361" s="79"/>
      <c r="AU361" s="79"/>
      <c r="AV361" s="79"/>
      <c r="AW361" s="79"/>
      <c r="AX361" s="79"/>
      <c r="AY361" s="81"/>
      <c r="AZ361" s="81"/>
      <c r="BA361" s="81"/>
    </row>
    <row r="362" spans="1:53" ht="78.75" customHeight="1" x14ac:dyDescent="0.25">
      <c r="A362" s="178"/>
      <c r="B362" s="178"/>
      <c r="C362" s="204">
        <v>14</v>
      </c>
      <c r="D362" s="641" t="s">
        <v>603</v>
      </c>
      <c r="E362" s="194"/>
      <c r="F362" s="182">
        <v>111</v>
      </c>
      <c r="G362" s="641" t="s">
        <v>250</v>
      </c>
      <c r="H362" s="403" t="s">
        <v>581</v>
      </c>
      <c r="I362" s="672" t="s">
        <v>251</v>
      </c>
      <c r="J362" s="404" t="s">
        <v>252</v>
      </c>
      <c r="K362" s="182" t="s">
        <v>466</v>
      </c>
      <c r="L362" s="400"/>
      <c r="M362" s="400"/>
      <c r="N362" s="400"/>
      <c r="O362" s="400"/>
      <c r="P362" s="400"/>
      <c r="Q362" s="400"/>
      <c r="R362" s="400"/>
      <c r="S362" s="400"/>
      <c r="T362" s="400"/>
      <c r="U362" s="400"/>
      <c r="V362" s="400"/>
      <c r="W362" s="400"/>
      <c r="X362" s="400"/>
      <c r="Y362" s="400"/>
      <c r="Z362" s="400"/>
      <c r="AA362" s="400"/>
      <c r="AB362" s="400"/>
      <c r="AC362" s="400"/>
      <c r="AD362" s="401">
        <v>3762000000</v>
      </c>
      <c r="AE362" s="401">
        <v>469040586</v>
      </c>
      <c r="AF362" s="401">
        <v>469040586</v>
      </c>
      <c r="AG362" s="405"/>
      <c r="AH362" s="405"/>
      <c r="AI362" s="405"/>
      <c r="AJ362" s="400"/>
      <c r="AK362" s="400"/>
      <c r="AL362" s="400"/>
      <c r="AM362" s="400"/>
      <c r="AN362" s="402"/>
      <c r="AO362" s="402"/>
      <c r="AP362" s="185"/>
      <c r="AQ362" s="185"/>
      <c r="AR362" s="185"/>
      <c r="AS362" s="402"/>
      <c r="AT362" s="402"/>
      <c r="AU362" s="402"/>
      <c r="AV362" s="402"/>
      <c r="AW362" s="402"/>
      <c r="AX362" s="402"/>
      <c r="AY362" s="37">
        <f t="shared" ref="AY362" si="419">+L362+O362+R362+U362+X362+AA362+AD362+AG362+AJ362+AM362+AP362+AS362+AV362</f>
        <v>3762000000</v>
      </c>
      <c r="AZ362" s="37">
        <f t="shared" ref="AZ362" si="420">+M362+P362+S362+V362+Y362+AB362+AE362+AH362+AK362+AN362+AQ362+AT362+AW362</f>
        <v>469040586</v>
      </c>
      <c r="BA362" s="37">
        <f t="shared" ref="BA362" si="421">+N362+Q362+T362+W362+Z362+AC362+AF362+AI362+AL362+AO362+AR362+AU362+AX362</f>
        <v>469040586</v>
      </c>
    </row>
    <row r="363" spans="1:53" ht="15" x14ac:dyDescent="0.25">
      <c r="A363" s="27"/>
      <c r="B363" s="27"/>
      <c r="C363" s="204"/>
      <c r="D363" s="641"/>
      <c r="E363" s="40"/>
      <c r="F363" s="41"/>
      <c r="G363" s="40"/>
      <c r="H363" s="406"/>
      <c r="I363" s="685"/>
      <c r="J363" s="40"/>
      <c r="K363" s="41"/>
      <c r="L363" s="306"/>
      <c r="M363" s="306"/>
      <c r="N363" s="306"/>
      <c r="O363" s="306"/>
      <c r="P363" s="306"/>
      <c r="Q363" s="306"/>
      <c r="R363" s="306"/>
      <c r="S363" s="306"/>
      <c r="T363" s="306"/>
      <c r="U363" s="306"/>
      <c r="V363" s="306"/>
      <c r="W363" s="306"/>
      <c r="X363" s="306"/>
      <c r="Y363" s="306"/>
      <c r="Z363" s="306"/>
      <c r="AA363" s="306"/>
      <c r="AB363" s="306"/>
      <c r="AC363" s="306"/>
      <c r="AD363" s="396">
        <f t="shared" ref="AD363:AF363" si="422">SUM(AD362:AD362)</f>
        <v>3762000000</v>
      </c>
      <c r="AE363" s="396">
        <f t="shared" si="422"/>
        <v>469040586</v>
      </c>
      <c r="AF363" s="396">
        <f t="shared" si="422"/>
        <v>469040586</v>
      </c>
      <c r="AG363" s="396"/>
      <c r="AH363" s="396"/>
      <c r="AI363" s="396"/>
      <c r="AJ363" s="396"/>
      <c r="AK363" s="396"/>
      <c r="AL363" s="396"/>
      <c r="AM363" s="396"/>
      <c r="AN363" s="396"/>
      <c r="AO363" s="396"/>
      <c r="AP363" s="354"/>
      <c r="AQ363" s="354"/>
      <c r="AR363" s="354"/>
      <c r="AS363" s="396"/>
      <c r="AT363" s="396"/>
      <c r="AU363" s="396"/>
      <c r="AV363" s="396"/>
      <c r="AW363" s="396"/>
      <c r="AX363" s="396"/>
      <c r="AY363" s="396">
        <f t="shared" ref="AY363:BA363" si="423">SUM(AY362:AY362)</f>
        <v>3762000000</v>
      </c>
      <c r="AZ363" s="396">
        <f t="shared" si="423"/>
        <v>469040586</v>
      </c>
      <c r="BA363" s="396">
        <f t="shared" si="423"/>
        <v>469040586</v>
      </c>
    </row>
    <row r="364" spans="1:53" ht="15" x14ac:dyDescent="0.25">
      <c r="A364" s="178"/>
      <c r="B364" s="178"/>
      <c r="C364" s="397"/>
      <c r="D364" s="398"/>
      <c r="E364" s="398"/>
      <c r="F364" s="397"/>
      <c r="G364" s="398"/>
      <c r="H364" s="407"/>
      <c r="I364" s="713"/>
      <c r="J364" s="408"/>
      <c r="K364" s="397"/>
      <c r="L364" s="409"/>
      <c r="M364" s="409"/>
      <c r="N364" s="409"/>
      <c r="O364" s="409"/>
      <c r="P364" s="410"/>
      <c r="Q364" s="410"/>
      <c r="R364" s="410"/>
      <c r="S364" s="410"/>
      <c r="T364" s="410"/>
      <c r="U364" s="410"/>
      <c r="V364" s="410"/>
      <c r="W364" s="410"/>
      <c r="X364" s="409"/>
      <c r="Y364" s="409"/>
      <c r="Z364" s="409"/>
      <c r="AA364" s="409"/>
      <c r="AB364" s="409"/>
      <c r="AC364" s="409"/>
      <c r="AD364" s="409"/>
      <c r="AE364" s="409"/>
      <c r="AF364" s="409"/>
      <c r="AG364" s="409"/>
      <c r="AH364" s="410"/>
      <c r="AI364" s="410"/>
      <c r="AJ364" s="410"/>
      <c r="AK364" s="410"/>
      <c r="AL364" s="410"/>
      <c r="AM364" s="410"/>
      <c r="AN364" s="410"/>
      <c r="AO364" s="410"/>
      <c r="AP364" s="411"/>
      <c r="AQ364" s="411"/>
      <c r="AR364" s="411"/>
      <c r="AS364" s="409"/>
      <c r="AT364" s="409"/>
      <c r="AU364" s="409"/>
      <c r="AV364" s="409"/>
      <c r="AW364" s="410"/>
      <c r="AX364" s="410"/>
      <c r="AY364" s="412"/>
      <c r="AZ364" s="412"/>
      <c r="BA364" s="412"/>
    </row>
    <row r="365" spans="1:53" ht="15" x14ac:dyDescent="0.25">
      <c r="A365" s="27"/>
      <c r="B365" s="27"/>
      <c r="C365" s="204"/>
      <c r="D365" s="641"/>
      <c r="E365" s="287">
        <v>28</v>
      </c>
      <c r="F365" s="78" t="s">
        <v>604</v>
      </c>
      <c r="G365" s="78"/>
      <c r="H365" s="78"/>
      <c r="I365" s="222"/>
      <c r="J365" s="78"/>
      <c r="K365" s="78"/>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80"/>
      <c r="AQ365" s="80"/>
      <c r="AR365" s="80"/>
      <c r="AS365" s="79"/>
      <c r="AT365" s="79"/>
      <c r="AU365" s="79"/>
      <c r="AV365" s="79"/>
      <c r="AW365" s="79"/>
      <c r="AX365" s="79"/>
      <c r="AY365" s="81"/>
      <c r="AZ365" s="81"/>
      <c r="BA365" s="81"/>
    </row>
    <row r="366" spans="1:53" ht="56.25" customHeight="1" x14ac:dyDescent="0.25">
      <c r="A366" s="178"/>
      <c r="B366" s="178"/>
      <c r="C366" s="204">
        <v>14</v>
      </c>
      <c r="D366" s="641" t="s">
        <v>603</v>
      </c>
      <c r="E366" s="194"/>
      <c r="F366" s="182">
        <v>112</v>
      </c>
      <c r="G366" s="641" t="s">
        <v>253</v>
      </c>
      <c r="H366" s="857" t="s">
        <v>581</v>
      </c>
      <c r="I366" s="859" t="s">
        <v>254</v>
      </c>
      <c r="J366" s="843" t="s">
        <v>255</v>
      </c>
      <c r="K366" s="182" t="s">
        <v>477</v>
      </c>
      <c r="L366" s="400"/>
      <c r="M366" s="400"/>
      <c r="N366" s="400"/>
      <c r="O366" s="400"/>
      <c r="P366" s="400"/>
      <c r="Q366" s="400"/>
      <c r="R366" s="400"/>
      <c r="S366" s="400"/>
      <c r="T366" s="400"/>
      <c r="U366" s="413"/>
      <c r="V366" s="413"/>
      <c r="W366" s="413"/>
      <c r="X366" s="400"/>
      <c r="Y366" s="400"/>
      <c r="Z366" s="400"/>
      <c r="AA366" s="400"/>
      <c r="AB366" s="400"/>
      <c r="AC366" s="400"/>
      <c r="AD366" s="414"/>
      <c r="AE366" s="414"/>
      <c r="AF366" s="414"/>
      <c r="AG366" s="415"/>
      <c r="AH366" s="415"/>
      <c r="AI366" s="415"/>
      <c r="AJ366" s="400"/>
      <c r="AK366" s="400"/>
      <c r="AL366" s="400"/>
      <c r="AM366" s="400"/>
      <c r="AN366" s="402"/>
      <c r="AO366" s="402"/>
      <c r="AP366" s="185">
        <f>25000000-20000000</f>
        <v>5000000</v>
      </c>
      <c r="AQ366" s="185"/>
      <c r="AR366" s="185"/>
      <c r="AS366" s="402"/>
      <c r="AT366" s="402"/>
      <c r="AU366" s="402"/>
      <c r="AV366" s="402"/>
      <c r="AW366" s="402"/>
      <c r="AX366" s="402"/>
      <c r="AY366" s="37">
        <f t="shared" ref="AY366:AY367" si="424">+L366+O366+R366+U366+X366+AA366+AD366+AG366+AJ366+AM366+AP366+AS366+AV366</f>
        <v>5000000</v>
      </c>
      <c r="AZ366" s="37">
        <f t="shared" ref="AZ366:AZ367" si="425">+M366+P366+S366+V366+Y366+AB366+AE366+AH366+AK366+AN366+AQ366+AT366+AW366</f>
        <v>0</v>
      </c>
      <c r="BA366" s="37">
        <f t="shared" ref="BA366:BA367" si="426">+N366+Q366+T366+W366+Z366+AC366+AF366+AI366+AL366+AO366+AR366+AU366+AX366</f>
        <v>0</v>
      </c>
    </row>
    <row r="367" spans="1:53" ht="73.5" customHeight="1" x14ac:dyDescent="0.25">
      <c r="A367" s="178"/>
      <c r="B367" s="178"/>
      <c r="C367" s="204">
        <v>14</v>
      </c>
      <c r="D367" s="641" t="s">
        <v>603</v>
      </c>
      <c r="E367" s="220"/>
      <c r="F367" s="182">
        <v>113</v>
      </c>
      <c r="G367" s="641" t="s">
        <v>256</v>
      </c>
      <c r="H367" s="858"/>
      <c r="I367" s="860"/>
      <c r="J367" s="841"/>
      <c r="K367" s="182" t="s">
        <v>477</v>
      </c>
      <c r="L367" s="400"/>
      <c r="M367" s="400"/>
      <c r="N367" s="400"/>
      <c r="O367" s="400"/>
      <c r="P367" s="400"/>
      <c r="Q367" s="400"/>
      <c r="R367" s="400"/>
      <c r="S367" s="400"/>
      <c r="T367" s="400"/>
      <c r="U367" s="413"/>
      <c r="V367" s="413"/>
      <c r="W367" s="413"/>
      <c r="X367" s="400"/>
      <c r="Y367" s="400"/>
      <c r="Z367" s="400"/>
      <c r="AA367" s="400"/>
      <c r="AB367" s="400"/>
      <c r="AC367" s="400"/>
      <c r="AD367" s="184"/>
      <c r="AE367" s="184"/>
      <c r="AF367" s="184"/>
      <c r="AG367" s="184"/>
      <c r="AH367" s="184"/>
      <c r="AI367" s="184"/>
      <c r="AJ367" s="400"/>
      <c r="AK367" s="400"/>
      <c r="AL367" s="400"/>
      <c r="AM367" s="400"/>
      <c r="AN367" s="402"/>
      <c r="AO367" s="402"/>
      <c r="AP367" s="185">
        <f>25000000+10000000</f>
        <v>35000000</v>
      </c>
      <c r="AQ367" s="185"/>
      <c r="AR367" s="185"/>
      <c r="AS367" s="402"/>
      <c r="AT367" s="402"/>
      <c r="AU367" s="402"/>
      <c r="AV367" s="402"/>
      <c r="AW367" s="402"/>
      <c r="AX367" s="402"/>
      <c r="AY367" s="37">
        <f t="shared" si="424"/>
        <v>35000000</v>
      </c>
      <c r="AZ367" s="37">
        <f t="shared" si="425"/>
        <v>0</v>
      </c>
      <c r="BA367" s="37">
        <f t="shared" si="426"/>
        <v>0</v>
      </c>
    </row>
    <row r="368" spans="1:53" s="421" customFormat="1" ht="20.25" x14ac:dyDescent="0.25">
      <c r="A368" s="416"/>
      <c r="B368" s="417"/>
      <c r="C368" s="204"/>
      <c r="D368" s="418"/>
      <c r="E368" s="419"/>
      <c r="F368" s="41"/>
      <c r="G368" s="419"/>
      <c r="H368" s="420"/>
      <c r="I368" s="685"/>
      <c r="J368" s="419"/>
      <c r="K368" s="419"/>
      <c r="L368" s="396"/>
      <c r="M368" s="396"/>
      <c r="N368" s="396"/>
      <c r="O368" s="396"/>
      <c r="P368" s="396"/>
      <c r="Q368" s="396"/>
      <c r="R368" s="396"/>
      <c r="S368" s="396"/>
      <c r="T368" s="396"/>
      <c r="U368" s="396">
        <f t="shared" ref="U368" si="427">SUM(U366:U367)</f>
        <v>0</v>
      </c>
      <c r="V368" s="396"/>
      <c r="W368" s="396"/>
      <c r="X368" s="396"/>
      <c r="Y368" s="396"/>
      <c r="Z368" s="396"/>
      <c r="AA368" s="396"/>
      <c r="AB368" s="396"/>
      <c r="AC368" s="396"/>
      <c r="AD368" s="396">
        <f t="shared" ref="AD368:AJ368" si="428">SUM(AD366:AD367)</f>
        <v>0</v>
      </c>
      <c r="AE368" s="396">
        <f t="shared" ref="AE368:AF368" si="429">SUM(AE366:AE367)</f>
        <v>0</v>
      </c>
      <c r="AF368" s="396">
        <f t="shared" si="429"/>
        <v>0</v>
      </c>
      <c r="AG368" s="396">
        <f t="shared" si="428"/>
        <v>0</v>
      </c>
      <c r="AH368" s="396"/>
      <c r="AI368" s="396"/>
      <c r="AJ368" s="396">
        <f t="shared" si="428"/>
        <v>0</v>
      </c>
      <c r="AK368" s="396"/>
      <c r="AL368" s="396"/>
      <c r="AM368" s="396"/>
      <c r="AN368" s="396"/>
      <c r="AO368" s="396"/>
      <c r="AP368" s="396">
        <f t="shared" ref="AP368:AY368" si="430">SUM(AP366:AP367)</f>
        <v>40000000</v>
      </c>
      <c r="AQ368" s="396">
        <f t="shared" ref="AQ368:AR368" si="431">SUM(AQ366:AQ367)</f>
        <v>0</v>
      </c>
      <c r="AR368" s="396">
        <f t="shared" si="431"/>
        <v>0</v>
      </c>
      <c r="AS368" s="396">
        <f t="shared" si="430"/>
        <v>0</v>
      </c>
      <c r="AT368" s="396"/>
      <c r="AU368" s="396"/>
      <c r="AV368" s="396">
        <f t="shared" si="430"/>
        <v>0</v>
      </c>
      <c r="AW368" s="396"/>
      <c r="AX368" s="396"/>
      <c r="AY368" s="396">
        <f t="shared" si="430"/>
        <v>40000000</v>
      </c>
      <c r="AZ368" s="396">
        <f t="shared" ref="AZ368:BA368" si="432">SUM(AZ366:AZ367)</f>
        <v>0</v>
      </c>
      <c r="BA368" s="396">
        <f t="shared" si="432"/>
        <v>0</v>
      </c>
    </row>
    <row r="369" spans="1:53" s="426" customFormat="1" ht="15" x14ac:dyDescent="0.25">
      <c r="A369" s="416"/>
      <c r="B369" s="422"/>
      <c r="C369" s="46"/>
      <c r="D369" s="423"/>
      <c r="E369" s="423"/>
      <c r="F369" s="46"/>
      <c r="G369" s="423"/>
      <c r="H369" s="424"/>
      <c r="I369" s="686"/>
      <c r="J369" s="423"/>
      <c r="K369" s="423"/>
      <c r="L369" s="425"/>
      <c r="M369" s="425"/>
      <c r="N369" s="425"/>
      <c r="O369" s="425"/>
      <c r="P369" s="425"/>
      <c r="Q369" s="425"/>
      <c r="R369" s="425"/>
      <c r="S369" s="425"/>
      <c r="T369" s="425"/>
      <c r="U369" s="425">
        <f t="shared" ref="U369" si="433">U368+U363+U359+U355</f>
        <v>0</v>
      </c>
      <c r="V369" s="425"/>
      <c r="W369" s="425"/>
      <c r="X369" s="425"/>
      <c r="Y369" s="425"/>
      <c r="Z369" s="425"/>
      <c r="AA369" s="425"/>
      <c r="AB369" s="425"/>
      <c r="AC369" s="425"/>
      <c r="AD369" s="425">
        <f t="shared" ref="AD369:AJ369" si="434">AD368+AD363+AD359+AD355</f>
        <v>4462000000</v>
      </c>
      <c r="AE369" s="425">
        <f t="shared" ref="AE369:AF369" si="435">AE368+AE363+AE359+AE355</f>
        <v>469040586</v>
      </c>
      <c r="AF369" s="425">
        <f t="shared" si="435"/>
        <v>469040586</v>
      </c>
      <c r="AG369" s="425">
        <f t="shared" si="434"/>
        <v>0</v>
      </c>
      <c r="AH369" s="425"/>
      <c r="AI369" s="425"/>
      <c r="AJ369" s="425">
        <f t="shared" si="434"/>
        <v>0</v>
      </c>
      <c r="AK369" s="425"/>
      <c r="AL369" s="425"/>
      <c r="AM369" s="425"/>
      <c r="AN369" s="425"/>
      <c r="AO369" s="425"/>
      <c r="AP369" s="425">
        <f t="shared" ref="AP369:AY369" si="436">AP368+AP363+AP359+AP355</f>
        <v>60000000</v>
      </c>
      <c r="AQ369" s="425">
        <f t="shared" ref="AQ369:AR369" si="437">AQ368+AQ363+AQ359+AQ355</f>
        <v>0</v>
      </c>
      <c r="AR369" s="425">
        <f t="shared" si="437"/>
        <v>0</v>
      </c>
      <c r="AS369" s="425">
        <f t="shared" si="436"/>
        <v>0</v>
      </c>
      <c r="AT369" s="425"/>
      <c r="AU369" s="425"/>
      <c r="AV369" s="425">
        <f t="shared" si="436"/>
        <v>0</v>
      </c>
      <c r="AW369" s="425"/>
      <c r="AX369" s="425"/>
      <c r="AY369" s="425">
        <f t="shared" si="436"/>
        <v>4522000000</v>
      </c>
      <c r="AZ369" s="425">
        <f t="shared" ref="AZ369:BA369" si="438">AZ368+AZ363+AZ359+AZ355</f>
        <v>469040586</v>
      </c>
      <c r="BA369" s="425">
        <f t="shared" si="438"/>
        <v>469040586</v>
      </c>
    </row>
    <row r="370" spans="1:53" ht="15" x14ac:dyDescent="0.25">
      <c r="A370" s="27"/>
      <c r="B370" s="58"/>
      <c r="C370" s="651"/>
      <c r="D370" s="58"/>
      <c r="E370" s="58"/>
      <c r="F370" s="651"/>
      <c r="G370" s="58"/>
      <c r="H370" s="356"/>
      <c r="I370" s="700"/>
      <c r="J370" s="108"/>
      <c r="K370" s="651"/>
      <c r="L370" s="60"/>
      <c r="M370" s="60"/>
      <c r="N370" s="60"/>
      <c r="O370" s="60"/>
      <c r="P370" s="145"/>
      <c r="Q370" s="145"/>
      <c r="R370" s="145"/>
      <c r="S370" s="145"/>
      <c r="T370" s="145"/>
      <c r="U370" s="145"/>
      <c r="V370" s="145"/>
      <c r="W370" s="145"/>
      <c r="X370" s="60"/>
      <c r="Y370" s="60"/>
      <c r="Z370" s="60"/>
      <c r="AA370" s="60"/>
      <c r="AB370" s="60"/>
      <c r="AC370" s="60"/>
      <c r="AD370" s="60"/>
      <c r="AE370" s="60"/>
      <c r="AF370" s="60"/>
      <c r="AG370" s="60"/>
      <c r="AH370" s="145"/>
      <c r="AI370" s="145"/>
      <c r="AJ370" s="145"/>
      <c r="AK370" s="145"/>
      <c r="AL370" s="145"/>
      <c r="AM370" s="145"/>
      <c r="AN370" s="145"/>
      <c r="AO370" s="145"/>
      <c r="AP370" s="248"/>
      <c r="AQ370" s="248"/>
      <c r="AR370" s="248"/>
      <c r="AS370" s="60"/>
      <c r="AT370" s="60"/>
      <c r="AU370" s="60"/>
      <c r="AV370" s="60"/>
      <c r="AW370" s="145"/>
      <c r="AX370" s="145"/>
      <c r="AY370" s="64"/>
      <c r="AZ370" s="64"/>
      <c r="BA370" s="64"/>
    </row>
    <row r="371" spans="1:53" x14ac:dyDescent="0.25">
      <c r="A371" s="27"/>
      <c r="B371" s="154">
        <v>16</v>
      </c>
      <c r="C371" s="634" t="s">
        <v>605</v>
      </c>
      <c r="D371" s="17"/>
      <c r="E371" s="17"/>
      <c r="F371" s="640"/>
      <c r="G371" s="17"/>
      <c r="H371" s="17"/>
      <c r="I371" s="682"/>
      <c r="J371" s="17"/>
      <c r="K371" s="17"/>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3"/>
      <c r="AQ371" s="73"/>
      <c r="AR371" s="73"/>
      <c r="AS371" s="72"/>
      <c r="AT371" s="72"/>
      <c r="AU371" s="72"/>
      <c r="AV371" s="72"/>
      <c r="AW371" s="72"/>
      <c r="AX371" s="72"/>
      <c r="AY371" s="74"/>
      <c r="AZ371" s="74"/>
      <c r="BA371" s="74"/>
    </row>
    <row r="372" spans="1:53" ht="15" x14ac:dyDescent="0.25">
      <c r="A372" s="27"/>
      <c r="B372" s="71"/>
      <c r="C372" s="651"/>
      <c r="D372" s="58"/>
      <c r="E372" s="76">
        <v>57</v>
      </c>
      <c r="F372" s="78" t="s">
        <v>606</v>
      </c>
      <c r="G372" s="78"/>
      <c r="H372" s="78"/>
      <c r="I372" s="222"/>
      <c r="J372" s="78"/>
      <c r="K372" s="78"/>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80"/>
      <c r="AQ372" s="80"/>
      <c r="AR372" s="80"/>
      <c r="AS372" s="79"/>
      <c r="AT372" s="79"/>
      <c r="AU372" s="79"/>
      <c r="AV372" s="79"/>
      <c r="AW372" s="79"/>
      <c r="AX372" s="79"/>
      <c r="AY372" s="81"/>
      <c r="AZ372" s="81"/>
      <c r="BA372" s="81"/>
    </row>
    <row r="373" spans="1:53" ht="79.5" customHeight="1" x14ac:dyDescent="0.25">
      <c r="A373" s="178"/>
      <c r="B373" s="178"/>
      <c r="C373" s="219">
        <v>14</v>
      </c>
      <c r="D373" s="167" t="s">
        <v>533</v>
      </c>
      <c r="E373" s="641"/>
      <c r="F373" s="182">
        <v>182</v>
      </c>
      <c r="G373" s="641" t="s">
        <v>257</v>
      </c>
      <c r="H373" s="215" t="s">
        <v>581</v>
      </c>
      <c r="I373" s="672" t="s">
        <v>258</v>
      </c>
      <c r="J373" s="641" t="s">
        <v>259</v>
      </c>
      <c r="K373" s="182" t="s">
        <v>466</v>
      </c>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3"/>
      <c r="AN373" s="186"/>
      <c r="AO373" s="186"/>
      <c r="AP373" s="352">
        <f>25000000-5000000</f>
        <v>20000000</v>
      </c>
      <c r="AQ373" s="352">
        <v>15680000</v>
      </c>
      <c r="AR373" s="352"/>
      <c r="AS373" s="186"/>
      <c r="AT373" s="186"/>
      <c r="AU373" s="186"/>
      <c r="AV373" s="186"/>
      <c r="AW373" s="186"/>
      <c r="AX373" s="186"/>
      <c r="AY373" s="37">
        <f t="shared" ref="AY373" si="439">+L373+O373+R373+U373+X373+AA373+AD373+AG373+AJ373+AM373+AP373+AS373+AV373</f>
        <v>20000000</v>
      </c>
      <c r="AZ373" s="37">
        <f t="shared" ref="AZ373" si="440">+M373+P373+S373+V373+Y373+AB373+AE373+AH373+AK373+AN373+AQ373+AT373+AW373</f>
        <v>15680000</v>
      </c>
      <c r="BA373" s="37">
        <f t="shared" ref="BA373" si="441">+N373+Q373+T373+W373+Z373+AC373+AF373+AI373+AL373+AO373+AR373+AU373+AX373</f>
        <v>0</v>
      </c>
    </row>
    <row r="374" spans="1:53" ht="19.5" customHeight="1" x14ac:dyDescent="0.25">
      <c r="A374" s="27"/>
      <c r="B374" s="39"/>
      <c r="C374" s="427"/>
      <c r="D374" s="428"/>
      <c r="E374" s="40"/>
      <c r="F374" s="41"/>
      <c r="G374" s="40"/>
      <c r="H374" s="353"/>
      <c r="I374" s="685"/>
      <c r="J374" s="40"/>
      <c r="K374" s="41"/>
      <c r="L374" s="43"/>
      <c r="M374" s="43"/>
      <c r="N374" s="43"/>
      <c r="O374" s="43"/>
      <c r="P374" s="43"/>
      <c r="Q374" s="43"/>
      <c r="R374" s="43"/>
      <c r="S374" s="43"/>
      <c r="T374" s="43"/>
      <c r="U374" s="43">
        <f t="shared" ref="U374:W374" si="442">SUM(U373)</f>
        <v>0</v>
      </c>
      <c r="V374" s="43">
        <f t="shared" si="442"/>
        <v>0</v>
      </c>
      <c r="W374" s="43">
        <f t="shared" si="442"/>
        <v>0</v>
      </c>
      <c r="X374" s="43"/>
      <c r="Y374" s="43"/>
      <c r="Z374" s="43"/>
      <c r="AA374" s="43"/>
      <c r="AB374" s="43"/>
      <c r="AC374" s="43"/>
      <c r="AD374" s="43">
        <f t="shared" ref="AD374:AY374" si="443">SUM(AD373)</f>
        <v>0</v>
      </c>
      <c r="AE374" s="43">
        <f t="shared" ref="AE374:AF374" si="444">SUM(AE373)</f>
        <v>0</v>
      </c>
      <c r="AF374" s="43">
        <f t="shared" si="444"/>
        <v>0</v>
      </c>
      <c r="AG374" s="43">
        <f t="shared" si="443"/>
        <v>0</v>
      </c>
      <c r="AH374" s="43">
        <f t="shared" ref="AH374:AI374" si="445">SUM(AH373)</f>
        <v>0</v>
      </c>
      <c r="AI374" s="43">
        <f t="shared" si="445"/>
        <v>0</v>
      </c>
      <c r="AJ374" s="43">
        <f t="shared" si="443"/>
        <v>0</v>
      </c>
      <c r="AK374" s="43"/>
      <c r="AL374" s="43"/>
      <c r="AM374" s="43">
        <f t="shared" si="443"/>
        <v>0</v>
      </c>
      <c r="AN374" s="43"/>
      <c r="AO374" s="43"/>
      <c r="AP374" s="43">
        <f t="shared" si="443"/>
        <v>20000000</v>
      </c>
      <c r="AQ374" s="43">
        <f t="shared" ref="AQ374:AR374" si="446">SUM(AQ373)</f>
        <v>15680000</v>
      </c>
      <c r="AR374" s="43">
        <f t="shared" si="446"/>
        <v>0</v>
      </c>
      <c r="AS374" s="43">
        <f t="shared" si="443"/>
        <v>0</v>
      </c>
      <c r="AT374" s="43"/>
      <c r="AU374" s="43"/>
      <c r="AV374" s="43">
        <f t="shared" si="443"/>
        <v>0</v>
      </c>
      <c r="AW374" s="43"/>
      <c r="AX374" s="43"/>
      <c r="AY374" s="43">
        <f t="shared" si="443"/>
        <v>20000000</v>
      </c>
      <c r="AZ374" s="43">
        <f t="shared" ref="AZ374:BA374" si="447">SUM(AZ373)</f>
        <v>15680000</v>
      </c>
      <c r="BA374" s="43">
        <f t="shared" si="447"/>
        <v>0</v>
      </c>
    </row>
    <row r="375" spans="1:53" ht="23.25" customHeight="1" x14ac:dyDescent="0.25">
      <c r="A375" s="38"/>
      <c r="B375" s="429"/>
      <c r="C375" s="430"/>
      <c r="D375" s="431"/>
      <c r="E375" s="45"/>
      <c r="F375" s="46"/>
      <c r="G375" s="45"/>
      <c r="H375" s="363"/>
      <c r="I375" s="686"/>
      <c r="J375" s="45"/>
      <c r="K375" s="46"/>
      <c r="L375" s="48"/>
      <c r="M375" s="48"/>
      <c r="N375" s="48"/>
      <c r="O375" s="48"/>
      <c r="P375" s="48"/>
      <c r="Q375" s="48"/>
      <c r="R375" s="48"/>
      <c r="S375" s="48"/>
      <c r="T375" s="48"/>
      <c r="U375" s="48">
        <f t="shared" ref="U375:W375" si="448">U374</f>
        <v>0</v>
      </c>
      <c r="V375" s="48">
        <f t="shared" si="448"/>
        <v>0</v>
      </c>
      <c r="W375" s="48">
        <f t="shared" si="448"/>
        <v>0</v>
      </c>
      <c r="X375" s="48"/>
      <c r="Y375" s="48"/>
      <c r="Z375" s="48"/>
      <c r="AA375" s="48"/>
      <c r="AB375" s="48"/>
      <c r="AC375" s="48"/>
      <c r="AD375" s="48">
        <f t="shared" ref="AD375:AY375" si="449">AD374</f>
        <v>0</v>
      </c>
      <c r="AE375" s="48">
        <f t="shared" ref="AE375:AF375" si="450">AE374</f>
        <v>0</v>
      </c>
      <c r="AF375" s="48">
        <f t="shared" si="450"/>
        <v>0</v>
      </c>
      <c r="AG375" s="48">
        <f t="shared" si="449"/>
        <v>0</v>
      </c>
      <c r="AH375" s="48">
        <f t="shared" ref="AH375:AI375" si="451">AH374</f>
        <v>0</v>
      </c>
      <c r="AI375" s="48">
        <f t="shared" si="451"/>
        <v>0</v>
      </c>
      <c r="AJ375" s="48">
        <f t="shared" si="449"/>
        <v>0</v>
      </c>
      <c r="AK375" s="48"/>
      <c r="AL375" s="48"/>
      <c r="AM375" s="48">
        <f t="shared" si="449"/>
        <v>0</v>
      </c>
      <c r="AN375" s="48"/>
      <c r="AO375" s="48"/>
      <c r="AP375" s="48">
        <f t="shared" si="449"/>
        <v>20000000</v>
      </c>
      <c r="AQ375" s="48">
        <f t="shared" ref="AQ375:AR375" si="452">AQ374</f>
        <v>15680000</v>
      </c>
      <c r="AR375" s="48">
        <f t="shared" si="452"/>
        <v>0</v>
      </c>
      <c r="AS375" s="48">
        <f t="shared" si="449"/>
        <v>0</v>
      </c>
      <c r="AT375" s="48"/>
      <c r="AU375" s="48"/>
      <c r="AV375" s="48">
        <f t="shared" si="449"/>
        <v>0</v>
      </c>
      <c r="AW375" s="48"/>
      <c r="AX375" s="48"/>
      <c r="AY375" s="48">
        <f t="shared" si="449"/>
        <v>20000000</v>
      </c>
      <c r="AZ375" s="48">
        <f t="shared" ref="AZ375:BA375" si="453">AZ374</f>
        <v>15680000</v>
      </c>
      <c r="BA375" s="48">
        <f t="shared" si="453"/>
        <v>0</v>
      </c>
    </row>
    <row r="376" spans="1:53" ht="23.25" customHeight="1" x14ac:dyDescent="0.25">
      <c r="A376" s="49"/>
      <c r="B376" s="432"/>
      <c r="C376" s="433"/>
      <c r="D376" s="432"/>
      <c r="E376" s="49"/>
      <c r="F376" s="50"/>
      <c r="G376" s="49"/>
      <c r="H376" s="434"/>
      <c r="I376" s="687"/>
      <c r="J376" s="49"/>
      <c r="K376" s="50"/>
      <c r="L376" s="52"/>
      <c r="M376" s="52"/>
      <c r="N376" s="52"/>
      <c r="O376" s="52"/>
      <c r="P376" s="52"/>
      <c r="Q376" s="52"/>
      <c r="R376" s="52"/>
      <c r="S376" s="52"/>
      <c r="T376" s="52"/>
      <c r="U376" s="52">
        <f>U375+U369+U349+U336+U321</f>
        <v>2599543380</v>
      </c>
      <c r="V376" s="52">
        <f t="shared" ref="V376:W376" si="454">V375+V369+V349+V336+V321</f>
        <v>1277519050</v>
      </c>
      <c r="W376" s="52">
        <f t="shared" si="454"/>
        <v>0</v>
      </c>
      <c r="X376" s="52"/>
      <c r="Y376" s="52"/>
      <c r="Z376" s="52"/>
      <c r="AA376" s="52"/>
      <c r="AB376" s="52"/>
      <c r="AC376" s="52"/>
      <c r="AD376" s="52">
        <f t="shared" ref="AD376:AY376" si="455">AD375+AD369+AD349+AD336+AD321</f>
        <v>134430000000</v>
      </c>
      <c r="AE376" s="52">
        <f t="shared" ref="AE376:AF376" si="456">AE375+AE369+AE349+AE336+AE321</f>
        <v>28801978099</v>
      </c>
      <c r="AF376" s="52">
        <f t="shared" si="456"/>
        <v>27288668841</v>
      </c>
      <c r="AG376" s="52">
        <f t="shared" si="455"/>
        <v>23500000000</v>
      </c>
      <c r="AH376" s="52">
        <f t="shared" ref="AH376:AI376" si="457">AH375+AH369+AH349+AH336+AH321</f>
        <v>6742325972</v>
      </c>
      <c r="AI376" s="52">
        <f t="shared" si="457"/>
        <v>6742325972</v>
      </c>
      <c r="AJ376" s="52">
        <f t="shared" si="455"/>
        <v>12150000000</v>
      </c>
      <c r="AK376" s="52"/>
      <c r="AL376" s="52"/>
      <c r="AM376" s="52">
        <f t="shared" si="455"/>
        <v>0</v>
      </c>
      <c r="AN376" s="52"/>
      <c r="AO376" s="52"/>
      <c r="AP376" s="52">
        <f t="shared" si="455"/>
        <v>2993641000</v>
      </c>
      <c r="AQ376" s="52">
        <f t="shared" ref="AQ376:AR376" si="458">AQ375+AQ369+AQ349+AQ336+AQ321</f>
        <v>1575388168</v>
      </c>
      <c r="AR376" s="52">
        <f t="shared" si="458"/>
        <v>429729837</v>
      </c>
      <c r="AS376" s="52">
        <f t="shared" si="455"/>
        <v>0</v>
      </c>
      <c r="AT376" s="52"/>
      <c r="AU376" s="52"/>
      <c r="AV376" s="52">
        <f t="shared" si="455"/>
        <v>0</v>
      </c>
      <c r="AW376" s="52"/>
      <c r="AX376" s="52"/>
      <c r="AY376" s="52">
        <f t="shared" si="455"/>
        <v>175673184380</v>
      </c>
      <c r="AZ376" s="52">
        <f t="shared" ref="AZ376:BA376" si="459">AZ375+AZ369+AZ349+AZ336+AZ321</f>
        <v>48530315001</v>
      </c>
      <c r="BA376" s="52">
        <f t="shared" si="459"/>
        <v>34518474650</v>
      </c>
    </row>
    <row r="377" spans="1:53" ht="21.75" customHeight="1" x14ac:dyDescent="0.25">
      <c r="A377" s="53"/>
      <c r="B377" s="53"/>
      <c r="C377" s="54"/>
      <c r="D377" s="53"/>
      <c r="E377" s="53"/>
      <c r="F377" s="54"/>
      <c r="G377" s="53"/>
      <c r="H377" s="55"/>
      <c r="I377" s="688"/>
      <c r="J377" s="53"/>
      <c r="K377" s="54"/>
      <c r="L377" s="56"/>
      <c r="M377" s="56"/>
      <c r="N377" s="56"/>
      <c r="O377" s="56"/>
      <c r="P377" s="56"/>
      <c r="Q377" s="56"/>
      <c r="R377" s="56"/>
      <c r="S377" s="56"/>
      <c r="T377" s="56"/>
      <c r="U377" s="56">
        <f t="shared" ref="U377:W377" si="460">+U376</f>
        <v>2599543380</v>
      </c>
      <c r="V377" s="56">
        <f t="shared" si="460"/>
        <v>1277519050</v>
      </c>
      <c r="W377" s="56">
        <f t="shared" si="460"/>
        <v>0</v>
      </c>
      <c r="X377" s="56"/>
      <c r="Y377" s="56"/>
      <c r="Z377" s="56"/>
      <c r="AA377" s="56"/>
      <c r="AB377" s="56"/>
      <c r="AC377" s="56"/>
      <c r="AD377" s="56">
        <f t="shared" ref="AD377:AY377" si="461">+AD376</f>
        <v>134430000000</v>
      </c>
      <c r="AE377" s="56">
        <f t="shared" ref="AE377:AF377" si="462">+AE376</f>
        <v>28801978099</v>
      </c>
      <c r="AF377" s="56">
        <f t="shared" si="462"/>
        <v>27288668841</v>
      </c>
      <c r="AG377" s="56">
        <f t="shared" si="461"/>
        <v>23500000000</v>
      </c>
      <c r="AH377" s="56">
        <f t="shared" ref="AH377:AI377" si="463">+AH376</f>
        <v>6742325972</v>
      </c>
      <c r="AI377" s="56">
        <f t="shared" si="463"/>
        <v>6742325972</v>
      </c>
      <c r="AJ377" s="56">
        <f t="shared" si="461"/>
        <v>12150000000</v>
      </c>
      <c r="AK377" s="56"/>
      <c r="AL377" s="56"/>
      <c r="AM377" s="56">
        <f t="shared" si="461"/>
        <v>0</v>
      </c>
      <c r="AN377" s="56"/>
      <c r="AO377" s="56"/>
      <c r="AP377" s="56">
        <f t="shared" si="461"/>
        <v>2993641000</v>
      </c>
      <c r="AQ377" s="56">
        <f t="shared" ref="AQ377:AR377" si="464">+AQ376</f>
        <v>1575388168</v>
      </c>
      <c r="AR377" s="56">
        <f t="shared" si="464"/>
        <v>429729837</v>
      </c>
      <c r="AS377" s="56">
        <f t="shared" si="461"/>
        <v>0</v>
      </c>
      <c r="AT377" s="56"/>
      <c r="AU377" s="56"/>
      <c r="AV377" s="56">
        <f t="shared" si="461"/>
        <v>0</v>
      </c>
      <c r="AW377" s="56"/>
      <c r="AX377" s="56"/>
      <c r="AY377" s="56">
        <f t="shared" si="461"/>
        <v>175673184380</v>
      </c>
      <c r="AZ377" s="56">
        <f t="shared" ref="AZ377:BA377" si="465">+AZ376</f>
        <v>48530315001</v>
      </c>
      <c r="BA377" s="56">
        <f t="shared" si="465"/>
        <v>34518474650</v>
      </c>
    </row>
    <row r="378" spans="1:53" ht="26.25" customHeight="1" x14ac:dyDescent="0.25">
      <c r="A378" s="57"/>
      <c r="B378" s="58"/>
      <c r="C378" s="651"/>
      <c r="D378" s="58"/>
      <c r="E378" s="58"/>
      <c r="F378" s="651"/>
      <c r="G378" s="58"/>
      <c r="H378" s="59"/>
      <c r="I378" s="689"/>
      <c r="J378" s="58"/>
      <c r="K378" s="651"/>
      <c r="L378" s="60"/>
      <c r="M378" s="60"/>
      <c r="N378" s="60"/>
      <c r="O378" s="60"/>
      <c r="P378" s="60"/>
      <c r="Q378" s="60"/>
      <c r="R378" s="60"/>
      <c r="S378" s="60"/>
      <c r="T378" s="60"/>
      <c r="U378" s="60"/>
      <c r="V378" s="60"/>
      <c r="W378" s="60"/>
      <c r="X378" s="60"/>
      <c r="Y378" s="60"/>
      <c r="Z378" s="60"/>
      <c r="AA378" s="60"/>
      <c r="AB378" s="60"/>
      <c r="AC378" s="60"/>
      <c r="AD378" s="61"/>
      <c r="AE378" s="61"/>
      <c r="AF378" s="61"/>
      <c r="AG378" s="61"/>
      <c r="AH378" s="61"/>
      <c r="AI378" s="61"/>
      <c r="AJ378" s="60"/>
      <c r="AK378" s="60"/>
      <c r="AL378" s="60"/>
      <c r="AM378" s="60"/>
      <c r="AN378" s="60"/>
      <c r="AO378" s="60"/>
      <c r="AP378" s="435"/>
      <c r="AQ378" s="435"/>
      <c r="AR378" s="435"/>
      <c r="AS378" s="60"/>
      <c r="AT378" s="60"/>
      <c r="AU378" s="60"/>
      <c r="AV378" s="60"/>
      <c r="AW378" s="60"/>
      <c r="AX378" s="60"/>
      <c r="AY378" s="33"/>
      <c r="AZ378" s="33"/>
      <c r="BA378" s="33"/>
    </row>
    <row r="379" spans="1:53" ht="20.25" customHeight="1" x14ac:dyDescent="0.25">
      <c r="A379" s="7" t="s">
        <v>260</v>
      </c>
      <c r="B379" s="8"/>
      <c r="C379" s="9"/>
      <c r="D379" s="8"/>
      <c r="E379" s="8"/>
      <c r="F379" s="9"/>
      <c r="G379" s="8"/>
      <c r="H379" s="8"/>
      <c r="I379" s="680"/>
      <c r="J379" s="8"/>
      <c r="K379" s="9"/>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6"/>
      <c r="AQ379" s="66"/>
      <c r="AR379" s="66"/>
      <c r="AS379" s="65"/>
      <c r="AT379" s="65"/>
      <c r="AU379" s="65"/>
      <c r="AV379" s="65"/>
      <c r="AW379" s="65"/>
      <c r="AX379" s="65"/>
      <c r="AY379" s="436" t="s">
        <v>500</v>
      </c>
      <c r="AZ379" s="436" t="s">
        <v>500</v>
      </c>
      <c r="BA379" s="436" t="s">
        <v>500</v>
      </c>
    </row>
    <row r="380" spans="1:53" ht="15.75" customHeight="1" x14ac:dyDescent="0.25">
      <c r="A380" s="4">
        <v>3</v>
      </c>
      <c r="B380" s="13" t="s">
        <v>525</v>
      </c>
      <c r="C380" s="14"/>
      <c r="D380" s="13"/>
      <c r="E380" s="13"/>
      <c r="F380" s="14"/>
      <c r="G380" s="13"/>
      <c r="H380" s="13"/>
      <c r="I380" s="681"/>
      <c r="J380" s="13"/>
      <c r="K380" s="13"/>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9"/>
      <c r="AQ380" s="69"/>
      <c r="AR380" s="69"/>
      <c r="AS380" s="68"/>
      <c r="AT380" s="68"/>
      <c r="AU380" s="68"/>
      <c r="AV380" s="68"/>
      <c r="AW380" s="68"/>
      <c r="AX380" s="68"/>
      <c r="AY380" s="437"/>
      <c r="AZ380" s="437"/>
      <c r="BA380" s="437"/>
    </row>
    <row r="381" spans="1:53" ht="15.75" customHeight="1" x14ac:dyDescent="0.25">
      <c r="A381" s="71"/>
      <c r="B381" s="154">
        <v>16</v>
      </c>
      <c r="C381" s="634" t="s">
        <v>605</v>
      </c>
      <c r="D381" s="17"/>
      <c r="E381" s="17"/>
      <c r="F381" s="640"/>
      <c r="G381" s="17"/>
      <c r="H381" s="17"/>
      <c r="I381" s="682"/>
      <c r="J381" s="17"/>
      <c r="K381" s="17"/>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3"/>
      <c r="AQ381" s="73"/>
      <c r="AR381" s="73"/>
      <c r="AS381" s="72"/>
      <c r="AT381" s="72"/>
      <c r="AU381" s="72"/>
      <c r="AV381" s="72"/>
      <c r="AW381" s="72"/>
      <c r="AX381" s="72"/>
      <c r="AY381" s="438"/>
      <c r="AZ381" s="438"/>
      <c r="BA381" s="438"/>
    </row>
    <row r="382" spans="1:53" ht="15" customHeight="1" x14ac:dyDescent="0.25">
      <c r="A382" s="27"/>
      <c r="B382" s="439"/>
      <c r="C382" s="651"/>
      <c r="D382" s="58"/>
      <c r="E382" s="76">
        <v>56</v>
      </c>
      <c r="F382" s="78" t="s">
        <v>607</v>
      </c>
      <c r="G382" s="78"/>
      <c r="H382" s="78"/>
      <c r="I382" s="222"/>
      <c r="J382" s="78"/>
      <c r="K382" s="78"/>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80"/>
      <c r="AQ382" s="80"/>
      <c r="AR382" s="80"/>
      <c r="AS382" s="79"/>
      <c r="AT382" s="79"/>
      <c r="AU382" s="79"/>
      <c r="AV382" s="79"/>
      <c r="AW382" s="79"/>
      <c r="AX382" s="79"/>
      <c r="AY382" s="440"/>
      <c r="AZ382" s="440"/>
      <c r="BA382" s="440"/>
    </row>
    <row r="383" spans="1:53" ht="69.75" customHeight="1" x14ac:dyDescent="0.25">
      <c r="A383" s="27"/>
      <c r="B383" s="71"/>
      <c r="C383" s="199">
        <v>29</v>
      </c>
      <c r="D383" s="29" t="s">
        <v>608</v>
      </c>
      <c r="E383" s="100"/>
      <c r="F383" s="31">
        <v>180</v>
      </c>
      <c r="G383" s="29" t="s">
        <v>261</v>
      </c>
      <c r="H383" s="828" t="s">
        <v>609</v>
      </c>
      <c r="I383" s="827" t="s">
        <v>262</v>
      </c>
      <c r="J383" s="828" t="s">
        <v>263</v>
      </c>
      <c r="K383" s="31" t="s">
        <v>466</v>
      </c>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6"/>
      <c r="AI383" s="36"/>
      <c r="AJ383" s="36"/>
      <c r="AK383" s="36"/>
      <c r="AL383" s="36"/>
      <c r="AM383" s="36"/>
      <c r="AN383" s="36"/>
      <c r="AO383" s="36"/>
      <c r="AP383" s="35">
        <v>50000000</v>
      </c>
      <c r="AQ383" s="35"/>
      <c r="AR383" s="35"/>
      <c r="AS383" s="36"/>
      <c r="AT383" s="36"/>
      <c r="AU383" s="36"/>
      <c r="AV383" s="36"/>
      <c r="AW383" s="36"/>
      <c r="AX383" s="36"/>
      <c r="AY383" s="37">
        <f t="shared" ref="AY383:AY384" si="466">+L383+O383+R383+U383+X383+AA383+AD383+AG383+AJ383+AM383+AP383+AS383+AV383</f>
        <v>50000000</v>
      </c>
      <c r="AZ383" s="37">
        <f t="shared" ref="AZ383:AZ384" si="467">+M383+P383+S383+V383+Y383+AB383+AE383+AH383+AK383+AN383+AQ383+AT383+AW383</f>
        <v>0</v>
      </c>
      <c r="BA383" s="37">
        <f t="shared" ref="BA383:BA384" si="468">+N383+Q383+T383+W383+Z383+AC383+AF383+AI383+AL383+AO383+AR383+AU383+AX383</f>
        <v>0</v>
      </c>
    </row>
    <row r="384" spans="1:53" ht="71.25" customHeight="1" x14ac:dyDescent="0.25">
      <c r="A384" s="27"/>
      <c r="B384" s="39"/>
      <c r="C384" s="441">
        <v>30</v>
      </c>
      <c r="D384" s="29" t="s">
        <v>610</v>
      </c>
      <c r="E384" s="38"/>
      <c r="F384" s="31">
        <v>181</v>
      </c>
      <c r="G384" s="29" t="s">
        <v>264</v>
      </c>
      <c r="H384" s="831"/>
      <c r="I384" s="830"/>
      <c r="J384" s="831"/>
      <c r="K384" s="31" t="s">
        <v>466</v>
      </c>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6"/>
      <c r="AI384" s="36"/>
      <c r="AJ384" s="36"/>
      <c r="AK384" s="36"/>
      <c r="AL384" s="36"/>
      <c r="AM384" s="36"/>
      <c r="AN384" s="36"/>
      <c r="AO384" s="36"/>
      <c r="AP384" s="35">
        <v>30000000</v>
      </c>
      <c r="AQ384" s="35">
        <v>8533333</v>
      </c>
      <c r="AR384" s="35">
        <v>4240000</v>
      </c>
      <c r="AS384" s="36"/>
      <c r="AT384" s="36"/>
      <c r="AU384" s="36"/>
      <c r="AV384" s="36"/>
      <c r="AW384" s="36"/>
      <c r="AX384" s="36"/>
      <c r="AY384" s="37">
        <f t="shared" si="466"/>
        <v>30000000</v>
      </c>
      <c r="AZ384" s="37">
        <f t="shared" si="467"/>
        <v>8533333</v>
      </c>
      <c r="BA384" s="37">
        <f t="shared" si="468"/>
        <v>4240000</v>
      </c>
    </row>
    <row r="385" spans="1:53" ht="15" customHeight="1" x14ac:dyDescent="0.25">
      <c r="A385" s="27"/>
      <c r="B385" s="439"/>
      <c r="C385" s="427"/>
      <c r="D385" s="641"/>
      <c r="E385" s="40"/>
      <c r="F385" s="41"/>
      <c r="G385" s="40"/>
      <c r="H385" s="41"/>
      <c r="I385" s="685"/>
      <c r="J385" s="40"/>
      <c r="K385" s="41"/>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173">
        <f t="shared" ref="AP385:AY385" si="469">SUM(AP383:AP384)</f>
        <v>80000000</v>
      </c>
      <c r="AQ385" s="173">
        <f t="shared" ref="AQ385:AR385" si="470">SUM(AQ383:AQ384)</f>
        <v>8533333</v>
      </c>
      <c r="AR385" s="173">
        <f t="shared" si="470"/>
        <v>4240000</v>
      </c>
      <c r="AS385" s="173">
        <f t="shared" si="469"/>
        <v>0</v>
      </c>
      <c r="AT385" s="173"/>
      <c r="AU385" s="173"/>
      <c r="AV385" s="173">
        <f t="shared" si="469"/>
        <v>0</v>
      </c>
      <c r="AW385" s="173"/>
      <c r="AX385" s="173"/>
      <c r="AY385" s="173">
        <f t="shared" si="469"/>
        <v>80000000</v>
      </c>
      <c r="AZ385" s="173">
        <f t="shared" ref="AZ385:BA385" si="471">SUM(AZ383:AZ384)</f>
        <v>8533333</v>
      </c>
      <c r="BA385" s="173">
        <f t="shared" si="471"/>
        <v>4240000</v>
      </c>
    </row>
    <row r="386" spans="1:53" ht="15" customHeight="1" x14ac:dyDescent="0.25">
      <c r="A386" s="27"/>
      <c r="B386" s="429"/>
      <c r="C386" s="430"/>
      <c r="D386" s="45"/>
      <c r="E386" s="45"/>
      <c r="F386" s="46"/>
      <c r="G386" s="45"/>
      <c r="H386" s="46"/>
      <c r="I386" s="686"/>
      <c r="J386" s="45"/>
      <c r="K386" s="46"/>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174">
        <f t="shared" ref="AP386:AY386" si="472">AP385</f>
        <v>80000000</v>
      </c>
      <c r="AQ386" s="174">
        <f t="shared" ref="AQ386:AR386" si="473">AQ385</f>
        <v>8533333</v>
      </c>
      <c r="AR386" s="174">
        <f t="shared" si="473"/>
        <v>4240000</v>
      </c>
      <c r="AS386" s="174">
        <f t="shared" si="472"/>
        <v>0</v>
      </c>
      <c r="AT386" s="174"/>
      <c r="AU386" s="174"/>
      <c r="AV386" s="174">
        <f t="shared" si="472"/>
        <v>0</v>
      </c>
      <c r="AW386" s="174"/>
      <c r="AX386" s="174"/>
      <c r="AY386" s="174">
        <f t="shared" si="472"/>
        <v>80000000</v>
      </c>
      <c r="AZ386" s="174">
        <f t="shared" ref="AZ386:BA386" si="474">AZ385</f>
        <v>8533333</v>
      </c>
      <c r="BA386" s="174">
        <f t="shared" si="474"/>
        <v>4240000</v>
      </c>
    </row>
    <row r="387" spans="1:53" ht="15" customHeight="1" x14ac:dyDescent="0.25">
      <c r="A387" s="27"/>
      <c r="B387" s="442"/>
      <c r="C387" s="443"/>
      <c r="D387" s="58"/>
      <c r="E387" s="58"/>
      <c r="F387" s="651"/>
      <c r="G387" s="58"/>
      <c r="H387" s="651"/>
      <c r="I387" s="689"/>
      <c r="J387" s="58"/>
      <c r="K387" s="651"/>
      <c r="L387" s="60"/>
      <c r="M387" s="60"/>
      <c r="N387" s="60"/>
      <c r="O387" s="60"/>
      <c r="P387" s="60"/>
      <c r="Q387" s="60"/>
      <c r="R387" s="60"/>
      <c r="S387" s="60"/>
      <c r="T387" s="60"/>
      <c r="U387" s="60"/>
      <c r="V387" s="60"/>
      <c r="W387" s="60"/>
      <c r="X387" s="60"/>
      <c r="Y387" s="60"/>
      <c r="Z387" s="60"/>
      <c r="AA387" s="60"/>
      <c r="AB387" s="60"/>
      <c r="AC387" s="60"/>
      <c r="AD387" s="61"/>
      <c r="AE387" s="61"/>
      <c r="AF387" s="61"/>
      <c r="AG387" s="61"/>
      <c r="AH387" s="61"/>
      <c r="AI387" s="61"/>
      <c r="AJ387" s="60"/>
      <c r="AK387" s="60"/>
      <c r="AL387" s="60"/>
      <c r="AM387" s="60"/>
      <c r="AN387" s="60"/>
      <c r="AO387" s="60"/>
      <c r="AP387" s="88"/>
      <c r="AQ387" s="88"/>
      <c r="AR387" s="88"/>
      <c r="AS387" s="60"/>
      <c r="AT387" s="60"/>
      <c r="AU387" s="60"/>
      <c r="AV387" s="60"/>
      <c r="AW387" s="145"/>
      <c r="AX387" s="145"/>
      <c r="AY387" s="64"/>
      <c r="AZ387" s="64"/>
      <c r="BA387" s="64"/>
    </row>
    <row r="388" spans="1:53" ht="15.75" customHeight="1" x14ac:dyDescent="0.25">
      <c r="A388" s="27"/>
      <c r="B388" s="154">
        <v>17</v>
      </c>
      <c r="C388" s="634" t="s">
        <v>611</v>
      </c>
      <c r="D388" s="17"/>
      <c r="E388" s="17"/>
      <c r="F388" s="640"/>
      <c r="G388" s="17"/>
      <c r="H388" s="17"/>
      <c r="I388" s="682"/>
      <c r="J388" s="17"/>
      <c r="K388" s="17"/>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3"/>
      <c r="AQ388" s="73"/>
      <c r="AR388" s="73"/>
      <c r="AS388" s="72"/>
      <c r="AT388" s="72"/>
      <c r="AU388" s="72"/>
      <c r="AV388" s="72"/>
      <c r="AW388" s="72"/>
      <c r="AX388" s="72"/>
      <c r="AY388" s="74"/>
      <c r="AZ388" s="74"/>
      <c r="BA388" s="74"/>
    </row>
    <row r="389" spans="1:53" ht="15" customHeight="1" x14ac:dyDescent="0.25">
      <c r="A389" s="27"/>
      <c r="B389" s="444"/>
      <c r="C389" s="445"/>
      <c r="D389" s="29"/>
      <c r="E389" s="287">
        <v>58</v>
      </c>
      <c r="F389" s="78" t="s">
        <v>612</v>
      </c>
      <c r="G389" s="78"/>
      <c r="H389" s="78"/>
      <c r="I389" s="222"/>
      <c r="J389" s="78"/>
      <c r="K389" s="78"/>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80"/>
      <c r="AQ389" s="80"/>
      <c r="AR389" s="80"/>
      <c r="AS389" s="79"/>
      <c r="AT389" s="79"/>
      <c r="AU389" s="79"/>
      <c r="AV389" s="79"/>
      <c r="AW389" s="79"/>
      <c r="AX389" s="79"/>
      <c r="AY389" s="81"/>
      <c r="AZ389" s="81"/>
      <c r="BA389" s="81"/>
    </row>
    <row r="390" spans="1:53" ht="75.75" customHeight="1" x14ac:dyDescent="0.25">
      <c r="A390" s="178"/>
      <c r="B390" s="446"/>
      <c r="C390" s="204">
        <v>22</v>
      </c>
      <c r="D390" s="641" t="s">
        <v>613</v>
      </c>
      <c r="E390" s="194"/>
      <c r="F390" s="182">
        <v>183</v>
      </c>
      <c r="G390" s="641" t="s">
        <v>265</v>
      </c>
      <c r="H390" s="252" t="s">
        <v>609</v>
      </c>
      <c r="I390" s="672" t="s">
        <v>266</v>
      </c>
      <c r="J390" s="641" t="s">
        <v>267</v>
      </c>
      <c r="K390" s="182" t="s">
        <v>466</v>
      </c>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3"/>
      <c r="AL390" s="183"/>
      <c r="AM390" s="183"/>
      <c r="AN390" s="186"/>
      <c r="AO390" s="186"/>
      <c r="AP390" s="185">
        <v>240000000</v>
      </c>
      <c r="AQ390" s="185">
        <v>29896166</v>
      </c>
      <c r="AR390" s="185">
        <v>17402666</v>
      </c>
      <c r="AS390" s="186"/>
      <c r="AT390" s="186"/>
      <c r="AU390" s="186"/>
      <c r="AV390" s="186"/>
      <c r="AW390" s="186"/>
      <c r="AX390" s="186"/>
      <c r="AY390" s="37">
        <f t="shared" ref="AY390" si="475">+L390+O390+R390+U390+X390+AA390+AD390+AG390+AJ390+AM390+AP390+AS390+AV390</f>
        <v>240000000</v>
      </c>
      <c r="AZ390" s="37">
        <f t="shared" ref="AZ390" si="476">+M390+P390+S390+V390+Y390+AB390+AE390+AH390+AK390+AN390+AQ390+AT390+AW390</f>
        <v>29896166</v>
      </c>
      <c r="BA390" s="37">
        <f t="shared" ref="BA390" si="477">+N390+Q390+T390+W390+Z390+AC390+AF390+AI390+AL390+AO390+AR390+AU390+AX390</f>
        <v>17402666</v>
      </c>
    </row>
    <row r="391" spans="1:53" ht="15" customHeight="1" x14ac:dyDescent="0.25">
      <c r="A391" s="27"/>
      <c r="B391" s="446"/>
      <c r="C391" s="204"/>
      <c r="D391" s="641"/>
      <c r="E391" s="40"/>
      <c r="F391" s="41"/>
      <c r="G391" s="40"/>
      <c r="H391" s="42"/>
      <c r="I391" s="685"/>
      <c r="J391" s="40"/>
      <c r="K391" s="41"/>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173">
        <f t="shared" ref="AP391:AY391" si="478">SUM(AP390:AP390)</f>
        <v>240000000</v>
      </c>
      <c r="AQ391" s="173">
        <f t="shared" si="478"/>
        <v>29896166</v>
      </c>
      <c r="AR391" s="173">
        <f t="shared" si="478"/>
        <v>17402666</v>
      </c>
      <c r="AS391" s="173">
        <f t="shared" si="478"/>
        <v>0</v>
      </c>
      <c r="AT391" s="173"/>
      <c r="AU391" s="173"/>
      <c r="AV391" s="173">
        <f t="shared" si="478"/>
        <v>0</v>
      </c>
      <c r="AW391" s="173"/>
      <c r="AX391" s="173"/>
      <c r="AY391" s="173">
        <f t="shared" si="478"/>
        <v>240000000</v>
      </c>
      <c r="AZ391" s="173">
        <f t="shared" ref="AZ391:BA391" si="479">SUM(AZ390:AZ390)</f>
        <v>29896166</v>
      </c>
      <c r="BA391" s="173">
        <f t="shared" si="479"/>
        <v>17402666</v>
      </c>
    </row>
    <row r="392" spans="1:53" ht="15" customHeight="1" x14ac:dyDescent="0.25">
      <c r="A392" s="27"/>
      <c r="B392" s="446"/>
      <c r="C392" s="447"/>
      <c r="D392" s="448"/>
      <c r="E392" s="141"/>
      <c r="F392" s="142"/>
      <c r="G392" s="141"/>
      <c r="H392" s="143"/>
      <c r="I392" s="697"/>
      <c r="J392" s="141"/>
      <c r="K392" s="142"/>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c r="AH392" s="145"/>
      <c r="AI392" s="145"/>
      <c r="AJ392" s="145"/>
      <c r="AK392" s="145"/>
      <c r="AL392" s="145"/>
      <c r="AM392" s="145"/>
      <c r="AN392" s="145"/>
      <c r="AO392" s="145"/>
      <c r="AP392" s="248"/>
      <c r="AQ392" s="248"/>
      <c r="AR392" s="248"/>
      <c r="AS392" s="145"/>
      <c r="AT392" s="145"/>
      <c r="AU392" s="145"/>
      <c r="AV392" s="145"/>
      <c r="AW392" s="145"/>
      <c r="AX392" s="145"/>
      <c r="AY392" s="64"/>
      <c r="AZ392" s="64"/>
      <c r="BA392" s="64"/>
    </row>
    <row r="393" spans="1:53" ht="15" customHeight="1" x14ac:dyDescent="0.25">
      <c r="A393" s="27"/>
      <c r="B393" s="446"/>
      <c r="C393" s="237"/>
      <c r="D393" s="645"/>
      <c r="E393" s="76">
        <v>59</v>
      </c>
      <c r="F393" s="77" t="s">
        <v>614</v>
      </c>
      <c r="G393" s="77"/>
      <c r="H393" s="77"/>
      <c r="I393" s="222"/>
      <c r="J393" s="77"/>
      <c r="K393" s="77"/>
      <c r="L393" s="449"/>
      <c r="M393" s="449"/>
      <c r="N393" s="449"/>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80"/>
      <c r="AQ393" s="80"/>
      <c r="AR393" s="80"/>
      <c r="AS393" s="79"/>
      <c r="AT393" s="79"/>
      <c r="AU393" s="79"/>
      <c r="AV393" s="79"/>
      <c r="AW393" s="79"/>
      <c r="AX393" s="79"/>
      <c r="AY393" s="81"/>
      <c r="AZ393" s="81"/>
      <c r="BA393" s="81"/>
    </row>
    <row r="394" spans="1:53" ht="94.5" customHeight="1" x14ac:dyDescent="0.25">
      <c r="A394" s="178"/>
      <c r="B394" s="446"/>
      <c r="C394" s="441">
        <v>31</v>
      </c>
      <c r="D394" s="450" t="s">
        <v>615</v>
      </c>
      <c r="E394" s="180"/>
      <c r="F394" s="182">
        <v>184</v>
      </c>
      <c r="G394" s="641" t="s">
        <v>268</v>
      </c>
      <c r="H394" s="642" t="s">
        <v>609</v>
      </c>
      <c r="I394" s="669" t="s">
        <v>269</v>
      </c>
      <c r="J394" s="645" t="s">
        <v>270</v>
      </c>
      <c r="K394" s="215" t="s">
        <v>466</v>
      </c>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6"/>
      <c r="AI394" s="186"/>
      <c r="AJ394" s="186"/>
      <c r="AK394" s="186"/>
      <c r="AL394" s="186"/>
      <c r="AM394" s="186"/>
      <c r="AN394" s="186"/>
      <c r="AO394" s="186"/>
      <c r="AP394" s="185">
        <f>160000000+80000000</f>
        <v>240000000</v>
      </c>
      <c r="AQ394" s="185">
        <v>58602499</v>
      </c>
      <c r="AR394" s="185">
        <v>15107334</v>
      </c>
      <c r="AS394" s="186"/>
      <c r="AT394" s="186"/>
      <c r="AU394" s="186"/>
      <c r="AV394" s="186"/>
      <c r="AW394" s="186"/>
      <c r="AX394" s="186"/>
      <c r="AY394" s="37">
        <f t="shared" ref="AY394" si="480">+L394+O394+R394+U394+X394+AA394+AD394+AG394+AJ394+AM394+AP394+AS394+AV394</f>
        <v>240000000</v>
      </c>
      <c r="AZ394" s="37">
        <f t="shared" ref="AZ394" si="481">+M394+P394+S394+V394+Y394+AB394+AE394+AH394+AK394+AN394+AQ394+AT394+AW394</f>
        <v>58602499</v>
      </c>
      <c r="BA394" s="37">
        <f t="shared" ref="BA394" si="482">+N394+Q394+T394+W394+Z394+AC394+AF394+AI394+AL394+AO394+AR394+AU394+AX394</f>
        <v>15107334</v>
      </c>
    </row>
    <row r="395" spans="1:53" ht="15" customHeight="1" x14ac:dyDescent="0.25">
      <c r="A395" s="27"/>
      <c r="B395" s="451"/>
      <c r="C395" s="204"/>
      <c r="D395" s="641"/>
      <c r="E395" s="40"/>
      <c r="F395" s="41"/>
      <c r="G395" s="40"/>
      <c r="H395" s="42"/>
      <c r="I395" s="685"/>
      <c r="J395" s="40"/>
      <c r="K395" s="41"/>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173">
        <f>SUM(AP394:AP394)</f>
        <v>240000000</v>
      </c>
      <c r="AQ395" s="173">
        <f t="shared" ref="AQ395:AR395" si="483">SUM(AQ394:AQ394)</f>
        <v>58602499</v>
      </c>
      <c r="AR395" s="173">
        <f t="shared" si="483"/>
        <v>15107334</v>
      </c>
      <c r="AS395" s="173">
        <f>SUM(AS394:AS394)</f>
        <v>0</v>
      </c>
      <c r="AT395" s="173"/>
      <c r="AU395" s="173"/>
      <c r="AV395" s="173">
        <f>SUM(AV394:AV394)</f>
        <v>0</v>
      </c>
      <c r="AW395" s="173"/>
      <c r="AX395" s="173"/>
      <c r="AY395" s="173">
        <f>SUM(AY394:AY394)</f>
        <v>240000000</v>
      </c>
      <c r="AZ395" s="173">
        <f t="shared" ref="AZ395:BA395" si="484">SUM(AZ394:AZ394)</f>
        <v>58602499</v>
      </c>
      <c r="BA395" s="173">
        <f t="shared" si="484"/>
        <v>15107334</v>
      </c>
    </row>
    <row r="396" spans="1:53" ht="15" customHeight="1" x14ac:dyDescent="0.25">
      <c r="A396" s="27"/>
      <c r="B396" s="451"/>
      <c r="C396" s="447"/>
      <c r="D396" s="448"/>
      <c r="E396" s="141"/>
      <c r="F396" s="142"/>
      <c r="G396" s="141"/>
      <c r="H396" s="143"/>
      <c r="I396" s="697"/>
      <c r="J396" s="141"/>
      <c r="K396" s="142"/>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5"/>
      <c r="AL396" s="145"/>
      <c r="AM396" s="145"/>
      <c r="AN396" s="145"/>
      <c r="AO396" s="145"/>
      <c r="AP396" s="248"/>
      <c r="AQ396" s="248"/>
      <c r="AR396" s="248"/>
      <c r="AS396" s="145"/>
      <c r="AT396" s="145"/>
      <c r="AU396" s="145"/>
      <c r="AV396" s="145"/>
      <c r="AW396" s="145"/>
      <c r="AX396" s="145"/>
      <c r="AY396" s="64"/>
      <c r="AZ396" s="64"/>
      <c r="BA396" s="64"/>
    </row>
    <row r="397" spans="1:53" ht="15" customHeight="1" x14ac:dyDescent="0.25">
      <c r="A397" s="27"/>
      <c r="B397" s="451"/>
      <c r="C397" s="237"/>
      <c r="D397" s="645"/>
      <c r="E397" s="76">
        <v>60</v>
      </c>
      <c r="F397" s="77" t="s">
        <v>616</v>
      </c>
      <c r="G397" s="78"/>
      <c r="H397" s="78"/>
      <c r="I397" s="222"/>
      <c r="J397" s="78"/>
      <c r="K397" s="78"/>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80"/>
      <c r="AQ397" s="80"/>
      <c r="AR397" s="80"/>
      <c r="AS397" s="79"/>
      <c r="AT397" s="79"/>
      <c r="AU397" s="79"/>
      <c r="AV397" s="79"/>
      <c r="AW397" s="79"/>
      <c r="AX397" s="79"/>
      <c r="AY397" s="81"/>
      <c r="AZ397" s="81"/>
      <c r="BA397" s="81"/>
    </row>
    <row r="398" spans="1:53" ht="80.25" customHeight="1" x14ac:dyDescent="0.25">
      <c r="A398" s="178"/>
      <c r="B398" s="446"/>
      <c r="C398" s="452">
        <v>32</v>
      </c>
      <c r="D398" s="453" t="s">
        <v>617</v>
      </c>
      <c r="E398" s="194"/>
      <c r="F398" s="182">
        <v>187</v>
      </c>
      <c r="G398" s="641" t="s">
        <v>271</v>
      </c>
      <c r="H398" s="642" t="s">
        <v>609</v>
      </c>
      <c r="I398" s="669" t="s">
        <v>272</v>
      </c>
      <c r="J398" s="645" t="s">
        <v>273</v>
      </c>
      <c r="K398" s="182" t="s">
        <v>466</v>
      </c>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6"/>
      <c r="AI398" s="186"/>
      <c r="AJ398" s="186"/>
      <c r="AK398" s="186"/>
      <c r="AL398" s="186"/>
      <c r="AM398" s="186"/>
      <c r="AN398" s="186"/>
      <c r="AO398" s="186"/>
      <c r="AP398" s="185">
        <f>130000000+80000000</f>
        <v>210000000</v>
      </c>
      <c r="AQ398" s="185">
        <v>40401666</v>
      </c>
      <c r="AR398" s="185">
        <v>21350000</v>
      </c>
      <c r="AS398" s="186"/>
      <c r="AT398" s="186"/>
      <c r="AU398" s="186"/>
      <c r="AV398" s="186"/>
      <c r="AW398" s="186"/>
      <c r="AX398" s="186"/>
      <c r="AY398" s="37">
        <f t="shared" ref="AY398" si="485">+L398+O398+R398+U398+X398+AA398+AD398+AG398+AJ398+AM398+AP398+AS398+AV398</f>
        <v>210000000</v>
      </c>
      <c r="AZ398" s="37">
        <f t="shared" ref="AZ398" si="486">+M398+P398+S398+V398+Y398+AB398+AE398+AH398+AK398+AN398+AQ398+AT398+AW398</f>
        <v>40401666</v>
      </c>
      <c r="BA398" s="37">
        <f t="shared" ref="BA398" si="487">+N398+Q398+T398+W398+Z398+AC398+AF398+AI398+AL398+AO398+AR398+AU398+AX398</f>
        <v>21350000</v>
      </c>
    </row>
    <row r="399" spans="1:53" ht="15" customHeight="1" x14ac:dyDescent="0.25">
      <c r="A399" s="27"/>
      <c r="B399" s="451"/>
      <c r="C399" s="204"/>
      <c r="D399" s="641"/>
      <c r="E399" s="40"/>
      <c r="F399" s="41"/>
      <c r="G399" s="40"/>
      <c r="H399" s="42"/>
      <c r="I399" s="685"/>
      <c r="J399" s="40"/>
      <c r="K399" s="41"/>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173">
        <f>SUM(AP398:AP398)</f>
        <v>210000000</v>
      </c>
      <c r="AQ399" s="173">
        <f t="shared" ref="AQ399:AR399" si="488">SUM(AQ398:AQ398)</f>
        <v>40401666</v>
      </c>
      <c r="AR399" s="173">
        <f t="shared" si="488"/>
        <v>21350000</v>
      </c>
      <c r="AS399" s="173">
        <f>SUM(AS398:AS398)</f>
        <v>0</v>
      </c>
      <c r="AT399" s="173"/>
      <c r="AU399" s="173"/>
      <c r="AV399" s="173">
        <f>SUM(AV398:AV398)</f>
        <v>0</v>
      </c>
      <c r="AW399" s="173"/>
      <c r="AX399" s="173"/>
      <c r="AY399" s="173">
        <f>SUM(AY398:AY398)</f>
        <v>210000000</v>
      </c>
      <c r="AZ399" s="173">
        <f t="shared" ref="AZ399:BA399" si="489">SUM(AZ398:AZ398)</f>
        <v>40401666</v>
      </c>
      <c r="BA399" s="173">
        <f t="shared" si="489"/>
        <v>21350000</v>
      </c>
    </row>
    <row r="400" spans="1:53" ht="15" customHeight="1" x14ac:dyDescent="0.25">
      <c r="A400" s="27"/>
      <c r="B400" s="451"/>
      <c r="C400" s="447"/>
      <c r="D400" s="448"/>
      <c r="E400" s="141"/>
      <c r="F400" s="142"/>
      <c r="G400" s="141"/>
      <c r="H400" s="143"/>
      <c r="I400" s="697"/>
      <c r="J400" s="141"/>
      <c r="K400" s="142"/>
      <c r="L400" s="145"/>
      <c r="M400" s="145"/>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5"/>
      <c r="AL400" s="145"/>
      <c r="AM400" s="145"/>
      <c r="AN400" s="145"/>
      <c r="AO400" s="145"/>
      <c r="AP400" s="248"/>
      <c r="AQ400" s="248"/>
      <c r="AR400" s="248"/>
      <c r="AS400" s="145"/>
      <c r="AT400" s="145"/>
      <c r="AU400" s="145"/>
      <c r="AV400" s="145"/>
      <c r="AW400" s="145"/>
      <c r="AX400" s="145"/>
      <c r="AY400" s="64"/>
      <c r="AZ400" s="64"/>
      <c r="BA400" s="64"/>
    </row>
    <row r="401" spans="1:53" ht="15" customHeight="1" x14ac:dyDescent="0.25">
      <c r="A401" s="27"/>
      <c r="B401" s="451"/>
      <c r="C401" s="237"/>
      <c r="D401" s="645"/>
      <c r="E401" s="76">
        <v>61</v>
      </c>
      <c r="F401" s="78" t="s">
        <v>618</v>
      </c>
      <c r="G401" s="78"/>
      <c r="H401" s="78"/>
      <c r="I401" s="222"/>
      <c r="J401" s="78"/>
      <c r="K401" s="78"/>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80"/>
      <c r="AQ401" s="80"/>
      <c r="AR401" s="80"/>
      <c r="AS401" s="79"/>
      <c r="AT401" s="79"/>
      <c r="AU401" s="79"/>
      <c r="AV401" s="79"/>
      <c r="AW401" s="79"/>
      <c r="AX401" s="79"/>
      <c r="AY401" s="81"/>
      <c r="AZ401" s="81"/>
      <c r="BA401" s="81"/>
    </row>
    <row r="402" spans="1:53" ht="75" customHeight="1" x14ac:dyDescent="0.25">
      <c r="A402" s="178"/>
      <c r="B402" s="446"/>
      <c r="C402" s="204">
        <v>34</v>
      </c>
      <c r="D402" s="207" t="s">
        <v>619</v>
      </c>
      <c r="E402" s="194"/>
      <c r="F402" s="182">
        <v>190</v>
      </c>
      <c r="G402" s="641" t="s">
        <v>274</v>
      </c>
      <c r="H402" s="641" t="s">
        <v>609</v>
      </c>
      <c r="I402" s="672" t="s">
        <v>275</v>
      </c>
      <c r="J402" s="641" t="s">
        <v>276</v>
      </c>
      <c r="K402" s="182" t="s">
        <v>466</v>
      </c>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3"/>
      <c r="AL402" s="183"/>
      <c r="AM402" s="183"/>
      <c r="AN402" s="186"/>
      <c r="AO402" s="186"/>
      <c r="AP402" s="185">
        <v>200000000</v>
      </c>
      <c r="AQ402" s="185">
        <v>32053333</v>
      </c>
      <c r="AR402" s="185">
        <v>14400000</v>
      </c>
      <c r="AS402" s="186"/>
      <c r="AT402" s="186"/>
      <c r="AU402" s="186"/>
      <c r="AV402" s="186"/>
      <c r="AW402" s="186"/>
      <c r="AX402" s="186"/>
      <c r="AY402" s="37">
        <f t="shared" ref="AY402" si="490">+L402+O402+R402+U402+X402+AA402+AD402+AG402+AJ402+AM402+AP402+AS402+AV402</f>
        <v>200000000</v>
      </c>
      <c r="AZ402" s="37">
        <f t="shared" ref="AZ402" si="491">+M402+P402+S402+V402+Y402+AB402+AE402+AH402+AK402+AN402+AQ402+AT402+AW402</f>
        <v>32053333</v>
      </c>
      <c r="BA402" s="37">
        <f t="shared" ref="BA402" si="492">+N402+Q402+T402+W402+Z402+AC402+AF402+AI402+AL402+AO402+AR402+AU402+AX402</f>
        <v>14400000</v>
      </c>
    </row>
    <row r="403" spans="1:53" ht="15" customHeight="1" x14ac:dyDescent="0.25">
      <c r="A403" s="27"/>
      <c r="B403" s="454"/>
      <c r="C403" s="204"/>
      <c r="D403" s="641"/>
      <c r="E403" s="40"/>
      <c r="F403" s="41"/>
      <c r="G403" s="40"/>
      <c r="H403" s="41"/>
      <c r="I403" s="685"/>
      <c r="J403" s="40"/>
      <c r="K403" s="41"/>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173">
        <f t="shared" ref="AP403:AY403" si="493">SUM(AP402:AP402)</f>
        <v>200000000</v>
      </c>
      <c r="AQ403" s="173">
        <f t="shared" ref="AQ403:AR403" si="494">SUM(AQ402:AQ402)</f>
        <v>32053333</v>
      </c>
      <c r="AR403" s="173">
        <f t="shared" si="494"/>
        <v>14400000</v>
      </c>
      <c r="AS403" s="173">
        <f t="shared" si="493"/>
        <v>0</v>
      </c>
      <c r="AT403" s="173"/>
      <c r="AU403" s="173"/>
      <c r="AV403" s="173">
        <f t="shared" si="493"/>
        <v>0</v>
      </c>
      <c r="AW403" s="173"/>
      <c r="AX403" s="173"/>
      <c r="AY403" s="173">
        <f t="shared" si="493"/>
        <v>200000000</v>
      </c>
      <c r="AZ403" s="173">
        <f t="shared" ref="AZ403:BA403" si="495">SUM(AZ402:AZ402)</f>
        <v>32053333</v>
      </c>
      <c r="BA403" s="173">
        <f t="shared" si="495"/>
        <v>14400000</v>
      </c>
    </row>
    <row r="404" spans="1:53" ht="15" customHeight="1" x14ac:dyDescent="0.25">
      <c r="A404" s="27"/>
      <c r="B404" s="104"/>
      <c r="C404" s="46"/>
      <c r="D404" s="45"/>
      <c r="E404" s="45"/>
      <c r="F404" s="46"/>
      <c r="G404" s="45"/>
      <c r="H404" s="46"/>
      <c r="I404" s="686"/>
      <c r="J404" s="45"/>
      <c r="K404" s="46"/>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174">
        <f>AP403+AP399+AP395+AP391</f>
        <v>890000000</v>
      </c>
      <c r="AQ404" s="174">
        <f t="shared" ref="AQ404:AR404" si="496">AQ403+AQ399+AQ395+AQ391</f>
        <v>160953664</v>
      </c>
      <c r="AR404" s="174">
        <f t="shared" si="496"/>
        <v>68260000</v>
      </c>
      <c r="AS404" s="174">
        <f>AS403+AS399+AS395+AS391</f>
        <v>0</v>
      </c>
      <c r="AT404" s="174"/>
      <c r="AU404" s="174"/>
      <c r="AV404" s="174">
        <f>AV403+AV399+AV395+AV391</f>
        <v>0</v>
      </c>
      <c r="AW404" s="174"/>
      <c r="AX404" s="174"/>
      <c r="AY404" s="174">
        <f>AY403+AY399+AY395+AY391</f>
        <v>890000000</v>
      </c>
      <c r="AZ404" s="174">
        <f t="shared" ref="AZ404:BA404" si="497">AZ403+AZ399+AZ395+AZ391</f>
        <v>160953664</v>
      </c>
      <c r="BA404" s="174">
        <f t="shared" si="497"/>
        <v>68260000</v>
      </c>
    </row>
    <row r="405" spans="1:53" ht="15" customHeight="1" x14ac:dyDescent="0.25">
      <c r="A405" s="27"/>
      <c r="B405" s="442"/>
      <c r="C405" s="443"/>
      <c r="D405" s="58"/>
      <c r="E405" s="58"/>
      <c r="F405" s="651"/>
      <c r="G405" s="58"/>
      <c r="H405" s="651"/>
      <c r="I405" s="689"/>
      <c r="J405" s="58"/>
      <c r="K405" s="651"/>
      <c r="L405" s="60"/>
      <c r="M405" s="60"/>
      <c r="N405" s="60"/>
      <c r="O405" s="60"/>
      <c r="P405" s="60"/>
      <c r="Q405" s="60"/>
      <c r="R405" s="60"/>
      <c r="S405" s="60"/>
      <c r="T405" s="60"/>
      <c r="U405" s="60"/>
      <c r="V405" s="60"/>
      <c r="W405" s="60"/>
      <c r="X405" s="60"/>
      <c r="Y405" s="60"/>
      <c r="Z405" s="60"/>
      <c r="AA405" s="60"/>
      <c r="AB405" s="60"/>
      <c r="AC405" s="60"/>
      <c r="AD405" s="61"/>
      <c r="AE405" s="61"/>
      <c r="AF405" s="61"/>
      <c r="AG405" s="61"/>
      <c r="AH405" s="63"/>
      <c r="AI405" s="63"/>
      <c r="AJ405" s="145"/>
      <c r="AK405" s="145"/>
      <c r="AL405" s="145"/>
      <c r="AM405" s="145"/>
      <c r="AN405" s="145"/>
      <c r="AO405" s="145"/>
      <c r="AP405" s="357"/>
      <c r="AQ405" s="357"/>
      <c r="AR405" s="357"/>
      <c r="AS405" s="60"/>
      <c r="AT405" s="60"/>
      <c r="AU405" s="60"/>
      <c r="AV405" s="60"/>
      <c r="AW405" s="145"/>
      <c r="AX405" s="145"/>
      <c r="AY405" s="64"/>
      <c r="AZ405" s="64"/>
      <c r="BA405" s="64"/>
    </row>
    <row r="406" spans="1:53" ht="15.75" customHeight="1" x14ac:dyDescent="0.25">
      <c r="A406" s="27"/>
      <c r="B406" s="154">
        <v>18</v>
      </c>
      <c r="C406" s="634" t="s">
        <v>620</v>
      </c>
      <c r="D406" s="17"/>
      <c r="E406" s="17"/>
      <c r="F406" s="640"/>
      <c r="G406" s="17"/>
      <c r="H406" s="17"/>
      <c r="I406" s="682"/>
      <c r="J406" s="17"/>
      <c r="K406" s="17"/>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72"/>
      <c r="AP406" s="73"/>
      <c r="AQ406" s="73"/>
      <c r="AR406" s="73"/>
      <c r="AS406" s="72"/>
      <c r="AT406" s="72"/>
      <c r="AU406" s="72"/>
      <c r="AV406" s="72"/>
      <c r="AW406" s="72"/>
      <c r="AX406" s="72"/>
      <c r="AY406" s="74"/>
      <c r="AZ406" s="74"/>
      <c r="BA406" s="74"/>
    </row>
    <row r="407" spans="1:53" ht="20.25" customHeight="1" x14ac:dyDescent="0.25">
      <c r="A407" s="27"/>
      <c r="B407" s="444"/>
      <c r="C407" s="445"/>
      <c r="D407" s="29"/>
      <c r="E407" s="287">
        <v>62</v>
      </c>
      <c r="F407" s="78" t="s">
        <v>621</v>
      </c>
      <c r="G407" s="78"/>
      <c r="H407" s="78"/>
      <c r="I407" s="222"/>
      <c r="J407" s="78"/>
      <c r="K407" s="78"/>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80"/>
      <c r="AQ407" s="80"/>
      <c r="AR407" s="80"/>
      <c r="AS407" s="79"/>
      <c r="AT407" s="79"/>
      <c r="AU407" s="79"/>
      <c r="AV407" s="79"/>
      <c r="AW407" s="79"/>
      <c r="AX407" s="79"/>
      <c r="AY407" s="81"/>
      <c r="AZ407" s="81"/>
      <c r="BA407" s="81"/>
    </row>
    <row r="408" spans="1:53" ht="117" customHeight="1" x14ac:dyDescent="0.25">
      <c r="A408" s="178"/>
      <c r="B408" s="446"/>
      <c r="C408" s="199">
        <v>5</v>
      </c>
      <c r="D408" s="29" t="s">
        <v>531</v>
      </c>
      <c r="E408" s="194"/>
      <c r="F408" s="182">
        <v>191</v>
      </c>
      <c r="G408" s="641" t="s">
        <v>277</v>
      </c>
      <c r="H408" s="641" t="s">
        <v>609</v>
      </c>
      <c r="I408" s="672" t="s">
        <v>278</v>
      </c>
      <c r="J408" s="641" t="s">
        <v>279</v>
      </c>
      <c r="K408" s="215" t="s">
        <v>466</v>
      </c>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3"/>
      <c r="AL408" s="183"/>
      <c r="AM408" s="183"/>
      <c r="AN408" s="186"/>
      <c r="AO408" s="186"/>
      <c r="AP408" s="185">
        <f>500000000+66924000</f>
        <v>566924000</v>
      </c>
      <c r="AQ408" s="185"/>
      <c r="AR408" s="185"/>
      <c r="AS408" s="186"/>
      <c r="AT408" s="186"/>
      <c r="AU408" s="186"/>
      <c r="AV408" s="186"/>
      <c r="AW408" s="186"/>
      <c r="AX408" s="186"/>
      <c r="AY408" s="37">
        <f t="shared" ref="AY408:AY409" si="498">+L408+O408+R408+U408+X408+AA408+AD408+AG408+AJ408+AM408+AP408+AS408+AV408</f>
        <v>566924000</v>
      </c>
      <c r="AZ408" s="37">
        <f t="shared" ref="AZ408:AZ409" si="499">+M408+P408+S408+V408+Y408+AB408+AE408+AH408+AK408+AN408+AQ408+AT408+AW408</f>
        <v>0</v>
      </c>
      <c r="BA408" s="37">
        <f t="shared" ref="BA408:BA409" si="500">+N408+Q408+T408+W408+Z408+AC408+AF408+AI408+AL408+AO408+AR408+AU408+AX408</f>
        <v>0</v>
      </c>
    </row>
    <row r="409" spans="1:53" ht="78" customHeight="1" x14ac:dyDescent="0.25">
      <c r="A409" s="27"/>
      <c r="B409" s="455"/>
      <c r="C409" s="219">
        <v>27</v>
      </c>
      <c r="D409" s="167" t="s">
        <v>622</v>
      </c>
      <c r="E409" s="30"/>
      <c r="F409" s="31">
        <v>192</v>
      </c>
      <c r="G409" s="29" t="s">
        <v>280</v>
      </c>
      <c r="H409" s="29" t="s">
        <v>609</v>
      </c>
      <c r="I409" s="691" t="s">
        <v>281</v>
      </c>
      <c r="J409" s="29" t="s">
        <v>282</v>
      </c>
      <c r="K409" s="209" t="s">
        <v>466</v>
      </c>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6"/>
      <c r="AO409" s="36"/>
      <c r="AP409" s="35">
        <v>79500000</v>
      </c>
      <c r="AQ409" s="35">
        <v>44520000</v>
      </c>
      <c r="AR409" s="35">
        <v>2800000</v>
      </c>
      <c r="AS409" s="36"/>
      <c r="AT409" s="36"/>
      <c r="AU409" s="36"/>
      <c r="AV409" s="36"/>
      <c r="AW409" s="36"/>
      <c r="AX409" s="36"/>
      <c r="AY409" s="37">
        <f t="shared" si="498"/>
        <v>79500000</v>
      </c>
      <c r="AZ409" s="37">
        <f t="shared" si="499"/>
        <v>44520000</v>
      </c>
      <c r="BA409" s="37">
        <f t="shared" si="500"/>
        <v>2800000</v>
      </c>
    </row>
    <row r="410" spans="1:53" ht="15" customHeight="1" x14ac:dyDescent="0.25">
      <c r="A410" s="27"/>
      <c r="B410" s="451"/>
      <c r="C410" s="204"/>
      <c r="D410" s="641"/>
      <c r="E410" s="40"/>
      <c r="F410" s="41"/>
      <c r="G410" s="40"/>
      <c r="H410" s="41"/>
      <c r="I410" s="685"/>
      <c r="J410" s="40"/>
      <c r="K410" s="41"/>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173">
        <f t="shared" ref="AP410:AY410" si="501">SUM(AP408:AP409)</f>
        <v>646424000</v>
      </c>
      <c r="AQ410" s="173">
        <f t="shared" si="501"/>
        <v>44520000</v>
      </c>
      <c r="AR410" s="173">
        <f t="shared" si="501"/>
        <v>2800000</v>
      </c>
      <c r="AS410" s="173">
        <f t="shared" si="501"/>
        <v>0</v>
      </c>
      <c r="AT410" s="173"/>
      <c r="AU410" s="173"/>
      <c r="AV410" s="173">
        <f t="shared" si="501"/>
        <v>0</v>
      </c>
      <c r="AW410" s="173"/>
      <c r="AX410" s="173"/>
      <c r="AY410" s="173">
        <f t="shared" si="501"/>
        <v>646424000</v>
      </c>
      <c r="AZ410" s="173">
        <f t="shared" ref="AZ410:BA410" si="502">SUM(AZ408:AZ409)</f>
        <v>44520000</v>
      </c>
      <c r="BA410" s="173">
        <f t="shared" si="502"/>
        <v>2800000</v>
      </c>
    </row>
    <row r="411" spans="1:53" ht="15" customHeight="1" x14ac:dyDescent="0.25">
      <c r="A411" s="27"/>
      <c r="B411" s="451"/>
      <c r="C411" s="447"/>
      <c r="D411" s="448"/>
      <c r="E411" s="141"/>
      <c r="F411" s="142"/>
      <c r="G411" s="141"/>
      <c r="H411" s="143"/>
      <c r="I411" s="697"/>
      <c r="J411" s="141"/>
      <c r="K411" s="142"/>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c r="AH411" s="145"/>
      <c r="AI411" s="145"/>
      <c r="AJ411" s="145"/>
      <c r="AK411" s="145"/>
      <c r="AL411" s="145"/>
      <c r="AM411" s="145"/>
      <c r="AN411" s="145"/>
      <c r="AO411" s="145"/>
      <c r="AP411" s="248"/>
      <c r="AQ411" s="248"/>
      <c r="AR411" s="248"/>
      <c r="AS411" s="145"/>
      <c r="AT411" s="145"/>
      <c r="AU411" s="145"/>
      <c r="AV411" s="145"/>
      <c r="AW411" s="145"/>
      <c r="AX411" s="145"/>
      <c r="AY411" s="64"/>
      <c r="AZ411" s="64"/>
      <c r="BA411" s="64"/>
    </row>
    <row r="412" spans="1:53" ht="15" customHeight="1" x14ac:dyDescent="0.25">
      <c r="A412" s="27"/>
      <c r="B412" s="451"/>
      <c r="C412" s="237"/>
      <c r="D412" s="645"/>
      <c r="E412" s="76">
        <v>63</v>
      </c>
      <c r="F412" s="78" t="s">
        <v>623</v>
      </c>
      <c r="G412" s="78"/>
      <c r="H412" s="78"/>
      <c r="I412" s="222"/>
      <c r="J412" s="78"/>
      <c r="K412" s="78"/>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80"/>
      <c r="AQ412" s="80"/>
      <c r="AR412" s="80"/>
      <c r="AS412" s="79"/>
      <c r="AT412" s="79"/>
      <c r="AU412" s="79"/>
      <c r="AV412" s="79"/>
      <c r="AW412" s="79"/>
      <c r="AX412" s="79"/>
      <c r="AY412" s="81"/>
      <c r="AZ412" s="81"/>
      <c r="BA412" s="81"/>
    </row>
    <row r="413" spans="1:53" ht="75" customHeight="1" x14ac:dyDescent="0.25">
      <c r="A413" s="27"/>
      <c r="B413" s="455"/>
      <c r="C413" s="199">
        <v>14</v>
      </c>
      <c r="D413" s="456" t="s">
        <v>533</v>
      </c>
      <c r="E413" s="100"/>
      <c r="F413" s="31">
        <v>193</v>
      </c>
      <c r="G413" s="29" t="s">
        <v>283</v>
      </c>
      <c r="H413" s="29" t="s">
        <v>609</v>
      </c>
      <c r="I413" s="691" t="s">
        <v>284</v>
      </c>
      <c r="J413" s="29" t="s">
        <v>285</v>
      </c>
      <c r="K413" s="31" t="s">
        <v>466</v>
      </c>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6"/>
      <c r="AI413" s="36"/>
      <c r="AJ413" s="36"/>
      <c r="AK413" s="36"/>
      <c r="AL413" s="36"/>
      <c r="AM413" s="36"/>
      <c r="AN413" s="36"/>
      <c r="AO413" s="36"/>
      <c r="AP413" s="35">
        <v>30000000</v>
      </c>
      <c r="AQ413" s="35"/>
      <c r="AR413" s="35"/>
      <c r="AS413" s="36"/>
      <c r="AT413" s="36"/>
      <c r="AU413" s="36"/>
      <c r="AV413" s="36"/>
      <c r="AW413" s="36"/>
      <c r="AX413" s="36"/>
      <c r="AY413" s="37">
        <f t="shared" ref="AY413:AY414" si="503">+L413+O413+R413+U413+X413+AA413+AD413+AG413+AJ413+AM413+AP413+AS413+AV413</f>
        <v>30000000</v>
      </c>
      <c r="AZ413" s="37">
        <f t="shared" ref="AZ413:AZ414" si="504">+M413+P413+S413+V413+Y413+AB413+AE413+AH413+AK413+AN413+AQ413+AT413+AW413</f>
        <v>0</v>
      </c>
      <c r="BA413" s="37">
        <f t="shared" ref="BA413:BA414" si="505">+N413+Q413+T413+W413+Z413+AC413+AF413+AI413+AL413+AO413+AR413+AU413+AX413</f>
        <v>0</v>
      </c>
    </row>
    <row r="414" spans="1:53" ht="78.75" customHeight="1" x14ac:dyDescent="0.25">
      <c r="A414" s="27"/>
      <c r="B414" s="455"/>
      <c r="C414" s="219">
        <v>13</v>
      </c>
      <c r="D414" s="29" t="s">
        <v>624</v>
      </c>
      <c r="E414" s="38"/>
      <c r="F414" s="31">
        <v>194</v>
      </c>
      <c r="G414" s="29" t="s">
        <v>286</v>
      </c>
      <c r="H414" s="29" t="s">
        <v>609</v>
      </c>
      <c r="I414" s="691" t="s">
        <v>287</v>
      </c>
      <c r="J414" s="29" t="s">
        <v>288</v>
      </c>
      <c r="K414" s="31" t="s">
        <v>466</v>
      </c>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6"/>
      <c r="AI414" s="36"/>
      <c r="AJ414" s="36"/>
      <c r="AK414" s="36"/>
      <c r="AL414" s="36"/>
      <c r="AM414" s="36"/>
      <c r="AN414" s="36"/>
      <c r="AO414" s="36"/>
      <c r="AP414" s="35">
        <v>69500000</v>
      </c>
      <c r="AQ414" s="35"/>
      <c r="AR414" s="35"/>
      <c r="AS414" s="36"/>
      <c r="AT414" s="36"/>
      <c r="AU414" s="36"/>
      <c r="AV414" s="36"/>
      <c r="AW414" s="36"/>
      <c r="AX414" s="36"/>
      <c r="AY414" s="37">
        <f t="shared" si="503"/>
        <v>69500000</v>
      </c>
      <c r="AZ414" s="37">
        <f t="shared" si="504"/>
        <v>0</v>
      </c>
      <c r="BA414" s="37">
        <f t="shared" si="505"/>
        <v>0</v>
      </c>
    </row>
    <row r="415" spans="1:53" ht="15" customHeight="1" x14ac:dyDescent="0.25">
      <c r="A415" s="27"/>
      <c r="B415" s="451"/>
      <c r="C415" s="457"/>
      <c r="D415" s="29"/>
      <c r="E415" s="40"/>
      <c r="F415" s="41"/>
      <c r="G415" s="40"/>
      <c r="H415" s="41"/>
      <c r="I415" s="685"/>
      <c r="J415" s="40"/>
      <c r="K415" s="41"/>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173">
        <f t="shared" ref="AP415:AY415" si="506">SUM(AP413:AP414)</f>
        <v>99500000</v>
      </c>
      <c r="AQ415" s="173">
        <f t="shared" si="506"/>
        <v>0</v>
      </c>
      <c r="AR415" s="173">
        <f t="shared" si="506"/>
        <v>0</v>
      </c>
      <c r="AS415" s="173">
        <f t="shared" si="506"/>
        <v>0</v>
      </c>
      <c r="AT415" s="173"/>
      <c r="AU415" s="173"/>
      <c r="AV415" s="173">
        <f t="shared" si="506"/>
        <v>0</v>
      </c>
      <c r="AW415" s="173"/>
      <c r="AX415" s="173"/>
      <c r="AY415" s="173">
        <f t="shared" si="506"/>
        <v>99500000</v>
      </c>
      <c r="AZ415" s="173">
        <f t="shared" ref="AZ415:BA415" si="507">SUM(AZ413:AZ414)</f>
        <v>0</v>
      </c>
      <c r="BA415" s="173">
        <f t="shared" si="507"/>
        <v>0</v>
      </c>
    </row>
    <row r="416" spans="1:53" ht="15" customHeight="1" x14ac:dyDescent="0.25">
      <c r="A416" s="27"/>
      <c r="B416" s="451"/>
      <c r="C416" s="142"/>
      <c r="D416" s="141"/>
      <c r="E416" s="141"/>
      <c r="F416" s="142"/>
      <c r="G416" s="141"/>
      <c r="H416" s="143"/>
      <c r="I416" s="697"/>
      <c r="J416" s="141"/>
      <c r="K416" s="142"/>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5"/>
      <c r="AL416" s="145"/>
      <c r="AM416" s="145"/>
      <c r="AN416" s="145"/>
      <c r="AO416" s="145"/>
      <c r="AP416" s="248"/>
      <c r="AQ416" s="248"/>
      <c r="AR416" s="248"/>
      <c r="AS416" s="145"/>
      <c r="AT416" s="145"/>
      <c r="AU416" s="145"/>
      <c r="AV416" s="145"/>
      <c r="AW416" s="145"/>
      <c r="AX416" s="145"/>
      <c r="AY416" s="64"/>
      <c r="AZ416" s="64"/>
      <c r="BA416" s="64"/>
    </row>
    <row r="417" spans="1:53" ht="15" customHeight="1" x14ac:dyDescent="0.25">
      <c r="A417" s="27"/>
      <c r="B417" s="451"/>
      <c r="C417" s="237"/>
      <c r="D417" s="645"/>
      <c r="E417" s="76">
        <v>64</v>
      </c>
      <c r="F417" s="78" t="s">
        <v>625</v>
      </c>
      <c r="G417" s="78"/>
      <c r="H417" s="78"/>
      <c r="I417" s="222"/>
      <c r="J417" s="78"/>
      <c r="K417" s="78"/>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80"/>
      <c r="AQ417" s="80"/>
      <c r="AR417" s="80"/>
      <c r="AS417" s="79"/>
      <c r="AT417" s="79"/>
      <c r="AU417" s="79"/>
      <c r="AV417" s="79"/>
      <c r="AW417" s="79"/>
      <c r="AX417" s="79"/>
      <c r="AY417" s="81"/>
      <c r="AZ417" s="81"/>
      <c r="BA417" s="81"/>
    </row>
    <row r="418" spans="1:53" ht="71.25" x14ac:dyDescent="0.25">
      <c r="A418" s="27"/>
      <c r="B418" s="455"/>
      <c r="C418" s="31">
        <v>37</v>
      </c>
      <c r="D418" s="29" t="s">
        <v>626</v>
      </c>
      <c r="E418" s="38"/>
      <c r="F418" s="31">
        <v>195</v>
      </c>
      <c r="G418" s="29" t="s">
        <v>289</v>
      </c>
      <c r="H418" s="29" t="s">
        <v>609</v>
      </c>
      <c r="I418" s="691" t="s">
        <v>290</v>
      </c>
      <c r="J418" s="29" t="s">
        <v>291</v>
      </c>
      <c r="K418" s="31" t="s">
        <v>466</v>
      </c>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6"/>
      <c r="AI418" s="36"/>
      <c r="AJ418" s="36"/>
      <c r="AK418" s="36"/>
      <c r="AL418" s="36"/>
      <c r="AM418" s="36"/>
      <c r="AN418" s="36"/>
      <c r="AO418" s="36"/>
      <c r="AP418" s="35">
        <v>100000000</v>
      </c>
      <c r="AQ418" s="35"/>
      <c r="AR418" s="35"/>
      <c r="AS418" s="36"/>
      <c r="AT418" s="36"/>
      <c r="AU418" s="36"/>
      <c r="AV418" s="36"/>
      <c r="AW418" s="36"/>
      <c r="AX418" s="36"/>
      <c r="AY418" s="37">
        <f t="shared" ref="AY418" si="508">+L418+O418+R418+U418+X418+AA418+AD418+AG418+AJ418+AM418+AP418+AS418+AV418</f>
        <v>100000000</v>
      </c>
      <c r="AZ418" s="37">
        <f t="shared" ref="AZ418" si="509">+M418+P418+S418+V418+Y418+AB418+AE418+AH418+AK418+AN418+AQ418+AT418+AW418</f>
        <v>0</v>
      </c>
      <c r="BA418" s="37">
        <f t="shared" ref="BA418" si="510">+N418+Q418+T418+W418+Z418+AC418+AF418+AI418+AL418+AO418+AR418+AU418+AX418</f>
        <v>0</v>
      </c>
    </row>
    <row r="419" spans="1:53" ht="15" customHeight="1" x14ac:dyDescent="0.25">
      <c r="A419" s="27"/>
      <c r="B419" s="451"/>
      <c r="C419" s="204"/>
      <c r="D419" s="641"/>
      <c r="E419" s="40"/>
      <c r="F419" s="41"/>
      <c r="G419" s="40"/>
      <c r="H419" s="41"/>
      <c r="I419" s="685"/>
      <c r="J419" s="40"/>
      <c r="K419" s="41"/>
      <c r="L419" s="354"/>
      <c r="M419" s="354"/>
      <c r="N419" s="354"/>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173">
        <f t="shared" ref="AP419:AY419" si="511">SUM(AP418:AP418)</f>
        <v>100000000</v>
      </c>
      <c r="AQ419" s="173">
        <f t="shared" si="511"/>
        <v>0</v>
      </c>
      <c r="AR419" s="173">
        <f t="shared" si="511"/>
        <v>0</v>
      </c>
      <c r="AS419" s="173">
        <f t="shared" si="511"/>
        <v>0</v>
      </c>
      <c r="AT419" s="173"/>
      <c r="AU419" s="173"/>
      <c r="AV419" s="173">
        <f t="shared" si="511"/>
        <v>0</v>
      </c>
      <c r="AW419" s="173"/>
      <c r="AX419" s="173"/>
      <c r="AY419" s="173">
        <f t="shared" si="511"/>
        <v>100000000</v>
      </c>
      <c r="AZ419" s="173">
        <f t="shared" ref="AZ419:BA419" si="512">SUM(AZ418:AZ418)</f>
        <v>0</v>
      </c>
      <c r="BA419" s="173">
        <f t="shared" si="512"/>
        <v>0</v>
      </c>
    </row>
    <row r="420" spans="1:53" ht="15" customHeight="1" x14ac:dyDescent="0.25">
      <c r="A420" s="27"/>
      <c r="B420" s="451"/>
      <c r="C420" s="142"/>
      <c r="D420" s="141"/>
      <c r="E420" s="141"/>
      <c r="F420" s="142"/>
      <c r="G420" s="141"/>
      <c r="H420" s="143"/>
      <c r="I420" s="697"/>
      <c r="J420" s="141"/>
      <c r="K420" s="142"/>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c r="AH420" s="145"/>
      <c r="AI420" s="145"/>
      <c r="AJ420" s="145"/>
      <c r="AK420" s="145"/>
      <c r="AL420" s="145"/>
      <c r="AM420" s="145"/>
      <c r="AN420" s="145"/>
      <c r="AO420" s="145"/>
      <c r="AP420" s="248"/>
      <c r="AQ420" s="248"/>
      <c r="AR420" s="248"/>
      <c r="AS420" s="145"/>
      <c r="AT420" s="145"/>
      <c r="AU420" s="145"/>
      <c r="AV420" s="145"/>
      <c r="AW420" s="145"/>
      <c r="AX420" s="145"/>
      <c r="AY420" s="64"/>
      <c r="AZ420" s="64"/>
      <c r="BA420" s="64"/>
    </row>
    <row r="421" spans="1:53" ht="15" customHeight="1" x14ac:dyDescent="0.25">
      <c r="A421" s="27"/>
      <c r="B421" s="451"/>
      <c r="C421" s="458"/>
      <c r="D421" s="637"/>
      <c r="E421" s="287">
        <v>65</v>
      </c>
      <c r="F421" s="78" t="s">
        <v>627</v>
      </c>
      <c r="G421" s="78"/>
      <c r="H421" s="78"/>
      <c r="I421" s="222"/>
      <c r="J421" s="78"/>
      <c r="K421" s="78"/>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80"/>
      <c r="AQ421" s="80"/>
      <c r="AR421" s="80"/>
      <c r="AS421" s="79"/>
      <c r="AT421" s="79"/>
      <c r="AU421" s="79"/>
      <c r="AV421" s="79"/>
      <c r="AW421" s="79"/>
      <c r="AX421" s="79"/>
      <c r="AY421" s="81"/>
      <c r="AZ421" s="81"/>
      <c r="BA421" s="81"/>
    </row>
    <row r="422" spans="1:53" ht="84.75" customHeight="1" x14ac:dyDescent="0.25">
      <c r="A422" s="27"/>
      <c r="B422" s="455"/>
      <c r="C422" s="28">
        <v>21</v>
      </c>
      <c r="D422" s="293" t="s">
        <v>628</v>
      </c>
      <c r="E422" s="82"/>
      <c r="F422" s="31">
        <v>196</v>
      </c>
      <c r="G422" s="29" t="s">
        <v>292</v>
      </c>
      <c r="H422" s="29" t="s">
        <v>609</v>
      </c>
      <c r="I422" s="691" t="s">
        <v>293</v>
      </c>
      <c r="J422" s="29" t="s">
        <v>294</v>
      </c>
      <c r="K422" s="31" t="s">
        <v>466</v>
      </c>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6"/>
      <c r="AO422" s="36"/>
      <c r="AP422" s="35">
        <v>200000000</v>
      </c>
      <c r="AQ422" s="35">
        <v>38980000</v>
      </c>
      <c r="AR422" s="35">
        <v>14600000</v>
      </c>
      <c r="AS422" s="36"/>
      <c r="AT422" s="36"/>
      <c r="AU422" s="36"/>
      <c r="AV422" s="36"/>
      <c r="AW422" s="36"/>
      <c r="AX422" s="36"/>
      <c r="AY422" s="37">
        <f t="shared" ref="AY422" si="513">+L422+O422+R422+U422+X422+AA422+AD422+AG422+AJ422+AM422+AP422+AS422+AV422</f>
        <v>200000000</v>
      </c>
      <c r="AZ422" s="37">
        <f t="shared" ref="AZ422" si="514">+M422+P422+S422+V422+Y422+AB422+AE422+AH422+AK422+AN422+AQ422+AT422+AW422</f>
        <v>38980000</v>
      </c>
      <c r="BA422" s="37">
        <f t="shared" ref="BA422" si="515">+N422+Q422+T422+W422+Z422+AC422+AF422+AI422+AL422+AO422+AR422+AU422+AX422</f>
        <v>14600000</v>
      </c>
    </row>
    <row r="423" spans="1:53" ht="15" customHeight="1" x14ac:dyDescent="0.25">
      <c r="A423" s="27"/>
      <c r="B423" s="451"/>
      <c r="C423" s="378"/>
      <c r="D423" s="644"/>
      <c r="E423" s="370"/>
      <c r="F423" s="41"/>
      <c r="G423" s="40"/>
      <c r="H423" s="41"/>
      <c r="I423" s="685"/>
      <c r="J423" s="40"/>
      <c r="K423" s="41"/>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173">
        <f t="shared" ref="AP423:AY423" si="516">SUM(AP422)</f>
        <v>200000000</v>
      </c>
      <c r="AQ423" s="173">
        <f t="shared" si="516"/>
        <v>38980000</v>
      </c>
      <c r="AR423" s="173">
        <f t="shared" si="516"/>
        <v>14600000</v>
      </c>
      <c r="AS423" s="173">
        <f t="shared" si="516"/>
        <v>0</v>
      </c>
      <c r="AT423" s="173"/>
      <c r="AU423" s="173"/>
      <c r="AV423" s="173">
        <f t="shared" si="516"/>
        <v>0</v>
      </c>
      <c r="AW423" s="173"/>
      <c r="AX423" s="173"/>
      <c r="AY423" s="173">
        <f t="shared" si="516"/>
        <v>200000000</v>
      </c>
      <c r="AZ423" s="173">
        <f t="shared" ref="AZ423:BA423" si="517">SUM(AZ422)</f>
        <v>38980000</v>
      </c>
      <c r="BA423" s="173">
        <f t="shared" si="517"/>
        <v>14600000</v>
      </c>
    </row>
    <row r="424" spans="1:53" ht="21" customHeight="1" x14ac:dyDescent="0.25">
      <c r="A424" s="27"/>
      <c r="B424" s="451"/>
      <c r="C424" s="447"/>
      <c r="D424" s="448"/>
      <c r="E424" s="141"/>
      <c r="F424" s="142"/>
      <c r="G424" s="141"/>
      <c r="H424" s="143"/>
      <c r="I424" s="697"/>
      <c r="J424" s="141"/>
      <c r="K424" s="142"/>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c r="AH424" s="145"/>
      <c r="AI424" s="145"/>
      <c r="AJ424" s="145"/>
      <c r="AK424" s="145"/>
      <c r="AL424" s="145"/>
      <c r="AM424" s="145"/>
      <c r="AN424" s="145"/>
      <c r="AO424" s="145"/>
      <c r="AP424" s="248"/>
      <c r="AQ424" s="248"/>
      <c r="AR424" s="248"/>
      <c r="AS424" s="145"/>
      <c r="AT424" s="145"/>
      <c r="AU424" s="145"/>
      <c r="AV424" s="145"/>
      <c r="AW424" s="145"/>
      <c r="AX424" s="145"/>
      <c r="AY424" s="64"/>
      <c r="AZ424" s="64"/>
      <c r="BA424" s="64"/>
    </row>
    <row r="425" spans="1:53" ht="15" customHeight="1" x14ac:dyDescent="0.25">
      <c r="A425" s="27"/>
      <c r="B425" s="451"/>
      <c r="C425" s="237"/>
      <c r="D425" s="645"/>
      <c r="E425" s="76">
        <v>66</v>
      </c>
      <c r="F425" s="78" t="s">
        <v>629</v>
      </c>
      <c r="G425" s="78"/>
      <c r="H425" s="78"/>
      <c r="I425" s="222"/>
      <c r="J425" s="78"/>
      <c r="K425" s="78"/>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80"/>
      <c r="AQ425" s="80"/>
      <c r="AR425" s="80"/>
      <c r="AS425" s="79"/>
      <c r="AT425" s="79"/>
      <c r="AU425" s="79"/>
      <c r="AV425" s="79"/>
      <c r="AW425" s="79"/>
      <c r="AX425" s="79"/>
      <c r="AY425" s="81"/>
      <c r="AZ425" s="81"/>
      <c r="BA425" s="81"/>
    </row>
    <row r="426" spans="1:53" ht="73.5" customHeight="1" x14ac:dyDescent="0.25">
      <c r="A426" s="27"/>
      <c r="B426" s="455"/>
      <c r="C426" s="204">
        <v>21</v>
      </c>
      <c r="D426" s="207" t="s">
        <v>628</v>
      </c>
      <c r="E426" s="38"/>
      <c r="F426" s="28">
        <v>197</v>
      </c>
      <c r="G426" s="29" t="s">
        <v>295</v>
      </c>
      <c r="H426" s="29" t="s">
        <v>609</v>
      </c>
      <c r="I426" s="691" t="s">
        <v>296</v>
      </c>
      <c r="J426" s="29" t="s">
        <v>297</v>
      </c>
      <c r="K426" s="31" t="s">
        <v>466</v>
      </c>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6"/>
      <c r="AO426" s="36"/>
      <c r="AP426" s="35">
        <v>160000000</v>
      </c>
      <c r="AQ426" s="35">
        <v>34725000</v>
      </c>
      <c r="AR426" s="35">
        <v>12150000</v>
      </c>
      <c r="AS426" s="36"/>
      <c r="AT426" s="36"/>
      <c r="AU426" s="36"/>
      <c r="AV426" s="36"/>
      <c r="AW426" s="36"/>
      <c r="AX426" s="36"/>
      <c r="AY426" s="37">
        <f t="shared" ref="AY426" si="518">+L426+O426+R426+U426+X426+AA426+AD426+AG426+AJ426+AM426+AP426+AS426+AV426</f>
        <v>160000000</v>
      </c>
      <c r="AZ426" s="37">
        <f t="shared" ref="AZ426" si="519">+M426+P426+S426+V426+Y426+AB426+AE426+AH426+AK426+AN426+AQ426+AT426+AW426</f>
        <v>34725000</v>
      </c>
      <c r="BA426" s="37">
        <f t="shared" ref="BA426" si="520">+N426+Q426+T426+W426+Z426+AC426+AF426+AI426+AL426+AO426+AR426+AU426+AX426</f>
        <v>12150000</v>
      </c>
    </row>
    <row r="427" spans="1:53" ht="15" customHeight="1" x14ac:dyDescent="0.25">
      <c r="A427" s="27"/>
      <c r="B427" s="454"/>
      <c r="C427" s="204"/>
      <c r="D427" s="641"/>
      <c r="E427" s="41"/>
      <c r="F427" s="41"/>
      <c r="G427" s="40"/>
      <c r="H427" s="41"/>
      <c r="I427" s="685"/>
      <c r="J427" s="40"/>
      <c r="K427" s="41"/>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173">
        <f t="shared" ref="AP427:AY427" si="521">SUM(AP426:AP426)</f>
        <v>160000000</v>
      </c>
      <c r="AQ427" s="173">
        <f t="shared" ref="AQ427:AR427" si="522">SUM(AQ426:AQ426)</f>
        <v>34725000</v>
      </c>
      <c r="AR427" s="173">
        <f t="shared" si="522"/>
        <v>12150000</v>
      </c>
      <c r="AS427" s="173">
        <f t="shared" si="521"/>
        <v>0</v>
      </c>
      <c r="AT427" s="173"/>
      <c r="AU427" s="173"/>
      <c r="AV427" s="173">
        <f t="shared" si="521"/>
        <v>0</v>
      </c>
      <c r="AW427" s="173"/>
      <c r="AX427" s="173"/>
      <c r="AY427" s="173">
        <f t="shared" si="521"/>
        <v>160000000</v>
      </c>
      <c r="AZ427" s="173">
        <f t="shared" ref="AZ427:BA427" si="523">SUM(AZ426:AZ426)</f>
        <v>34725000</v>
      </c>
      <c r="BA427" s="173">
        <f t="shared" si="523"/>
        <v>12150000</v>
      </c>
    </row>
    <row r="428" spans="1:53" ht="15" customHeight="1" x14ac:dyDescent="0.25">
      <c r="A428" s="27"/>
      <c r="B428" s="104"/>
      <c r="C428" s="46"/>
      <c r="D428" s="45"/>
      <c r="E428" s="45"/>
      <c r="F428" s="46"/>
      <c r="G428" s="45"/>
      <c r="H428" s="46"/>
      <c r="I428" s="686"/>
      <c r="J428" s="45"/>
      <c r="K428" s="46"/>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174">
        <f t="shared" ref="AP428:AY428" si="524">AP427+AP423+AP419+AP415+AP410</f>
        <v>1205924000</v>
      </c>
      <c r="AQ428" s="174">
        <f t="shared" ref="AQ428:AR428" si="525">AQ427+AQ423+AQ419+AQ415+AQ410</f>
        <v>118225000</v>
      </c>
      <c r="AR428" s="174">
        <f t="shared" si="525"/>
        <v>29550000</v>
      </c>
      <c r="AS428" s="174">
        <f t="shared" si="524"/>
        <v>0</v>
      </c>
      <c r="AT428" s="174"/>
      <c r="AU428" s="174"/>
      <c r="AV428" s="174">
        <f t="shared" si="524"/>
        <v>0</v>
      </c>
      <c r="AW428" s="174"/>
      <c r="AX428" s="174"/>
      <c r="AY428" s="174">
        <f t="shared" si="524"/>
        <v>1205924000</v>
      </c>
      <c r="AZ428" s="174">
        <f t="shared" ref="AZ428:BA428" si="526">AZ427+AZ423+AZ419+AZ415+AZ410</f>
        <v>118225000</v>
      </c>
      <c r="BA428" s="174">
        <f t="shared" si="526"/>
        <v>29550000</v>
      </c>
    </row>
    <row r="429" spans="1:53" ht="15" customHeight="1" x14ac:dyDescent="0.25">
      <c r="A429" s="27"/>
      <c r="B429" s="442"/>
      <c r="C429" s="443"/>
      <c r="D429" s="58"/>
      <c r="E429" s="58"/>
      <c r="F429" s="651"/>
      <c r="G429" s="58"/>
      <c r="H429" s="651"/>
      <c r="I429" s="689"/>
      <c r="J429" s="58"/>
      <c r="K429" s="651"/>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88"/>
      <c r="AQ429" s="88"/>
      <c r="AR429" s="88"/>
      <c r="AS429" s="60"/>
      <c r="AT429" s="60"/>
      <c r="AU429" s="60"/>
      <c r="AV429" s="60"/>
      <c r="AW429" s="145"/>
      <c r="AX429" s="145"/>
      <c r="AY429" s="64"/>
      <c r="AZ429" s="64"/>
      <c r="BA429" s="64"/>
    </row>
    <row r="430" spans="1:53" ht="15.75" customHeight="1" x14ac:dyDescent="0.25">
      <c r="A430" s="27"/>
      <c r="B430" s="154">
        <v>19</v>
      </c>
      <c r="C430" s="634" t="s">
        <v>630</v>
      </c>
      <c r="D430" s="17"/>
      <c r="E430" s="17"/>
      <c r="F430" s="640"/>
      <c r="G430" s="17"/>
      <c r="H430" s="17"/>
      <c r="I430" s="682"/>
      <c r="J430" s="17"/>
      <c r="K430" s="17"/>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3"/>
      <c r="AQ430" s="73"/>
      <c r="AR430" s="73"/>
      <c r="AS430" s="72"/>
      <c r="AT430" s="72"/>
      <c r="AU430" s="72"/>
      <c r="AV430" s="72"/>
      <c r="AW430" s="72"/>
      <c r="AX430" s="72"/>
      <c r="AY430" s="74"/>
      <c r="AZ430" s="74"/>
      <c r="BA430" s="74"/>
    </row>
    <row r="431" spans="1:53" ht="20.25" customHeight="1" x14ac:dyDescent="0.25">
      <c r="A431" s="27"/>
      <c r="B431" s="444"/>
      <c r="C431" s="459"/>
      <c r="D431" s="29"/>
      <c r="E431" s="287">
        <v>67</v>
      </c>
      <c r="F431" s="78" t="s">
        <v>631</v>
      </c>
      <c r="G431" s="78"/>
      <c r="H431" s="78"/>
      <c r="I431" s="222"/>
      <c r="J431" s="78"/>
      <c r="K431" s="78"/>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80"/>
      <c r="AQ431" s="80"/>
      <c r="AR431" s="80"/>
      <c r="AS431" s="79"/>
      <c r="AT431" s="79"/>
      <c r="AU431" s="79"/>
      <c r="AV431" s="79"/>
      <c r="AW431" s="79"/>
      <c r="AX431" s="79"/>
      <c r="AY431" s="81"/>
      <c r="AZ431" s="81"/>
      <c r="BA431" s="81"/>
    </row>
    <row r="432" spans="1:53" s="12" customFormat="1" ht="66.75" customHeight="1" x14ac:dyDescent="0.25">
      <c r="A432" s="27"/>
      <c r="B432" s="455"/>
      <c r="C432" s="646">
        <v>35</v>
      </c>
      <c r="D432" s="460" t="s">
        <v>632</v>
      </c>
      <c r="E432" s="158"/>
      <c r="F432" s="651">
        <v>198</v>
      </c>
      <c r="G432" s="29" t="s">
        <v>298</v>
      </c>
      <c r="H432" s="828" t="s">
        <v>609</v>
      </c>
      <c r="I432" s="827" t="s">
        <v>299</v>
      </c>
      <c r="J432" s="828" t="s">
        <v>300</v>
      </c>
      <c r="K432" s="31" t="s">
        <v>466</v>
      </c>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6"/>
      <c r="AI432" s="36"/>
      <c r="AJ432" s="36"/>
      <c r="AK432" s="36"/>
      <c r="AL432" s="36"/>
      <c r="AM432" s="36"/>
      <c r="AN432" s="36"/>
      <c r="AO432" s="36"/>
      <c r="AP432" s="35">
        <v>120000000</v>
      </c>
      <c r="AQ432" s="35">
        <v>55373333</v>
      </c>
      <c r="AR432" s="35">
        <v>20400000</v>
      </c>
      <c r="AS432" s="36"/>
      <c r="AT432" s="36"/>
      <c r="AU432" s="36"/>
      <c r="AV432" s="36"/>
      <c r="AW432" s="36"/>
      <c r="AX432" s="36"/>
      <c r="AY432" s="37">
        <f t="shared" ref="AY432:AY435" si="527">+L432+O432+R432+U432+X432+AA432+AD432+AG432+AJ432+AM432+AP432+AS432+AV432</f>
        <v>120000000</v>
      </c>
      <c r="AZ432" s="37">
        <f t="shared" ref="AZ432:AZ435" si="528">+M432+P432+S432+V432+Y432+AB432+AE432+AH432+AK432+AN432+AQ432+AT432+AW432</f>
        <v>55373333</v>
      </c>
      <c r="BA432" s="37">
        <f t="shared" ref="BA432:BA435" si="529">+N432+Q432+T432+W432+Z432+AC432+AF432+AI432+AL432+AO432+AR432+AU432+AX432</f>
        <v>20400000</v>
      </c>
    </row>
    <row r="433" spans="1:53" s="12" customFormat="1" ht="56.25" customHeight="1" x14ac:dyDescent="0.25">
      <c r="A433" s="27"/>
      <c r="B433" s="455"/>
      <c r="C433" s="646">
        <v>35</v>
      </c>
      <c r="D433" s="460" t="s">
        <v>632</v>
      </c>
      <c r="E433" s="158"/>
      <c r="F433" s="31">
        <v>199</v>
      </c>
      <c r="G433" s="29" t="s">
        <v>301</v>
      </c>
      <c r="H433" s="824"/>
      <c r="I433" s="821"/>
      <c r="J433" s="824"/>
      <c r="K433" s="31" t="s">
        <v>466</v>
      </c>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6"/>
      <c r="AI433" s="36"/>
      <c r="AJ433" s="36"/>
      <c r="AK433" s="36"/>
      <c r="AL433" s="36"/>
      <c r="AM433" s="36"/>
      <c r="AN433" s="36"/>
      <c r="AO433" s="36"/>
      <c r="AP433" s="35">
        <v>40000000</v>
      </c>
      <c r="AQ433" s="35"/>
      <c r="AR433" s="35"/>
      <c r="AS433" s="36"/>
      <c r="AT433" s="36"/>
      <c r="AU433" s="36"/>
      <c r="AV433" s="36"/>
      <c r="AW433" s="36"/>
      <c r="AX433" s="36"/>
      <c r="AY433" s="37">
        <f t="shared" si="527"/>
        <v>40000000</v>
      </c>
      <c r="AZ433" s="37">
        <f t="shared" si="528"/>
        <v>0</v>
      </c>
      <c r="BA433" s="37">
        <f t="shared" si="529"/>
        <v>0</v>
      </c>
    </row>
    <row r="434" spans="1:53" ht="48" customHeight="1" x14ac:dyDescent="0.25">
      <c r="A434" s="27"/>
      <c r="B434" s="455"/>
      <c r="C434" s="646">
        <v>35</v>
      </c>
      <c r="D434" s="460" t="s">
        <v>632</v>
      </c>
      <c r="E434" s="158"/>
      <c r="F434" s="651">
        <v>200</v>
      </c>
      <c r="G434" s="29" t="s">
        <v>302</v>
      </c>
      <c r="H434" s="824"/>
      <c r="I434" s="821"/>
      <c r="J434" s="824"/>
      <c r="K434" s="31" t="s">
        <v>466</v>
      </c>
      <c r="L434" s="189">
        <v>1144056000</v>
      </c>
      <c r="M434" s="189"/>
      <c r="N434" s="189"/>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6"/>
      <c r="AO434" s="36"/>
      <c r="AP434" s="35"/>
      <c r="AQ434" s="35"/>
      <c r="AR434" s="35"/>
      <c r="AS434" s="36"/>
      <c r="AT434" s="36"/>
      <c r="AU434" s="36"/>
      <c r="AV434" s="36"/>
      <c r="AW434" s="36"/>
      <c r="AX434" s="36"/>
      <c r="AY434" s="37">
        <f t="shared" si="527"/>
        <v>1144056000</v>
      </c>
      <c r="AZ434" s="37">
        <f t="shared" si="528"/>
        <v>0</v>
      </c>
      <c r="BA434" s="37">
        <f t="shared" si="529"/>
        <v>0</v>
      </c>
    </row>
    <row r="435" spans="1:53" ht="42" customHeight="1" x14ac:dyDescent="0.25">
      <c r="A435" s="27"/>
      <c r="B435" s="455"/>
      <c r="C435" s="646">
        <v>35</v>
      </c>
      <c r="D435" s="460" t="s">
        <v>632</v>
      </c>
      <c r="E435" s="158"/>
      <c r="F435" s="651">
        <v>201</v>
      </c>
      <c r="G435" s="29" t="s">
        <v>303</v>
      </c>
      <c r="H435" s="831"/>
      <c r="I435" s="830"/>
      <c r="J435" s="831"/>
      <c r="K435" s="31" t="s">
        <v>466</v>
      </c>
      <c r="L435" s="189">
        <v>2669464000</v>
      </c>
      <c r="M435" s="189"/>
      <c r="N435" s="189"/>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6"/>
      <c r="AO435" s="36"/>
      <c r="AP435" s="35"/>
      <c r="AQ435" s="35"/>
      <c r="AR435" s="35"/>
      <c r="AS435" s="36"/>
      <c r="AT435" s="36"/>
      <c r="AU435" s="36"/>
      <c r="AV435" s="36"/>
      <c r="AW435" s="36"/>
      <c r="AX435" s="36"/>
      <c r="AY435" s="37">
        <f t="shared" si="527"/>
        <v>2669464000</v>
      </c>
      <c r="AZ435" s="37">
        <f t="shared" si="528"/>
        <v>0</v>
      </c>
      <c r="BA435" s="37">
        <f t="shared" si="529"/>
        <v>0</v>
      </c>
    </row>
    <row r="436" spans="1:53" ht="15" customHeight="1" x14ac:dyDescent="0.25">
      <c r="A436" s="27"/>
      <c r="B436" s="454"/>
      <c r="C436" s="182"/>
      <c r="D436" s="641"/>
      <c r="E436" s="40"/>
      <c r="F436" s="41"/>
      <c r="G436" s="40"/>
      <c r="H436" s="41"/>
      <c r="I436" s="685"/>
      <c r="J436" s="461"/>
      <c r="K436" s="41"/>
      <c r="L436" s="43">
        <f t="shared" ref="L436:N436" si="530">SUM(L432:L435)</f>
        <v>3813520000</v>
      </c>
      <c r="M436" s="43">
        <f t="shared" si="530"/>
        <v>0</v>
      </c>
      <c r="N436" s="43">
        <f t="shared" si="530"/>
        <v>0</v>
      </c>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173">
        <f t="shared" ref="AP436:AY436" si="531">SUM(AP432:AP435)</f>
        <v>160000000</v>
      </c>
      <c r="AQ436" s="173">
        <f t="shared" ref="AQ436:AR436" si="532">SUM(AQ432:AQ435)</f>
        <v>55373333</v>
      </c>
      <c r="AR436" s="173">
        <f t="shared" si="532"/>
        <v>20400000</v>
      </c>
      <c r="AS436" s="173">
        <f t="shared" si="531"/>
        <v>0</v>
      </c>
      <c r="AT436" s="173"/>
      <c r="AU436" s="173"/>
      <c r="AV436" s="173">
        <f t="shared" si="531"/>
        <v>0</v>
      </c>
      <c r="AW436" s="173"/>
      <c r="AX436" s="173"/>
      <c r="AY436" s="173">
        <f t="shared" si="531"/>
        <v>3973520000</v>
      </c>
      <c r="AZ436" s="173">
        <f t="shared" ref="AZ436:BA436" si="533">SUM(AZ432:AZ435)</f>
        <v>55373333</v>
      </c>
      <c r="BA436" s="173">
        <f t="shared" si="533"/>
        <v>20400000</v>
      </c>
    </row>
    <row r="437" spans="1:53" ht="15" customHeight="1" x14ac:dyDescent="0.25">
      <c r="A437" s="39"/>
      <c r="B437" s="104"/>
      <c r="C437" s="46"/>
      <c r="D437" s="45"/>
      <c r="E437" s="45"/>
      <c r="F437" s="46"/>
      <c r="G437" s="45"/>
      <c r="H437" s="46"/>
      <c r="I437" s="686"/>
      <c r="J437" s="462"/>
      <c r="K437" s="46"/>
      <c r="L437" s="48">
        <f t="shared" ref="L437:N437" si="534">L436</f>
        <v>3813520000</v>
      </c>
      <c r="M437" s="48">
        <f t="shared" si="534"/>
        <v>0</v>
      </c>
      <c r="N437" s="48">
        <f t="shared" si="534"/>
        <v>0</v>
      </c>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174">
        <f t="shared" ref="AP437:AY437" si="535">AP436</f>
        <v>160000000</v>
      </c>
      <c r="AQ437" s="174">
        <f t="shared" ref="AQ437:AR437" si="536">AQ436</f>
        <v>55373333</v>
      </c>
      <c r="AR437" s="174">
        <f t="shared" si="536"/>
        <v>20400000</v>
      </c>
      <c r="AS437" s="174">
        <f t="shared" si="535"/>
        <v>0</v>
      </c>
      <c r="AT437" s="174"/>
      <c r="AU437" s="174"/>
      <c r="AV437" s="174">
        <f t="shared" si="535"/>
        <v>0</v>
      </c>
      <c r="AW437" s="174"/>
      <c r="AX437" s="174"/>
      <c r="AY437" s="174">
        <f t="shared" si="535"/>
        <v>3973520000</v>
      </c>
      <c r="AZ437" s="174">
        <f t="shared" ref="AZ437:BA437" si="537">AZ436</f>
        <v>55373333</v>
      </c>
      <c r="BA437" s="174">
        <f t="shared" si="537"/>
        <v>20400000</v>
      </c>
    </row>
    <row r="438" spans="1:53" ht="15" customHeight="1" x14ac:dyDescent="0.25">
      <c r="A438" s="49"/>
      <c r="B438" s="49"/>
      <c r="C438" s="50"/>
      <c r="D438" s="49"/>
      <c r="E438" s="49"/>
      <c r="F438" s="50"/>
      <c r="G438" s="49"/>
      <c r="H438" s="50"/>
      <c r="I438" s="687"/>
      <c r="J438" s="315"/>
      <c r="K438" s="50"/>
      <c r="L438" s="52">
        <f>L437+L428+L404+L386</f>
        <v>3813520000</v>
      </c>
      <c r="M438" s="52">
        <f t="shared" ref="M438:N438" si="538">M437+M428+M404+M386</f>
        <v>0</v>
      </c>
      <c r="N438" s="52">
        <f t="shared" si="538"/>
        <v>0</v>
      </c>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175">
        <f>AP437+AP428+AP404+AP386</f>
        <v>2335924000</v>
      </c>
      <c r="AQ438" s="175">
        <f t="shared" ref="AQ438:AR438" si="539">AQ437+AQ428+AQ404+AQ386</f>
        <v>343085330</v>
      </c>
      <c r="AR438" s="175">
        <f t="shared" si="539"/>
        <v>122450000</v>
      </c>
      <c r="AS438" s="175">
        <f>AS437+AS428+AS404+AS386</f>
        <v>0</v>
      </c>
      <c r="AT438" s="175"/>
      <c r="AU438" s="175"/>
      <c r="AV438" s="175">
        <f>AV437+AV428+AV404+AV386</f>
        <v>0</v>
      </c>
      <c r="AW438" s="175"/>
      <c r="AX438" s="175"/>
      <c r="AY438" s="175">
        <f>AY437+AY428+AY404+AY386</f>
        <v>6149444000</v>
      </c>
      <c r="AZ438" s="175">
        <f t="shared" ref="AZ438:BA438" si="540">AZ437+AZ428+AZ404+AZ386</f>
        <v>343085330</v>
      </c>
      <c r="BA438" s="175">
        <f t="shared" si="540"/>
        <v>122450000</v>
      </c>
    </row>
    <row r="439" spans="1:53" ht="15" customHeight="1" x14ac:dyDescent="0.25">
      <c r="A439" s="53"/>
      <c r="B439" s="53"/>
      <c r="C439" s="54"/>
      <c r="D439" s="53"/>
      <c r="E439" s="53"/>
      <c r="F439" s="54"/>
      <c r="G439" s="463"/>
      <c r="H439" s="55"/>
      <c r="I439" s="688"/>
      <c r="J439" s="53"/>
      <c r="K439" s="54"/>
      <c r="L439" s="56">
        <f t="shared" ref="L439:N439" si="541">+L438</f>
        <v>3813520000</v>
      </c>
      <c r="M439" s="56">
        <f t="shared" si="541"/>
        <v>0</v>
      </c>
      <c r="N439" s="56">
        <f t="shared" si="541"/>
        <v>0</v>
      </c>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176">
        <f t="shared" ref="AP439:AY439" si="542">+AP438</f>
        <v>2335924000</v>
      </c>
      <c r="AQ439" s="176">
        <f t="shared" ref="AQ439:AR439" si="543">+AQ438</f>
        <v>343085330</v>
      </c>
      <c r="AR439" s="176">
        <f t="shared" si="543"/>
        <v>122450000</v>
      </c>
      <c r="AS439" s="176">
        <f t="shared" si="542"/>
        <v>0</v>
      </c>
      <c r="AT439" s="176"/>
      <c r="AU439" s="176"/>
      <c r="AV439" s="176">
        <f t="shared" si="542"/>
        <v>0</v>
      </c>
      <c r="AW439" s="176"/>
      <c r="AX439" s="176"/>
      <c r="AY439" s="176">
        <f t="shared" si="542"/>
        <v>6149444000</v>
      </c>
      <c r="AZ439" s="176">
        <f t="shared" ref="AZ439:BA439" si="544">+AZ438</f>
        <v>343085330</v>
      </c>
      <c r="BA439" s="176">
        <f t="shared" si="544"/>
        <v>122450000</v>
      </c>
    </row>
    <row r="440" spans="1:53" ht="28.5" customHeight="1" x14ac:dyDescent="0.25">
      <c r="A440" s="57"/>
      <c r="B440" s="58"/>
      <c r="C440" s="651"/>
      <c r="D440" s="58"/>
      <c r="E440" s="58"/>
      <c r="F440" s="651"/>
      <c r="G440" s="99"/>
      <c r="H440" s="59"/>
      <c r="I440" s="689"/>
      <c r="J440" s="58"/>
      <c r="K440" s="651"/>
      <c r="L440" s="60"/>
      <c r="M440" s="60"/>
      <c r="N440" s="60"/>
      <c r="O440" s="60"/>
      <c r="P440" s="60"/>
      <c r="Q440" s="60"/>
      <c r="R440" s="60"/>
      <c r="S440" s="60"/>
      <c r="T440" s="60"/>
      <c r="U440" s="60"/>
      <c r="V440" s="60"/>
      <c r="W440" s="60"/>
      <c r="X440" s="60"/>
      <c r="Y440" s="60"/>
      <c r="Z440" s="60"/>
      <c r="AA440" s="60"/>
      <c r="AB440" s="60"/>
      <c r="AC440" s="60"/>
      <c r="AD440" s="61"/>
      <c r="AE440" s="61"/>
      <c r="AF440" s="61"/>
      <c r="AG440" s="61"/>
      <c r="AH440" s="61"/>
      <c r="AI440" s="61"/>
      <c r="AJ440" s="60"/>
      <c r="AK440" s="60"/>
      <c r="AL440" s="60"/>
      <c r="AM440" s="60"/>
      <c r="AN440" s="60"/>
      <c r="AO440" s="60"/>
      <c r="AP440" s="62"/>
      <c r="AQ440" s="62"/>
      <c r="AR440" s="62"/>
      <c r="AS440" s="60"/>
      <c r="AT440" s="60"/>
      <c r="AU440" s="60"/>
      <c r="AV440" s="60"/>
      <c r="AW440" s="145"/>
      <c r="AX440" s="60"/>
      <c r="AY440" s="742"/>
      <c r="AZ440" s="742"/>
      <c r="BA440" s="742"/>
    </row>
    <row r="441" spans="1:53" ht="20.25" x14ac:dyDescent="0.25">
      <c r="A441" s="7" t="s">
        <v>633</v>
      </c>
      <c r="B441" s="8"/>
      <c r="C441" s="9"/>
      <c r="D441" s="8"/>
      <c r="E441" s="8"/>
      <c r="F441" s="9"/>
      <c r="G441" s="8"/>
      <c r="H441" s="8"/>
      <c r="I441" s="680"/>
      <c r="J441" s="8"/>
      <c r="K441" s="9"/>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6"/>
      <c r="AQ441" s="66"/>
      <c r="AR441" s="66"/>
      <c r="AS441" s="65"/>
      <c r="AT441" s="65"/>
      <c r="AU441" s="65"/>
      <c r="AV441" s="65"/>
      <c r="AW441" s="65"/>
      <c r="AX441" s="65"/>
      <c r="AY441" s="67" t="s">
        <v>500</v>
      </c>
      <c r="AZ441" s="67" t="s">
        <v>500</v>
      </c>
      <c r="BA441" s="67" t="s">
        <v>500</v>
      </c>
    </row>
    <row r="442" spans="1:53" x14ac:dyDescent="0.25">
      <c r="A442" s="4">
        <v>3</v>
      </c>
      <c r="B442" s="13" t="s">
        <v>570</v>
      </c>
      <c r="C442" s="14"/>
      <c r="D442" s="13"/>
      <c r="E442" s="13"/>
      <c r="F442" s="14"/>
      <c r="G442" s="13"/>
      <c r="H442" s="13"/>
      <c r="I442" s="681"/>
      <c r="J442" s="13"/>
      <c r="K442" s="13"/>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9"/>
      <c r="AQ442" s="69"/>
      <c r="AR442" s="69"/>
      <c r="AS442" s="68"/>
      <c r="AT442" s="68"/>
      <c r="AU442" s="68"/>
      <c r="AV442" s="68"/>
      <c r="AW442" s="68"/>
      <c r="AX442" s="68"/>
      <c r="AY442" s="70"/>
      <c r="AZ442" s="70"/>
      <c r="BA442" s="70"/>
    </row>
    <row r="443" spans="1:53" x14ac:dyDescent="0.25">
      <c r="A443" s="71"/>
      <c r="B443" s="154">
        <v>11</v>
      </c>
      <c r="C443" s="634" t="s">
        <v>571</v>
      </c>
      <c r="D443" s="17"/>
      <c r="E443" s="17"/>
      <c r="F443" s="640"/>
      <c r="G443" s="17"/>
      <c r="H443" s="17"/>
      <c r="I443" s="682"/>
      <c r="J443" s="17"/>
      <c r="K443" s="17"/>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3"/>
      <c r="AQ443" s="73"/>
      <c r="AR443" s="73"/>
      <c r="AS443" s="72"/>
      <c r="AT443" s="72"/>
      <c r="AU443" s="72"/>
      <c r="AV443" s="72"/>
      <c r="AW443" s="72"/>
      <c r="AX443" s="72"/>
      <c r="AY443" s="74"/>
      <c r="AZ443" s="74"/>
      <c r="BA443" s="74"/>
    </row>
    <row r="444" spans="1:53" ht="24.75" customHeight="1" x14ac:dyDescent="0.25">
      <c r="A444" s="27"/>
      <c r="B444" s="71"/>
      <c r="C444" s="109"/>
      <c r="D444" s="108"/>
      <c r="E444" s="76">
        <v>35</v>
      </c>
      <c r="F444" s="77" t="s">
        <v>634</v>
      </c>
      <c r="G444" s="77"/>
      <c r="H444" s="77"/>
      <c r="I444" s="222"/>
      <c r="J444" s="77"/>
      <c r="K444" s="77"/>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80"/>
      <c r="AQ444" s="80"/>
      <c r="AR444" s="80"/>
      <c r="AS444" s="79"/>
      <c r="AT444" s="79"/>
      <c r="AU444" s="79"/>
      <c r="AV444" s="79"/>
      <c r="AW444" s="79"/>
      <c r="AX444" s="79"/>
      <c r="AY444" s="81"/>
      <c r="AZ444" s="81"/>
      <c r="BA444" s="81"/>
    </row>
    <row r="445" spans="1:53" ht="90.75" customHeight="1" x14ac:dyDescent="0.25">
      <c r="A445" s="27"/>
      <c r="B445" s="19"/>
      <c r="C445" s="31">
        <v>24</v>
      </c>
      <c r="D445" s="29" t="s">
        <v>635</v>
      </c>
      <c r="E445" s="112"/>
      <c r="F445" s="28">
        <v>127</v>
      </c>
      <c r="G445" s="29" t="s">
        <v>304</v>
      </c>
      <c r="H445" s="844" t="s">
        <v>636</v>
      </c>
      <c r="I445" s="827" t="s">
        <v>305</v>
      </c>
      <c r="J445" s="828" t="s">
        <v>306</v>
      </c>
      <c r="K445" s="31" t="s">
        <v>466</v>
      </c>
      <c r="L445" s="33"/>
      <c r="M445" s="33"/>
      <c r="N445" s="33"/>
      <c r="O445" s="33"/>
      <c r="P445" s="33"/>
      <c r="Q445" s="33"/>
      <c r="R445" s="33"/>
      <c r="S445" s="33"/>
      <c r="T445" s="33"/>
      <c r="U445" s="33"/>
      <c r="V445" s="33"/>
      <c r="W445" s="33"/>
      <c r="X445" s="464">
        <v>30000000</v>
      </c>
      <c r="Y445" s="464">
        <v>11866667</v>
      </c>
      <c r="Z445" s="464"/>
      <c r="AA445" s="33"/>
      <c r="AB445" s="33"/>
      <c r="AC445" s="33"/>
      <c r="AD445" s="33"/>
      <c r="AE445" s="33"/>
      <c r="AF445" s="33"/>
      <c r="AG445" s="33"/>
      <c r="AH445" s="33"/>
      <c r="AI445" s="33"/>
      <c r="AJ445" s="33"/>
      <c r="AK445" s="33"/>
      <c r="AL445" s="33"/>
      <c r="AM445" s="33"/>
      <c r="AN445" s="36"/>
      <c r="AO445" s="36"/>
      <c r="AP445" s="35"/>
      <c r="AQ445" s="35"/>
      <c r="AR445" s="35"/>
      <c r="AS445" s="36"/>
      <c r="AT445" s="36"/>
      <c r="AU445" s="36"/>
      <c r="AV445" s="36"/>
      <c r="AW445" s="36"/>
      <c r="AX445" s="36"/>
      <c r="AY445" s="37">
        <f t="shared" ref="AY445:AY447" si="545">+L445+O445+R445+U445+X445+AA445+AD445+AG445+AJ445+AM445+AP445+AS445+AV445</f>
        <v>30000000</v>
      </c>
      <c r="AZ445" s="37">
        <f t="shared" ref="AZ445:AZ447" si="546">+M445+P445+S445+V445+Y445+AB445+AE445+AH445+AK445+AN445+AQ445+AT445+AW445</f>
        <v>11866667</v>
      </c>
      <c r="BA445" s="37">
        <f t="shared" ref="BA445:BA447" si="547">+N445+Q445+T445+W445+Z445+AC445+AF445+AI445+AL445+AO445+AR445+AU445+AX445</f>
        <v>0</v>
      </c>
    </row>
    <row r="446" spans="1:53" ht="73.5" customHeight="1" x14ac:dyDescent="0.25">
      <c r="A446" s="27"/>
      <c r="B446" s="19"/>
      <c r="C446" s="31">
        <v>24</v>
      </c>
      <c r="D446" s="29" t="s">
        <v>635</v>
      </c>
      <c r="E446" s="302"/>
      <c r="F446" s="28">
        <v>128</v>
      </c>
      <c r="G446" s="29" t="s">
        <v>307</v>
      </c>
      <c r="H446" s="820"/>
      <c r="I446" s="821"/>
      <c r="J446" s="824"/>
      <c r="K446" s="31" t="s">
        <v>466</v>
      </c>
      <c r="L446" s="33"/>
      <c r="M446" s="33"/>
      <c r="N446" s="33"/>
      <c r="O446" s="33"/>
      <c r="P446" s="33"/>
      <c r="Q446" s="33"/>
      <c r="R446" s="33"/>
      <c r="S446" s="33"/>
      <c r="T446" s="33"/>
      <c r="U446" s="33"/>
      <c r="V446" s="33"/>
      <c r="W446" s="33"/>
      <c r="X446" s="464">
        <v>40000000</v>
      </c>
      <c r="Y446" s="464"/>
      <c r="Z446" s="464"/>
      <c r="AA446" s="33"/>
      <c r="AB446" s="33"/>
      <c r="AC446" s="33"/>
      <c r="AD446" s="33"/>
      <c r="AE446" s="33"/>
      <c r="AF446" s="33"/>
      <c r="AG446" s="33"/>
      <c r="AH446" s="33"/>
      <c r="AI446" s="33"/>
      <c r="AJ446" s="33"/>
      <c r="AK446" s="33"/>
      <c r="AL446" s="33"/>
      <c r="AM446" s="33"/>
      <c r="AN446" s="36"/>
      <c r="AO446" s="36"/>
      <c r="AP446" s="35"/>
      <c r="AQ446" s="35"/>
      <c r="AR446" s="35"/>
      <c r="AS446" s="36"/>
      <c r="AT446" s="36"/>
      <c r="AU446" s="36"/>
      <c r="AV446" s="36"/>
      <c r="AW446" s="36"/>
      <c r="AX446" s="36"/>
      <c r="AY446" s="37">
        <f t="shared" si="545"/>
        <v>40000000</v>
      </c>
      <c r="AZ446" s="37">
        <f t="shared" si="546"/>
        <v>0</v>
      </c>
      <c r="BA446" s="37">
        <f t="shared" si="547"/>
        <v>0</v>
      </c>
    </row>
    <row r="447" spans="1:53" ht="73.5" customHeight="1" x14ac:dyDescent="0.25">
      <c r="A447" s="27"/>
      <c r="B447" s="19"/>
      <c r="C447" s="31">
        <v>24</v>
      </c>
      <c r="D447" s="29" t="s">
        <v>635</v>
      </c>
      <c r="E447" s="303"/>
      <c r="F447" s="28">
        <v>129</v>
      </c>
      <c r="G447" s="29" t="s">
        <v>308</v>
      </c>
      <c r="H447" s="845"/>
      <c r="I447" s="830"/>
      <c r="J447" s="831"/>
      <c r="K447" s="31" t="s">
        <v>466</v>
      </c>
      <c r="L447" s="33"/>
      <c r="M447" s="33"/>
      <c r="N447" s="33"/>
      <c r="O447" s="33"/>
      <c r="P447" s="33"/>
      <c r="Q447" s="33"/>
      <c r="R447" s="33"/>
      <c r="S447" s="33"/>
      <c r="T447" s="33"/>
      <c r="U447" s="33"/>
      <c r="V447" s="33"/>
      <c r="W447" s="33"/>
      <c r="X447" s="464">
        <v>60000000</v>
      </c>
      <c r="Y447" s="464"/>
      <c r="Z447" s="464"/>
      <c r="AA447" s="33"/>
      <c r="AB447" s="33"/>
      <c r="AC447" s="33"/>
      <c r="AD447" s="33"/>
      <c r="AE447" s="33"/>
      <c r="AF447" s="33"/>
      <c r="AG447" s="33"/>
      <c r="AH447" s="33"/>
      <c r="AI447" s="33"/>
      <c r="AJ447" s="33"/>
      <c r="AK447" s="33"/>
      <c r="AL447" s="33"/>
      <c r="AM447" s="33"/>
      <c r="AN447" s="36"/>
      <c r="AO447" s="36"/>
      <c r="AP447" s="35"/>
      <c r="AQ447" s="35"/>
      <c r="AR447" s="35"/>
      <c r="AS447" s="36"/>
      <c r="AT447" s="36"/>
      <c r="AU447" s="36"/>
      <c r="AV447" s="36"/>
      <c r="AW447" s="36"/>
      <c r="AX447" s="36"/>
      <c r="AY447" s="37">
        <f t="shared" si="545"/>
        <v>60000000</v>
      </c>
      <c r="AZ447" s="37">
        <f t="shared" si="546"/>
        <v>0</v>
      </c>
      <c r="BA447" s="37">
        <f t="shared" si="547"/>
        <v>0</v>
      </c>
    </row>
    <row r="448" spans="1:53" ht="15" x14ac:dyDescent="0.25">
      <c r="A448" s="27"/>
      <c r="B448" s="39"/>
      <c r="C448" s="378"/>
      <c r="D448" s="644"/>
      <c r="E448" s="40"/>
      <c r="F448" s="41"/>
      <c r="G448" s="40"/>
      <c r="H448" s="41"/>
      <c r="I448" s="685"/>
      <c r="J448" s="40"/>
      <c r="K448" s="41"/>
      <c r="L448" s="43"/>
      <c r="M448" s="43"/>
      <c r="N448" s="43"/>
      <c r="O448" s="43"/>
      <c r="P448" s="43"/>
      <c r="Q448" s="43"/>
      <c r="R448" s="43"/>
      <c r="S448" s="43"/>
      <c r="T448" s="43"/>
      <c r="U448" s="43"/>
      <c r="V448" s="43"/>
      <c r="W448" s="43"/>
      <c r="X448" s="43">
        <f t="shared" ref="X448:AA448" si="548">SUM(X445:X447)</f>
        <v>130000000</v>
      </c>
      <c r="Y448" s="43">
        <f t="shared" ref="Y448:Z448" si="549">SUM(Y445:Y447)</f>
        <v>11866667</v>
      </c>
      <c r="Z448" s="43">
        <f t="shared" si="549"/>
        <v>0</v>
      </c>
      <c r="AA448" s="43">
        <f t="shared" si="548"/>
        <v>0</v>
      </c>
      <c r="AB448" s="43"/>
      <c r="AC448" s="43"/>
      <c r="AD448" s="43"/>
      <c r="AE448" s="43"/>
      <c r="AF448" s="43"/>
      <c r="AG448" s="43"/>
      <c r="AH448" s="43"/>
      <c r="AI448" s="43"/>
      <c r="AJ448" s="43"/>
      <c r="AK448" s="43"/>
      <c r="AL448" s="43"/>
      <c r="AM448" s="43"/>
      <c r="AN448" s="43"/>
      <c r="AO448" s="43"/>
      <c r="AP448" s="173"/>
      <c r="AQ448" s="173"/>
      <c r="AR448" s="173"/>
      <c r="AS448" s="43"/>
      <c r="AT448" s="43"/>
      <c r="AU448" s="43"/>
      <c r="AV448" s="43"/>
      <c r="AW448" s="43"/>
      <c r="AX448" s="43"/>
      <c r="AY448" s="43">
        <f t="shared" ref="AY448:BA448" si="550">SUM(AY445:AY447)</f>
        <v>130000000</v>
      </c>
      <c r="AZ448" s="43">
        <f t="shared" si="550"/>
        <v>11866667</v>
      </c>
      <c r="BA448" s="43">
        <f t="shared" si="550"/>
        <v>0</v>
      </c>
    </row>
    <row r="449" spans="1:53" ht="15" x14ac:dyDescent="0.25">
      <c r="A449" s="27"/>
      <c r="B449" s="104"/>
      <c r="C449" s="46"/>
      <c r="D449" s="45"/>
      <c r="E449" s="45"/>
      <c r="F449" s="46"/>
      <c r="G449" s="45"/>
      <c r="H449" s="46"/>
      <c r="I449" s="686"/>
      <c r="J449" s="45"/>
      <c r="K449" s="46"/>
      <c r="L449" s="48"/>
      <c r="M449" s="48"/>
      <c r="N449" s="48"/>
      <c r="O449" s="48"/>
      <c r="P449" s="48"/>
      <c r="Q449" s="48"/>
      <c r="R449" s="48"/>
      <c r="S449" s="48"/>
      <c r="T449" s="48"/>
      <c r="U449" s="48"/>
      <c r="V449" s="48"/>
      <c r="W449" s="48"/>
      <c r="X449" s="48">
        <f t="shared" ref="X449:AA449" si="551">X448</f>
        <v>130000000</v>
      </c>
      <c r="Y449" s="48">
        <f t="shared" ref="Y449:Z449" si="552">Y448</f>
        <v>11866667</v>
      </c>
      <c r="Z449" s="48">
        <f t="shared" si="552"/>
        <v>0</v>
      </c>
      <c r="AA449" s="48">
        <f t="shared" si="551"/>
        <v>0</v>
      </c>
      <c r="AB449" s="48"/>
      <c r="AC449" s="48"/>
      <c r="AD449" s="48"/>
      <c r="AE449" s="48"/>
      <c r="AF449" s="48"/>
      <c r="AG449" s="48"/>
      <c r="AH449" s="48"/>
      <c r="AI449" s="48"/>
      <c r="AJ449" s="48"/>
      <c r="AK449" s="48"/>
      <c r="AL449" s="48"/>
      <c r="AM449" s="48"/>
      <c r="AN449" s="48"/>
      <c r="AO449" s="48"/>
      <c r="AP449" s="174"/>
      <c r="AQ449" s="174"/>
      <c r="AR449" s="174"/>
      <c r="AS449" s="48"/>
      <c r="AT449" s="48"/>
      <c r="AU449" s="48"/>
      <c r="AV449" s="48"/>
      <c r="AW449" s="48"/>
      <c r="AX449" s="48"/>
      <c r="AY449" s="48">
        <f t="shared" ref="AY449:BA449" si="553">AY448</f>
        <v>130000000</v>
      </c>
      <c r="AZ449" s="48">
        <f t="shared" si="553"/>
        <v>11866667</v>
      </c>
      <c r="BA449" s="48">
        <f t="shared" si="553"/>
        <v>0</v>
      </c>
    </row>
    <row r="450" spans="1:53" ht="15" x14ac:dyDescent="0.25">
      <c r="A450" s="27"/>
      <c r="B450" s="58"/>
      <c r="C450" s="651"/>
      <c r="D450" s="58"/>
      <c r="E450" s="58"/>
      <c r="F450" s="651"/>
      <c r="G450" s="58"/>
      <c r="H450" s="109"/>
      <c r="I450" s="700"/>
      <c r="J450" s="108"/>
      <c r="K450" s="651"/>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88"/>
      <c r="AQ450" s="88"/>
      <c r="AR450" s="88"/>
      <c r="AS450" s="60"/>
      <c r="AT450" s="60"/>
      <c r="AU450" s="60"/>
      <c r="AV450" s="60"/>
      <c r="AW450" s="145"/>
      <c r="AX450" s="145"/>
      <c r="AY450" s="64"/>
      <c r="AZ450" s="64"/>
      <c r="BA450" s="64"/>
    </row>
    <row r="451" spans="1:53" x14ac:dyDescent="0.25">
      <c r="A451" s="27"/>
      <c r="B451" s="465">
        <v>12</v>
      </c>
      <c r="C451" s="634" t="s">
        <v>637</v>
      </c>
      <c r="D451" s="17"/>
      <c r="E451" s="17"/>
      <c r="F451" s="640"/>
      <c r="G451" s="17"/>
      <c r="H451" s="17"/>
      <c r="I451" s="682"/>
      <c r="J451" s="17"/>
      <c r="K451" s="17"/>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3"/>
      <c r="AQ451" s="73"/>
      <c r="AR451" s="73"/>
      <c r="AS451" s="72"/>
      <c r="AT451" s="72"/>
      <c r="AU451" s="72"/>
      <c r="AV451" s="72"/>
      <c r="AW451" s="72"/>
      <c r="AX451" s="72"/>
      <c r="AY451" s="74"/>
      <c r="AZ451" s="74"/>
      <c r="BA451" s="74"/>
    </row>
    <row r="452" spans="1:53" ht="22.5" customHeight="1" x14ac:dyDescent="0.25">
      <c r="A452" s="19"/>
      <c r="B452" s="27"/>
      <c r="C452" s="651"/>
      <c r="D452" s="58"/>
      <c r="E452" s="76">
        <v>36</v>
      </c>
      <c r="F452" s="78" t="s">
        <v>638</v>
      </c>
      <c r="G452" s="78"/>
      <c r="H452" s="78"/>
      <c r="I452" s="222"/>
      <c r="J452" s="78"/>
      <c r="K452" s="78"/>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80"/>
      <c r="AQ452" s="80"/>
      <c r="AR452" s="80"/>
      <c r="AS452" s="79"/>
      <c r="AT452" s="79"/>
      <c r="AU452" s="79"/>
      <c r="AV452" s="79"/>
      <c r="AW452" s="79"/>
      <c r="AX452" s="79"/>
      <c r="AY452" s="81"/>
      <c r="AZ452" s="81"/>
      <c r="BA452" s="81"/>
    </row>
    <row r="453" spans="1:53" ht="78.75" customHeight="1" x14ac:dyDescent="0.25">
      <c r="A453" s="19"/>
      <c r="B453" s="27"/>
      <c r="C453" s="653">
        <v>3</v>
      </c>
      <c r="D453" s="637" t="s">
        <v>639</v>
      </c>
      <c r="E453" s="844"/>
      <c r="F453" s="31">
        <v>130</v>
      </c>
      <c r="G453" s="29" t="s">
        <v>309</v>
      </c>
      <c r="H453" s="844" t="s">
        <v>636</v>
      </c>
      <c r="I453" s="827" t="s">
        <v>310</v>
      </c>
      <c r="J453" s="828" t="s">
        <v>311</v>
      </c>
      <c r="K453" s="31" t="s">
        <v>466</v>
      </c>
      <c r="L453" s="33"/>
      <c r="M453" s="33"/>
      <c r="N453" s="33"/>
      <c r="O453" s="33"/>
      <c r="P453" s="33"/>
      <c r="Q453" s="33"/>
      <c r="R453" s="33"/>
      <c r="S453" s="33"/>
      <c r="T453" s="33"/>
      <c r="U453" s="33"/>
      <c r="V453" s="33"/>
      <c r="W453" s="33"/>
      <c r="X453" s="466">
        <v>80000000</v>
      </c>
      <c r="Y453" s="466">
        <v>11200000</v>
      </c>
      <c r="Z453" s="466">
        <v>2800000</v>
      </c>
      <c r="AA453" s="33"/>
      <c r="AB453" s="33"/>
      <c r="AC453" s="33"/>
      <c r="AD453" s="33"/>
      <c r="AE453" s="33"/>
      <c r="AF453" s="33"/>
      <c r="AG453" s="33"/>
      <c r="AH453" s="33"/>
      <c r="AI453" s="33"/>
      <c r="AJ453" s="33"/>
      <c r="AK453" s="33"/>
      <c r="AL453" s="33"/>
      <c r="AM453" s="33"/>
      <c r="AN453" s="36"/>
      <c r="AO453" s="36"/>
      <c r="AP453" s="35"/>
      <c r="AQ453" s="35"/>
      <c r="AR453" s="35"/>
      <c r="AS453" s="36"/>
      <c r="AT453" s="36"/>
      <c r="AU453" s="36"/>
      <c r="AV453" s="36"/>
      <c r="AW453" s="36"/>
      <c r="AX453" s="36"/>
      <c r="AY453" s="37">
        <f t="shared" ref="AY453:AY454" si="554">+L453+O453+R453+U453+X453+AA453+AD453+AG453+AJ453+AM453+AP453+AS453+AV453</f>
        <v>80000000</v>
      </c>
      <c r="AZ453" s="37">
        <f t="shared" ref="AZ453:AZ454" si="555">+M453+P453+S453+V453+Y453+AB453+AE453+AH453+AK453+AN453+AQ453+AT453+AW453</f>
        <v>11200000</v>
      </c>
      <c r="BA453" s="37">
        <f t="shared" ref="BA453:BA454" si="556">+N453+Q453+T453+W453+Z453+AC453+AF453+AI453+AL453+AO453+AR453+AU453+AX453</f>
        <v>2800000</v>
      </c>
    </row>
    <row r="454" spans="1:53" ht="78" customHeight="1" x14ac:dyDescent="0.25">
      <c r="A454" s="19"/>
      <c r="B454" s="27"/>
      <c r="C454" s="653">
        <v>3</v>
      </c>
      <c r="D454" s="637" t="s">
        <v>639</v>
      </c>
      <c r="E454" s="845"/>
      <c r="F454" s="31">
        <v>131</v>
      </c>
      <c r="G454" s="29" t="s">
        <v>312</v>
      </c>
      <c r="H454" s="845"/>
      <c r="I454" s="830"/>
      <c r="J454" s="831"/>
      <c r="K454" s="31" t="s">
        <v>477</v>
      </c>
      <c r="L454" s="33"/>
      <c r="M454" s="33"/>
      <c r="N454" s="33"/>
      <c r="O454" s="33"/>
      <c r="P454" s="33"/>
      <c r="Q454" s="33"/>
      <c r="R454" s="33"/>
      <c r="S454" s="33"/>
      <c r="T454" s="33"/>
      <c r="U454" s="33"/>
      <c r="V454" s="33"/>
      <c r="W454" s="33"/>
      <c r="X454" s="466">
        <v>130000000</v>
      </c>
      <c r="Y454" s="466"/>
      <c r="Z454" s="466"/>
      <c r="AA454" s="33"/>
      <c r="AB454" s="33"/>
      <c r="AC454" s="33"/>
      <c r="AD454" s="33"/>
      <c r="AE454" s="33"/>
      <c r="AF454" s="33"/>
      <c r="AG454" s="33"/>
      <c r="AH454" s="33"/>
      <c r="AI454" s="33"/>
      <c r="AJ454" s="33"/>
      <c r="AK454" s="33"/>
      <c r="AL454" s="33"/>
      <c r="AM454" s="33"/>
      <c r="AN454" s="36"/>
      <c r="AO454" s="36"/>
      <c r="AP454" s="35"/>
      <c r="AQ454" s="35"/>
      <c r="AR454" s="35"/>
      <c r="AS454" s="36"/>
      <c r="AT454" s="36"/>
      <c r="AU454" s="36"/>
      <c r="AV454" s="36"/>
      <c r="AW454" s="36"/>
      <c r="AX454" s="36"/>
      <c r="AY454" s="37">
        <f t="shared" si="554"/>
        <v>130000000</v>
      </c>
      <c r="AZ454" s="37">
        <f t="shared" si="555"/>
        <v>0</v>
      </c>
      <c r="BA454" s="37">
        <f t="shared" si="556"/>
        <v>0</v>
      </c>
    </row>
    <row r="455" spans="1:53" ht="15" x14ac:dyDescent="0.25">
      <c r="A455" s="19"/>
      <c r="B455" s="27"/>
      <c r="C455" s="204"/>
      <c r="D455" s="641"/>
      <c r="E455" s="40"/>
      <c r="F455" s="41"/>
      <c r="G455" s="40"/>
      <c r="H455" s="41"/>
      <c r="I455" s="685"/>
      <c r="J455" s="40"/>
      <c r="K455" s="41"/>
      <c r="L455" s="43"/>
      <c r="M455" s="43"/>
      <c r="N455" s="43"/>
      <c r="O455" s="43"/>
      <c r="P455" s="43"/>
      <c r="Q455" s="43"/>
      <c r="R455" s="43"/>
      <c r="S455" s="43"/>
      <c r="T455" s="43"/>
      <c r="U455" s="43"/>
      <c r="V455" s="43"/>
      <c r="W455" s="43"/>
      <c r="X455" s="43">
        <f t="shared" ref="X455:AA455" si="557">SUM(X453:X454)</f>
        <v>210000000</v>
      </c>
      <c r="Y455" s="43">
        <f t="shared" si="557"/>
        <v>11200000</v>
      </c>
      <c r="Z455" s="43">
        <f t="shared" si="557"/>
        <v>2800000</v>
      </c>
      <c r="AA455" s="43">
        <f t="shared" si="557"/>
        <v>0</v>
      </c>
      <c r="AB455" s="43"/>
      <c r="AC455" s="43"/>
      <c r="AD455" s="43"/>
      <c r="AE455" s="43"/>
      <c r="AF455" s="43"/>
      <c r="AG455" s="43"/>
      <c r="AH455" s="43"/>
      <c r="AI455" s="43"/>
      <c r="AJ455" s="43"/>
      <c r="AK455" s="43"/>
      <c r="AL455" s="43"/>
      <c r="AM455" s="43"/>
      <c r="AN455" s="43"/>
      <c r="AO455" s="43"/>
      <c r="AP455" s="173"/>
      <c r="AQ455" s="173"/>
      <c r="AR455" s="173"/>
      <c r="AS455" s="43"/>
      <c r="AT455" s="43"/>
      <c r="AU455" s="43"/>
      <c r="AV455" s="43"/>
      <c r="AW455" s="43"/>
      <c r="AX455" s="43"/>
      <c r="AY455" s="43">
        <f t="shared" ref="AY455:BA455" si="558">SUM(AY453:AY454)</f>
        <v>210000000</v>
      </c>
      <c r="AZ455" s="43">
        <f t="shared" si="558"/>
        <v>11200000</v>
      </c>
      <c r="BA455" s="43">
        <f t="shared" si="558"/>
        <v>2800000</v>
      </c>
    </row>
    <row r="456" spans="1:53" ht="15" x14ac:dyDescent="0.25">
      <c r="A456" s="19"/>
      <c r="B456" s="27"/>
      <c r="C456" s="397"/>
      <c r="D456" s="398"/>
      <c r="E456" s="58"/>
      <c r="F456" s="651"/>
      <c r="G456" s="58"/>
      <c r="H456" s="109"/>
      <c r="I456" s="700"/>
      <c r="J456" s="108"/>
      <c r="K456" s="651"/>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88"/>
      <c r="AQ456" s="88"/>
      <c r="AR456" s="88"/>
      <c r="AS456" s="60"/>
      <c r="AT456" s="60"/>
      <c r="AU456" s="60"/>
      <c r="AV456" s="60"/>
      <c r="AW456" s="145"/>
      <c r="AX456" s="145"/>
      <c r="AY456" s="64"/>
      <c r="AZ456" s="64"/>
      <c r="BA456" s="64"/>
    </row>
    <row r="457" spans="1:53" ht="22.5" customHeight="1" x14ac:dyDescent="0.25">
      <c r="A457" s="19"/>
      <c r="B457" s="27"/>
      <c r="C457" s="397"/>
      <c r="D457" s="641"/>
      <c r="E457" s="287">
        <v>37</v>
      </c>
      <c r="F457" s="78" t="s">
        <v>640</v>
      </c>
      <c r="G457" s="78"/>
      <c r="H457" s="78"/>
      <c r="I457" s="222"/>
      <c r="J457" s="78"/>
      <c r="K457" s="78"/>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80"/>
      <c r="AQ457" s="80"/>
      <c r="AR457" s="80"/>
      <c r="AS457" s="79"/>
      <c r="AT457" s="79"/>
      <c r="AU457" s="79"/>
      <c r="AV457" s="79"/>
      <c r="AW457" s="79"/>
      <c r="AX457" s="79"/>
      <c r="AY457" s="81"/>
      <c r="AZ457" s="81"/>
      <c r="BA457" s="81"/>
    </row>
    <row r="458" spans="1:53" ht="63.75" customHeight="1" x14ac:dyDescent="0.25">
      <c r="A458" s="19"/>
      <c r="B458" s="27"/>
      <c r="C458" s="199">
        <v>31</v>
      </c>
      <c r="D458" s="450" t="s">
        <v>615</v>
      </c>
      <c r="E458" s="100"/>
      <c r="F458" s="28">
        <v>132</v>
      </c>
      <c r="G458" s="29" t="s">
        <v>313</v>
      </c>
      <c r="H458" s="844" t="s">
        <v>636</v>
      </c>
      <c r="I458" s="827" t="s">
        <v>314</v>
      </c>
      <c r="J458" s="828" t="s">
        <v>315</v>
      </c>
      <c r="K458" s="31" t="s">
        <v>466</v>
      </c>
      <c r="L458" s="33"/>
      <c r="M458" s="33"/>
      <c r="N458" s="33"/>
      <c r="O458" s="33"/>
      <c r="P458" s="33"/>
      <c r="Q458" s="33"/>
      <c r="R458" s="33"/>
      <c r="S458" s="33"/>
      <c r="T458" s="33"/>
      <c r="U458" s="33"/>
      <c r="V458" s="33"/>
      <c r="W458" s="33"/>
      <c r="X458" s="467">
        <v>28000000</v>
      </c>
      <c r="Y458" s="467"/>
      <c r="Z458" s="467"/>
      <c r="AA458" s="33"/>
      <c r="AB458" s="33"/>
      <c r="AC458" s="33"/>
      <c r="AD458" s="33"/>
      <c r="AE458" s="33"/>
      <c r="AF458" s="33"/>
      <c r="AG458" s="33"/>
      <c r="AH458" s="33"/>
      <c r="AI458" s="33"/>
      <c r="AJ458" s="33"/>
      <c r="AK458" s="33"/>
      <c r="AL458" s="33"/>
      <c r="AM458" s="33"/>
      <c r="AN458" s="36"/>
      <c r="AO458" s="36"/>
      <c r="AP458" s="35"/>
      <c r="AQ458" s="35"/>
      <c r="AR458" s="35"/>
      <c r="AS458" s="36"/>
      <c r="AT458" s="36"/>
      <c r="AU458" s="36"/>
      <c r="AV458" s="36"/>
      <c r="AW458" s="36"/>
      <c r="AX458" s="36"/>
      <c r="AY458" s="37">
        <f t="shared" ref="AY458:AY461" si="559">+L458+O458+R458+U458+X458+AA458+AD458+AG458+AJ458+AM458+AP458+AS458+AV458</f>
        <v>28000000</v>
      </c>
      <c r="AZ458" s="37">
        <f t="shared" ref="AZ458:AZ461" si="560">+M458+P458+S458+V458+Y458+AB458+AE458+AH458+AK458+AN458+AQ458+AT458+AW458</f>
        <v>0</v>
      </c>
      <c r="BA458" s="37">
        <f t="shared" ref="BA458:BA461" si="561">+N458+Q458+T458+W458+Z458+AC458+AF458+AI458+AL458+AO458+AR458+AU458+AX458</f>
        <v>0</v>
      </c>
    </row>
    <row r="459" spans="1:53" ht="90.75" customHeight="1" x14ac:dyDescent="0.25">
      <c r="A459" s="19"/>
      <c r="B459" s="27"/>
      <c r="C459" s="199">
        <v>33</v>
      </c>
      <c r="D459" s="167" t="s">
        <v>641</v>
      </c>
      <c r="E459" s="30"/>
      <c r="F459" s="28">
        <v>133</v>
      </c>
      <c r="G459" s="29" t="s">
        <v>316</v>
      </c>
      <c r="H459" s="820"/>
      <c r="I459" s="821"/>
      <c r="J459" s="824"/>
      <c r="K459" s="31" t="s">
        <v>466</v>
      </c>
      <c r="L459" s="33"/>
      <c r="M459" s="33"/>
      <c r="N459" s="33"/>
      <c r="O459" s="33"/>
      <c r="P459" s="33"/>
      <c r="Q459" s="33"/>
      <c r="R459" s="33"/>
      <c r="S459" s="33"/>
      <c r="T459" s="33"/>
      <c r="U459" s="33"/>
      <c r="V459" s="33"/>
      <c r="W459" s="33"/>
      <c r="X459" s="467">
        <v>28000000</v>
      </c>
      <c r="Y459" s="467"/>
      <c r="Z459" s="467"/>
      <c r="AA459" s="33"/>
      <c r="AB459" s="33"/>
      <c r="AC459" s="33"/>
      <c r="AD459" s="33"/>
      <c r="AE459" s="33"/>
      <c r="AF459" s="33"/>
      <c r="AG459" s="33"/>
      <c r="AH459" s="33"/>
      <c r="AI459" s="33"/>
      <c r="AJ459" s="33"/>
      <c r="AK459" s="33"/>
      <c r="AL459" s="33"/>
      <c r="AM459" s="33"/>
      <c r="AN459" s="36"/>
      <c r="AO459" s="36"/>
      <c r="AP459" s="35"/>
      <c r="AQ459" s="35"/>
      <c r="AR459" s="35"/>
      <c r="AS459" s="36"/>
      <c r="AT459" s="36"/>
      <c r="AU459" s="36"/>
      <c r="AV459" s="36"/>
      <c r="AW459" s="36"/>
      <c r="AX459" s="36"/>
      <c r="AY459" s="37">
        <f t="shared" si="559"/>
        <v>28000000</v>
      </c>
      <c r="AZ459" s="37">
        <f t="shared" si="560"/>
        <v>0</v>
      </c>
      <c r="BA459" s="37">
        <f t="shared" si="561"/>
        <v>0</v>
      </c>
    </row>
    <row r="460" spans="1:53" ht="71.25" customHeight="1" x14ac:dyDescent="0.25">
      <c r="A460" s="19"/>
      <c r="B460" s="27"/>
      <c r="C460" s="31">
        <v>33</v>
      </c>
      <c r="D460" s="468" t="s">
        <v>642</v>
      </c>
      <c r="E460" s="30"/>
      <c r="F460" s="31">
        <v>134</v>
      </c>
      <c r="G460" s="29" t="s">
        <v>317</v>
      </c>
      <c r="H460" s="820"/>
      <c r="I460" s="821"/>
      <c r="J460" s="824"/>
      <c r="K460" s="31" t="s">
        <v>466</v>
      </c>
      <c r="L460" s="33"/>
      <c r="M460" s="33"/>
      <c r="N460" s="33"/>
      <c r="O460" s="33"/>
      <c r="P460" s="33"/>
      <c r="Q460" s="33"/>
      <c r="R460" s="33"/>
      <c r="S460" s="33"/>
      <c r="T460" s="33"/>
      <c r="U460" s="33"/>
      <c r="V460" s="33"/>
      <c r="W460" s="33"/>
      <c r="X460" s="467">
        <v>60000000</v>
      </c>
      <c r="Y460" s="467"/>
      <c r="Z460" s="467"/>
      <c r="AA460" s="33"/>
      <c r="AB460" s="33"/>
      <c r="AC460" s="33"/>
      <c r="AD460" s="33"/>
      <c r="AE460" s="33"/>
      <c r="AF460" s="33"/>
      <c r="AG460" s="33"/>
      <c r="AH460" s="33"/>
      <c r="AI460" s="33"/>
      <c r="AJ460" s="33"/>
      <c r="AK460" s="33"/>
      <c r="AL460" s="33"/>
      <c r="AM460" s="33"/>
      <c r="AN460" s="36"/>
      <c r="AO460" s="36"/>
      <c r="AP460" s="35"/>
      <c r="AQ460" s="35"/>
      <c r="AR460" s="35"/>
      <c r="AS460" s="36"/>
      <c r="AT460" s="36"/>
      <c r="AU460" s="36"/>
      <c r="AV460" s="36"/>
      <c r="AW460" s="36"/>
      <c r="AX460" s="36"/>
      <c r="AY460" s="37">
        <f t="shared" si="559"/>
        <v>60000000</v>
      </c>
      <c r="AZ460" s="37">
        <f t="shared" si="560"/>
        <v>0</v>
      </c>
      <c r="BA460" s="37">
        <f t="shared" si="561"/>
        <v>0</v>
      </c>
    </row>
    <row r="461" spans="1:53" ht="66" customHeight="1" x14ac:dyDescent="0.25">
      <c r="A461" s="19"/>
      <c r="B461" s="27"/>
      <c r="C461" s="31">
        <v>31</v>
      </c>
      <c r="D461" s="29" t="s">
        <v>643</v>
      </c>
      <c r="E461" s="38"/>
      <c r="F461" s="31">
        <v>135</v>
      </c>
      <c r="G461" s="29" t="s">
        <v>318</v>
      </c>
      <c r="H461" s="845"/>
      <c r="I461" s="830"/>
      <c r="J461" s="831"/>
      <c r="K461" s="31" t="s">
        <v>466</v>
      </c>
      <c r="L461" s="33"/>
      <c r="M461" s="33"/>
      <c r="N461" s="33"/>
      <c r="O461" s="33"/>
      <c r="P461" s="33"/>
      <c r="Q461" s="33"/>
      <c r="R461" s="33"/>
      <c r="S461" s="33"/>
      <c r="T461" s="33"/>
      <c r="U461" s="33"/>
      <c r="V461" s="33"/>
      <c r="W461" s="33"/>
      <c r="X461" s="467">
        <v>32000000</v>
      </c>
      <c r="Y461" s="467"/>
      <c r="Z461" s="467"/>
      <c r="AA461" s="33"/>
      <c r="AB461" s="33"/>
      <c r="AC461" s="33"/>
      <c r="AD461" s="33"/>
      <c r="AE461" s="33"/>
      <c r="AF461" s="33"/>
      <c r="AG461" s="33"/>
      <c r="AH461" s="33"/>
      <c r="AI461" s="33"/>
      <c r="AJ461" s="33"/>
      <c r="AK461" s="33"/>
      <c r="AL461" s="33"/>
      <c r="AM461" s="33"/>
      <c r="AN461" s="33"/>
      <c r="AO461" s="33"/>
      <c r="AP461" s="162"/>
      <c r="AQ461" s="162"/>
      <c r="AR461" s="162"/>
      <c r="AS461" s="33"/>
      <c r="AT461" s="33"/>
      <c r="AU461" s="33"/>
      <c r="AV461" s="33"/>
      <c r="AW461" s="33"/>
      <c r="AX461" s="33"/>
      <c r="AY461" s="37">
        <f t="shared" si="559"/>
        <v>32000000</v>
      </c>
      <c r="AZ461" s="37">
        <f t="shared" si="560"/>
        <v>0</v>
      </c>
      <c r="BA461" s="37">
        <f t="shared" si="561"/>
        <v>0</v>
      </c>
    </row>
    <row r="462" spans="1:53" ht="15" x14ac:dyDescent="0.25">
      <c r="A462" s="19"/>
      <c r="B462" s="27"/>
      <c r="C462" s="204"/>
      <c r="D462" s="644"/>
      <c r="E462" s="40"/>
      <c r="F462" s="41"/>
      <c r="G462" s="40"/>
      <c r="H462" s="469"/>
      <c r="I462" s="685"/>
      <c r="J462" s="40"/>
      <c r="K462" s="41"/>
      <c r="L462" s="43"/>
      <c r="M462" s="43"/>
      <c r="N462" s="43"/>
      <c r="O462" s="43"/>
      <c r="P462" s="43"/>
      <c r="Q462" s="43"/>
      <c r="R462" s="43"/>
      <c r="S462" s="43"/>
      <c r="T462" s="43"/>
      <c r="U462" s="43"/>
      <c r="V462" s="43"/>
      <c r="W462" s="43"/>
      <c r="X462" s="43">
        <f t="shared" ref="X462:AA462" si="562">SUM(X458:X461)</f>
        <v>148000000</v>
      </c>
      <c r="Y462" s="43">
        <f t="shared" si="562"/>
        <v>0</v>
      </c>
      <c r="Z462" s="43">
        <f t="shared" si="562"/>
        <v>0</v>
      </c>
      <c r="AA462" s="355">
        <f t="shared" si="562"/>
        <v>0</v>
      </c>
      <c r="AB462" s="355"/>
      <c r="AC462" s="355"/>
      <c r="AD462" s="43"/>
      <c r="AE462" s="43"/>
      <c r="AF462" s="43"/>
      <c r="AG462" s="43"/>
      <c r="AH462" s="43"/>
      <c r="AI462" s="43"/>
      <c r="AJ462" s="43"/>
      <c r="AK462" s="43"/>
      <c r="AL462" s="43"/>
      <c r="AM462" s="43"/>
      <c r="AN462" s="43"/>
      <c r="AO462" s="43"/>
      <c r="AP462" s="173"/>
      <c r="AQ462" s="173"/>
      <c r="AR462" s="173"/>
      <c r="AS462" s="43"/>
      <c r="AT462" s="43"/>
      <c r="AU462" s="43"/>
      <c r="AV462" s="43"/>
      <c r="AW462" s="43"/>
      <c r="AX462" s="43"/>
      <c r="AY462" s="43">
        <f t="shared" ref="AY462:BA462" si="563">SUM(AY458:AY461)</f>
        <v>148000000</v>
      </c>
      <c r="AZ462" s="43">
        <f t="shared" si="563"/>
        <v>0</v>
      </c>
      <c r="BA462" s="43">
        <f t="shared" si="563"/>
        <v>0</v>
      </c>
    </row>
    <row r="463" spans="1:53" ht="15" x14ac:dyDescent="0.25">
      <c r="A463" s="19"/>
      <c r="B463" s="27"/>
      <c r="C463" s="397"/>
      <c r="D463" s="398"/>
      <c r="E463" s="58"/>
      <c r="F463" s="651"/>
      <c r="G463" s="58"/>
      <c r="H463" s="109"/>
      <c r="I463" s="700"/>
      <c r="J463" s="108"/>
      <c r="K463" s="651"/>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88"/>
      <c r="AQ463" s="88"/>
      <c r="AR463" s="88"/>
      <c r="AS463" s="60"/>
      <c r="AT463" s="60"/>
      <c r="AU463" s="60"/>
      <c r="AV463" s="61"/>
      <c r="AW463" s="63"/>
      <c r="AX463" s="63"/>
      <c r="AY463" s="64"/>
      <c r="AZ463" s="64"/>
      <c r="BA463" s="64"/>
    </row>
    <row r="464" spans="1:53" ht="15" x14ac:dyDescent="0.25">
      <c r="A464" s="19"/>
      <c r="B464" s="27"/>
      <c r="C464" s="397"/>
      <c r="D464" s="641"/>
      <c r="E464" s="287">
        <v>38</v>
      </c>
      <c r="F464" s="78" t="s">
        <v>644</v>
      </c>
      <c r="G464" s="78"/>
      <c r="H464" s="78"/>
      <c r="I464" s="222"/>
      <c r="J464" s="78"/>
      <c r="K464" s="78"/>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80"/>
      <c r="AQ464" s="80"/>
      <c r="AR464" s="80"/>
      <c r="AS464" s="79"/>
      <c r="AT464" s="79"/>
      <c r="AU464" s="79"/>
      <c r="AV464" s="79"/>
      <c r="AW464" s="79"/>
      <c r="AX464" s="79"/>
      <c r="AY464" s="81"/>
      <c r="AZ464" s="81"/>
      <c r="BA464" s="81"/>
    </row>
    <row r="465" spans="1:53" ht="57" x14ac:dyDescent="0.25">
      <c r="A465" s="19"/>
      <c r="B465" s="27"/>
      <c r="C465" s="653">
        <v>22</v>
      </c>
      <c r="D465" s="470" t="s">
        <v>491</v>
      </c>
      <c r="E465" s="471"/>
      <c r="F465" s="278">
        <v>136</v>
      </c>
      <c r="G465" s="29" t="s">
        <v>319</v>
      </c>
      <c r="H465" s="865" t="s">
        <v>636</v>
      </c>
      <c r="I465" s="827" t="s">
        <v>320</v>
      </c>
      <c r="J465" s="828" t="s">
        <v>321</v>
      </c>
      <c r="K465" s="31" t="s">
        <v>466</v>
      </c>
      <c r="L465" s="33"/>
      <c r="M465" s="33"/>
      <c r="N465" s="33"/>
      <c r="O465" s="33"/>
      <c r="P465" s="33"/>
      <c r="Q465" s="33"/>
      <c r="R465" s="33"/>
      <c r="S465" s="33"/>
      <c r="T465" s="33"/>
      <c r="U465" s="33"/>
      <c r="V465" s="33"/>
      <c r="W465" s="33"/>
      <c r="X465" s="464">
        <v>40000000</v>
      </c>
      <c r="Y465" s="464"/>
      <c r="Z465" s="464"/>
      <c r="AA465" s="33"/>
      <c r="AB465" s="33"/>
      <c r="AC465" s="33"/>
      <c r="AD465" s="33"/>
      <c r="AE465" s="33"/>
      <c r="AF465" s="33"/>
      <c r="AG465" s="33"/>
      <c r="AH465" s="33"/>
      <c r="AI465" s="33"/>
      <c r="AJ465" s="33"/>
      <c r="AK465" s="33"/>
      <c r="AL465" s="33"/>
      <c r="AM465" s="33"/>
      <c r="AN465" s="36"/>
      <c r="AO465" s="36"/>
      <c r="AP465" s="35"/>
      <c r="AQ465" s="35"/>
      <c r="AR465" s="35"/>
      <c r="AS465" s="36"/>
      <c r="AT465" s="36"/>
      <c r="AU465" s="36"/>
      <c r="AV465" s="36"/>
      <c r="AW465" s="36"/>
      <c r="AX465" s="36"/>
      <c r="AY465" s="37">
        <f t="shared" ref="AY465:AY467" si="564">+L465+O465+R465+U465+X465+AA465+AD465+AG465+AJ465+AM465+AP465+AS465+AV465</f>
        <v>40000000</v>
      </c>
      <c r="AZ465" s="37">
        <f t="shared" ref="AZ465:AZ467" si="565">+M465+P465+S465+V465+Y465+AB465+AE465+AH465+AK465+AN465+AQ465+AT465+AW465</f>
        <v>0</v>
      </c>
      <c r="BA465" s="37">
        <f t="shared" ref="BA465:BA467" si="566">+N465+Q465+T465+W465+Z465+AC465+AF465+AI465+AL465+AO465+AR465+AU465+AX465</f>
        <v>0</v>
      </c>
    </row>
    <row r="466" spans="1:53" ht="48" customHeight="1" x14ac:dyDescent="0.25">
      <c r="A466" s="19"/>
      <c r="B466" s="27"/>
      <c r="C466" s="199">
        <v>10</v>
      </c>
      <c r="D466" s="167" t="s">
        <v>645</v>
      </c>
      <c r="E466" s="472"/>
      <c r="F466" s="278">
        <v>137</v>
      </c>
      <c r="G466" s="29" t="s">
        <v>322</v>
      </c>
      <c r="H466" s="866"/>
      <c r="I466" s="821"/>
      <c r="J466" s="824"/>
      <c r="K466" s="31" t="s">
        <v>466</v>
      </c>
      <c r="L466" s="33"/>
      <c r="M466" s="33"/>
      <c r="N466" s="33"/>
      <c r="O466" s="33"/>
      <c r="P466" s="33"/>
      <c r="Q466" s="33"/>
      <c r="R466" s="33"/>
      <c r="S466" s="33"/>
      <c r="T466" s="33"/>
      <c r="U466" s="33"/>
      <c r="V466" s="33"/>
      <c r="W466" s="33"/>
      <c r="X466" s="464">
        <v>60000000</v>
      </c>
      <c r="Y466" s="205">
        <v>8120000</v>
      </c>
      <c r="Z466" s="205"/>
      <c r="AA466" s="33"/>
      <c r="AB466" s="33"/>
      <c r="AC466" s="33"/>
      <c r="AD466" s="33"/>
      <c r="AE466" s="33"/>
      <c r="AF466" s="33"/>
      <c r="AG466" s="33"/>
      <c r="AH466" s="33"/>
      <c r="AI466" s="33"/>
      <c r="AJ466" s="33"/>
      <c r="AK466" s="33"/>
      <c r="AL466" s="33"/>
      <c r="AM466" s="33"/>
      <c r="AN466" s="36"/>
      <c r="AO466" s="36"/>
      <c r="AP466" s="35"/>
      <c r="AQ466" s="35"/>
      <c r="AR466" s="35"/>
      <c r="AS466" s="36"/>
      <c r="AT466" s="36"/>
      <c r="AU466" s="36"/>
      <c r="AV466" s="36"/>
      <c r="AW466" s="36"/>
      <c r="AX466" s="36"/>
      <c r="AY466" s="37">
        <f t="shared" si="564"/>
        <v>60000000</v>
      </c>
      <c r="AZ466" s="37">
        <f t="shared" si="565"/>
        <v>8120000</v>
      </c>
      <c r="BA466" s="37">
        <f t="shared" si="566"/>
        <v>0</v>
      </c>
    </row>
    <row r="467" spans="1:53" ht="71.25" x14ac:dyDescent="0.25">
      <c r="A467" s="19"/>
      <c r="B467" s="27"/>
      <c r="C467" s="219">
        <v>11</v>
      </c>
      <c r="D467" s="167" t="s">
        <v>646</v>
      </c>
      <c r="E467" s="472"/>
      <c r="F467" s="278">
        <v>138</v>
      </c>
      <c r="G467" s="29" t="s">
        <v>323</v>
      </c>
      <c r="H467" s="867"/>
      <c r="I467" s="830"/>
      <c r="J467" s="831"/>
      <c r="K467" s="31" t="s">
        <v>466</v>
      </c>
      <c r="L467" s="33"/>
      <c r="M467" s="33"/>
      <c r="N467" s="33"/>
      <c r="O467" s="33"/>
      <c r="P467" s="33"/>
      <c r="Q467" s="33"/>
      <c r="R467" s="33"/>
      <c r="S467" s="33"/>
      <c r="T467" s="33"/>
      <c r="U467" s="33"/>
      <c r="V467" s="33"/>
      <c r="W467" s="33"/>
      <c r="X467" s="464">
        <v>40000000</v>
      </c>
      <c r="Y467" s="205">
        <v>7466666</v>
      </c>
      <c r="Z467" s="205">
        <v>2800000</v>
      </c>
      <c r="AA467" s="33"/>
      <c r="AB467" s="33"/>
      <c r="AC467" s="33"/>
      <c r="AD467" s="33"/>
      <c r="AE467" s="33"/>
      <c r="AF467" s="33"/>
      <c r="AG467" s="33"/>
      <c r="AH467" s="33"/>
      <c r="AI467" s="33"/>
      <c r="AJ467" s="33"/>
      <c r="AK467" s="33"/>
      <c r="AL467" s="33"/>
      <c r="AM467" s="33"/>
      <c r="AN467" s="36"/>
      <c r="AO467" s="36"/>
      <c r="AP467" s="35"/>
      <c r="AQ467" s="35"/>
      <c r="AR467" s="35"/>
      <c r="AS467" s="36"/>
      <c r="AT467" s="36"/>
      <c r="AU467" s="36"/>
      <c r="AV467" s="36"/>
      <c r="AW467" s="36"/>
      <c r="AX467" s="36"/>
      <c r="AY467" s="37">
        <f t="shared" si="564"/>
        <v>40000000</v>
      </c>
      <c r="AZ467" s="37">
        <f t="shared" si="565"/>
        <v>7466666</v>
      </c>
      <c r="BA467" s="37">
        <f t="shared" si="566"/>
        <v>2800000</v>
      </c>
    </row>
    <row r="468" spans="1:53" ht="15" x14ac:dyDescent="0.25">
      <c r="A468" s="19"/>
      <c r="B468" s="27"/>
      <c r="C468" s="204"/>
      <c r="D468" s="641"/>
      <c r="E468" s="258"/>
      <c r="F468" s="42"/>
      <c r="G468" s="40"/>
      <c r="H468" s="42"/>
      <c r="I468" s="685"/>
      <c r="J468" s="312"/>
      <c r="K468" s="41"/>
      <c r="L468" s="43"/>
      <c r="M468" s="43"/>
      <c r="N468" s="43"/>
      <c r="O468" s="43"/>
      <c r="P468" s="43"/>
      <c r="Q468" s="43"/>
      <c r="R468" s="43"/>
      <c r="S468" s="43"/>
      <c r="T468" s="43"/>
      <c r="U468" s="43"/>
      <c r="V468" s="43"/>
      <c r="W468" s="43"/>
      <c r="X468" s="43">
        <f t="shared" ref="X468:Z468" si="567">SUM(X465:X467)</f>
        <v>140000000</v>
      </c>
      <c r="Y468" s="43">
        <f t="shared" si="567"/>
        <v>15586666</v>
      </c>
      <c r="Z468" s="43">
        <f t="shared" si="567"/>
        <v>2800000</v>
      </c>
      <c r="AA468" s="43"/>
      <c r="AB468" s="43"/>
      <c r="AC468" s="43"/>
      <c r="AD468" s="43"/>
      <c r="AE468" s="43"/>
      <c r="AF468" s="43"/>
      <c r="AG468" s="43"/>
      <c r="AH468" s="43"/>
      <c r="AI468" s="43"/>
      <c r="AJ468" s="43"/>
      <c r="AK468" s="43"/>
      <c r="AL468" s="43"/>
      <c r="AM468" s="43"/>
      <c r="AN468" s="43"/>
      <c r="AO468" s="43"/>
      <c r="AP468" s="173"/>
      <c r="AQ468" s="173"/>
      <c r="AR468" s="173"/>
      <c r="AS468" s="43"/>
      <c r="AT468" s="43"/>
      <c r="AU468" s="43"/>
      <c r="AV468" s="43"/>
      <c r="AW468" s="43"/>
      <c r="AX468" s="43"/>
      <c r="AY468" s="43">
        <f t="shared" ref="AY468:BA468" si="568">SUM(AY465:AY467)</f>
        <v>140000000</v>
      </c>
      <c r="AZ468" s="43">
        <f t="shared" si="568"/>
        <v>15586666</v>
      </c>
      <c r="BA468" s="43">
        <f t="shared" si="568"/>
        <v>2800000</v>
      </c>
    </row>
    <row r="469" spans="1:53" ht="15" x14ac:dyDescent="0.25">
      <c r="A469" s="19"/>
      <c r="B469" s="27"/>
      <c r="C469" s="397"/>
      <c r="D469" s="398"/>
      <c r="E469" s="58"/>
      <c r="F469" s="651"/>
      <c r="G469" s="58"/>
      <c r="H469" s="109"/>
      <c r="I469" s="700"/>
      <c r="J469" s="108"/>
      <c r="K469" s="651"/>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88"/>
      <c r="AQ469" s="88"/>
      <c r="AR469" s="88"/>
      <c r="AS469" s="60"/>
      <c r="AT469" s="60"/>
      <c r="AU469" s="60"/>
      <c r="AV469" s="60"/>
      <c r="AW469" s="145"/>
      <c r="AX469" s="145"/>
      <c r="AY469" s="64"/>
      <c r="AZ469" s="64"/>
      <c r="BA469" s="64"/>
    </row>
    <row r="470" spans="1:53" x14ac:dyDescent="0.25">
      <c r="A470" s="19"/>
      <c r="B470" s="27"/>
      <c r="C470" s="397"/>
      <c r="D470" s="641"/>
      <c r="E470" s="287">
        <v>39</v>
      </c>
      <c r="F470" s="77" t="s">
        <v>647</v>
      </c>
      <c r="G470" s="78"/>
      <c r="H470" s="78"/>
      <c r="I470" s="690"/>
      <c r="J470" s="78"/>
      <c r="K470" s="78"/>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80"/>
      <c r="AQ470" s="80"/>
      <c r="AR470" s="80"/>
      <c r="AS470" s="79"/>
      <c r="AT470" s="79"/>
      <c r="AU470" s="79"/>
      <c r="AV470" s="79"/>
      <c r="AW470" s="79"/>
      <c r="AX470" s="79"/>
      <c r="AY470" s="81"/>
      <c r="AZ470" s="81"/>
      <c r="BA470" s="81"/>
    </row>
    <row r="471" spans="1:53" ht="42.75" x14ac:dyDescent="0.25">
      <c r="A471" s="19"/>
      <c r="B471" s="27"/>
      <c r="C471" s="330">
        <v>24</v>
      </c>
      <c r="D471" s="641" t="s">
        <v>648</v>
      </c>
      <c r="E471" s="820"/>
      <c r="F471" s="31">
        <v>139</v>
      </c>
      <c r="G471" s="29" t="s">
        <v>324</v>
      </c>
      <c r="H471" s="820" t="s">
        <v>636</v>
      </c>
      <c r="I471" s="827" t="s">
        <v>325</v>
      </c>
      <c r="J471" s="828" t="s">
        <v>326</v>
      </c>
      <c r="K471" s="31" t="s">
        <v>466</v>
      </c>
      <c r="L471" s="33"/>
      <c r="M471" s="33"/>
      <c r="N471" s="33"/>
      <c r="O471" s="33"/>
      <c r="P471" s="33"/>
      <c r="Q471" s="33"/>
      <c r="R471" s="33"/>
      <c r="S471" s="33"/>
      <c r="T471" s="33"/>
      <c r="U471" s="33"/>
      <c r="V471" s="33"/>
      <c r="W471" s="33"/>
      <c r="X471" s="464">
        <v>110000000</v>
      </c>
      <c r="Y471" s="464">
        <v>16333333</v>
      </c>
      <c r="Z471" s="464">
        <v>5000000</v>
      </c>
      <c r="AA471" s="33"/>
      <c r="AB471" s="33"/>
      <c r="AC471" s="33"/>
      <c r="AD471" s="33"/>
      <c r="AE471" s="33"/>
      <c r="AF471" s="33"/>
      <c r="AG471" s="33"/>
      <c r="AH471" s="33"/>
      <c r="AI471" s="33"/>
      <c r="AJ471" s="33"/>
      <c r="AK471" s="33"/>
      <c r="AL471" s="33"/>
      <c r="AM471" s="33"/>
      <c r="AN471" s="36"/>
      <c r="AO471" s="36"/>
      <c r="AP471" s="35"/>
      <c r="AQ471" s="35"/>
      <c r="AR471" s="35"/>
      <c r="AS471" s="36"/>
      <c r="AT471" s="36"/>
      <c r="AU471" s="36"/>
      <c r="AV471" s="36"/>
      <c r="AW471" s="36"/>
      <c r="AX471" s="36"/>
      <c r="AY471" s="37">
        <f t="shared" ref="AY471:AY473" si="569">+L471+O471+R471+U471+X471+AA471+AD471+AG471+AJ471+AM471+AP471+AS471+AV471</f>
        <v>110000000</v>
      </c>
      <c r="AZ471" s="37">
        <f t="shared" ref="AZ471:AZ473" si="570">+M471+P471+S471+V471+Y471+AB471+AE471+AH471+AK471+AN471+AQ471+AT471+AW471</f>
        <v>16333333</v>
      </c>
      <c r="BA471" s="37">
        <f t="shared" ref="BA471:BA473" si="571">+N471+Q471+T471+W471+Z471+AC471+AF471+AI471+AL471+AO471+AR471+AU471+AX471</f>
        <v>5000000</v>
      </c>
    </row>
    <row r="472" spans="1:53" ht="63.75" customHeight="1" x14ac:dyDescent="0.25">
      <c r="A472" s="19"/>
      <c r="B472" s="27"/>
      <c r="C472" s="197" t="s">
        <v>649</v>
      </c>
      <c r="D472" s="473" t="s">
        <v>650</v>
      </c>
      <c r="E472" s="820"/>
      <c r="F472" s="31">
        <v>140</v>
      </c>
      <c r="G472" s="29" t="s">
        <v>327</v>
      </c>
      <c r="H472" s="820"/>
      <c r="I472" s="821"/>
      <c r="J472" s="824"/>
      <c r="K472" s="31" t="s">
        <v>466</v>
      </c>
      <c r="L472" s="33"/>
      <c r="M472" s="33"/>
      <c r="N472" s="33"/>
      <c r="O472" s="33"/>
      <c r="P472" s="33"/>
      <c r="Q472" s="33"/>
      <c r="R472" s="33"/>
      <c r="S472" s="33"/>
      <c r="T472" s="33"/>
      <c r="U472" s="33"/>
      <c r="V472" s="33"/>
      <c r="W472" s="33"/>
      <c r="X472" s="464">
        <v>30000000</v>
      </c>
      <c r="Y472" s="464"/>
      <c r="Z472" s="464"/>
      <c r="AA472" s="33"/>
      <c r="AB472" s="33"/>
      <c r="AC472" s="33"/>
      <c r="AD472" s="33"/>
      <c r="AE472" s="33"/>
      <c r="AF472" s="33"/>
      <c r="AG472" s="33"/>
      <c r="AH472" s="33"/>
      <c r="AI472" s="33"/>
      <c r="AJ472" s="33"/>
      <c r="AK472" s="33"/>
      <c r="AL472" s="33"/>
      <c r="AM472" s="33"/>
      <c r="AN472" s="36"/>
      <c r="AO472" s="36"/>
      <c r="AP472" s="35"/>
      <c r="AQ472" s="35"/>
      <c r="AR472" s="35"/>
      <c r="AS472" s="36"/>
      <c r="AT472" s="36"/>
      <c r="AU472" s="36"/>
      <c r="AV472" s="36"/>
      <c r="AW472" s="36"/>
      <c r="AX472" s="36"/>
      <c r="AY472" s="37">
        <f t="shared" si="569"/>
        <v>30000000</v>
      </c>
      <c r="AZ472" s="37">
        <f t="shared" si="570"/>
        <v>0</v>
      </c>
      <c r="BA472" s="37">
        <f t="shared" si="571"/>
        <v>0</v>
      </c>
    </row>
    <row r="473" spans="1:53" ht="87" customHeight="1" x14ac:dyDescent="0.25">
      <c r="A473" s="19"/>
      <c r="B473" s="27"/>
      <c r="C473" s="197" t="s">
        <v>649</v>
      </c>
      <c r="D473" s="473" t="s">
        <v>650</v>
      </c>
      <c r="E473" s="845"/>
      <c r="F473" s="31">
        <v>141</v>
      </c>
      <c r="G473" s="29" t="s">
        <v>328</v>
      </c>
      <c r="H473" s="845"/>
      <c r="I473" s="830"/>
      <c r="J473" s="831"/>
      <c r="K473" s="31" t="s">
        <v>466</v>
      </c>
      <c r="L473" s="33"/>
      <c r="M473" s="33"/>
      <c r="N473" s="33"/>
      <c r="O473" s="33"/>
      <c r="P473" s="33"/>
      <c r="Q473" s="33"/>
      <c r="R473" s="33"/>
      <c r="S473" s="33"/>
      <c r="T473" s="33"/>
      <c r="U473" s="33"/>
      <c r="V473" s="33"/>
      <c r="W473" s="33"/>
      <c r="X473" s="464">
        <v>30000000</v>
      </c>
      <c r="Y473" s="464"/>
      <c r="Z473" s="464"/>
      <c r="AA473" s="33"/>
      <c r="AB473" s="33"/>
      <c r="AC473" s="33"/>
      <c r="AD473" s="33"/>
      <c r="AE473" s="33"/>
      <c r="AF473" s="33"/>
      <c r="AG473" s="33"/>
      <c r="AH473" s="33"/>
      <c r="AI473" s="33"/>
      <c r="AJ473" s="33"/>
      <c r="AK473" s="33"/>
      <c r="AL473" s="33"/>
      <c r="AM473" s="33"/>
      <c r="AN473" s="36"/>
      <c r="AO473" s="36"/>
      <c r="AP473" s="35"/>
      <c r="AQ473" s="35"/>
      <c r="AR473" s="35"/>
      <c r="AS473" s="36"/>
      <c r="AT473" s="36"/>
      <c r="AU473" s="36"/>
      <c r="AV473" s="36"/>
      <c r="AW473" s="36"/>
      <c r="AX473" s="36"/>
      <c r="AY473" s="37">
        <f t="shared" si="569"/>
        <v>30000000</v>
      </c>
      <c r="AZ473" s="37">
        <f t="shared" si="570"/>
        <v>0</v>
      </c>
      <c r="BA473" s="37">
        <f t="shared" si="571"/>
        <v>0</v>
      </c>
    </row>
    <row r="474" spans="1:53" ht="15" x14ac:dyDescent="0.25">
      <c r="A474" s="19"/>
      <c r="B474" s="27"/>
      <c r="C474" s="204"/>
      <c r="D474" s="641"/>
      <c r="E474" s="40"/>
      <c r="F474" s="41"/>
      <c r="G474" s="40"/>
      <c r="H474" s="41"/>
      <c r="I474" s="685"/>
      <c r="J474" s="40"/>
      <c r="K474" s="41"/>
      <c r="L474" s="43"/>
      <c r="M474" s="43"/>
      <c r="N474" s="43"/>
      <c r="O474" s="43"/>
      <c r="P474" s="43"/>
      <c r="Q474" s="43"/>
      <c r="R474" s="43"/>
      <c r="S474" s="43"/>
      <c r="T474" s="43"/>
      <c r="U474" s="43"/>
      <c r="V474" s="43"/>
      <c r="W474" s="43"/>
      <c r="X474" s="43">
        <f t="shared" ref="X474:Z474" si="572">SUM(X471:X473)</f>
        <v>170000000</v>
      </c>
      <c r="Y474" s="43">
        <f t="shared" si="572"/>
        <v>16333333</v>
      </c>
      <c r="Z474" s="43">
        <f t="shared" si="572"/>
        <v>5000000</v>
      </c>
      <c r="AA474" s="43"/>
      <c r="AB474" s="43"/>
      <c r="AC474" s="43"/>
      <c r="AD474" s="43"/>
      <c r="AE474" s="43"/>
      <c r="AF474" s="43"/>
      <c r="AG474" s="43"/>
      <c r="AH474" s="43"/>
      <c r="AI474" s="43"/>
      <c r="AJ474" s="43"/>
      <c r="AK474" s="43"/>
      <c r="AL474" s="43"/>
      <c r="AM474" s="43"/>
      <c r="AN474" s="43"/>
      <c r="AO474" s="43"/>
      <c r="AP474" s="173"/>
      <c r="AQ474" s="173"/>
      <c r="AR474" s="173"/>
      <c r="AS474" s="43"/>
      <c r="AT474" s="43"/>
      <c r="AU474" s="43"/>
      <c r="AV474" s="43"/>
      <c r="AW474" s="43"/>
      <c r="AX474" s="43"/>
      <c r="AY474" s="43">
        <f t="shared" ref="AY474:BA474" si="573">SUM(AY471:AY473)</f>
        <v>170000000</v>
      </c>
      <c r="AZ474" s="43">
        <f t="shared" si="573"/>
        <v>16333333</v>
      </c>
      <c r="BA474" s="43">
        <f t="shared" si="573"/>
        <v>5000000</v>
      </c>
    </row>
    <row r="475" spans="1:53" ht="15" x14ac:dyDescent="0.25">
      <c r="A475" s="19"/>
      <c r="B475" s="27"/>
      <c r="C475" s="397"/>
      <c r="D475" s="398"/>
      <c r="E475" s="58"/>
      <c r="F475" s="651"/>
      <c r="G475" s="58"/>
      <c r="H475" s="109"/>
      <c r="I475" s="700"/>
      <c r="J475" s="108"/>
      <c r="K475" s="651"/>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88"/>
      <c r="AQ475" s="88"/>
      <c r="AR475" s="88"/>
      <c r="AS475" s="60"/>
      <c r="AT475" s="60"/>
      <c r="AU475" s="60"/>
      <c r="AV475" s="61"/>
      <c r="AW475" s="63"/>
      <c r="AX475" s="63"/>
      <c r="AY475" s="64"/>
      <c r="AZ475" s="64"/>
      <c r="BA475" s="64"/>
    </row>
    <row r="476" spans="1:53" ht="15" x14ac:dyDescent="0.25">
      <c r="A476" s="19"/>
      <c r="B476" s="27"/>
      <c r="C476" s="397"/>
      <c r="D476" s="641"/>
      <c r="E476" s="287">
        <v>40</v>
      </c>
      <c r="F476" s="78" t="s">
        <v>651</v>
      </c>
      <c r="G476" s="78"/>
      <c r="H476" s="78"/>
      <c r="I476" s="222"/>
      <c r="J476" s="78"/>
      <c r="K476" s="78"/>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80"/>
      <c r="AQ476" s="80"/>
      <c r="AR476" s="80"/>
      <c r="AS476" s="79"/>
      <c r="AT476" s="79"/>
      <c r="AU476" s="79"/>
      <c r="AV476" s="79"/>
      <c r="AW476" s="79"/>
      <c r="AX476" s="79"/>
      <c r="AY476" s="81"/>
      <c r="AZ476" s="81"/>
      <c r="BA476" s="81"/>
    </row>
    <row r="477" spans="1:53" ht="93" customHeight="1" x14ac:dyDescent="0.25">
      <c r="A477" s="19"/>
      <c r="B477" s="27"/>
      <c r="C477" s="282">
        <v>25</v>
      </c>
      <c r="D477" s="283" t="s">
        <v>652</v>
      </c>
      <c r="E477" s="100"/>
      <c r="F477" s="28">
        <v>142</v>
      </c>
      <c r="G477" s="29" t="s">
        <v>329</v>
      </c>
      <c r="H477" s="844" t="s">
        <v>636</v>
      </c>
      <c r="I477" s="827" t="s">
        <v>330</v>
      </c>
      <c r="J477" s="828" t="s">
        <v>331</v>
      </c>
      <c r="K477" s="31" t="s">
        <v>466</v>
      </c>
      <c r="L477" s="33"/>
      <c r="M477" s="33"/>
      <c r="N477" s="33"/>
      <c r="O477" s="33"/>
      <c r="P477" s="33"/>
      <c r="Q477" s="33"/>
      <c r="R477" s="33"/>
      <c r="S477" s="33"/>
      <c r="T477" s="33"/>
      <c r="U477" s="33"/>
      <c r="V477" s="33"/>
      <c r="W477" s="33"/>
      <c r="X477" s="33">
        <v>120000000</v>
      </c>
      <c r="Y477" s="33">
        <v>21799999</v>
      </c>
      <c r="Z477" s="33"/>
      <c r="AA477" s="33"/>
      <c r="AB477" s="33"/>
      <c r="AC477" s="33"/>
      <c r="AD477" s="33"/>
      <c r="AE477" s="33"/>
      <c r="AF477" s="33"/>
      <c r="AG477" s="33"/>
      <c r="AH477" s="33"/>
      <c r="AI477" s="33"/>
      <c r="AJ477" s="33"/>
      <c r="AK477" s="33"/>
      <c r="AL477" s="33"/>
      <c r="AM477" s="33"/>
      <c r="AN477" s="36"/>
      <c r="AO477" s="36"/>
      <c r="AP477" s="35"/>
      <c r="AQ477" s="35"/>
      <c r="AR477" s="35"/>
      <c r="AS477" s="36"/>
      <c r="AT477" s="36"/>
      <c r="AU477" s="36"/>
      <c r="AV477" s="211"/>
      <c r="AW477" s="211"/>
      <c r="AX477" s="211"/>
      <c r="AY477" s="37">
        <f t="shared" ref="AY477:AY482" si="574">+L477+O477+R477+U477+X477+AA477+AD477+AG477+AJ477+AM477+AP477+AS477+AV477</f>
        <v>120000000</v>
      </c>
      <c r="AZ477" s="37">
        <f t="shared" ref="AZ477:AZ482" si="575">+M477+P477+S477+V477+Y477+AB477+AE477+AH477+AK477+AN477+AQ477+AT477+AW477</f>
        <v>21799999</v>
      </c>
      <c r="BA477" s="37">
        <f t="shared" ref="BA477:BA482" si="576">+N477+Q477+T477+W477+Z477+AC477+AF477+AI477+AL477+AO477+AR477+AU477+AX477</f>
        <v>0</v>
      </c>
    </row>
    <row r="478" spans="1:53" ht="83.25" customHeight="1" x14ac:dyDescent="0.25">
      <c r="A478" s="340"/>
      <c r="B478" s="178"/>
      <c r="C478" s="122" t="s">
        <v>649</v>
      </c>
      <c r="D478" s="167" t="s">
        <v>653</v>
      </c>
      <c r="E478" s="180"/>
      <c r="F478" s="204">
        <v>143</v>
      </c>
      <c r="G478" s="641" t="s">
        <v>332</v>
      </c>
      <c r="H478" s="845"/>
      <c r="I478" s="830"/>
      <c r="J478" s="831"/>
      <c r="K478" s="182" t="s">
        <v>466</v>
      </c>
      <c r="L478" s="183"/>
      <c r="M478" s="183"/>
      <c r="N478" s="183"/>
      <c r="O478" s="183"/>
      <c r="P478" s="183"/>
      <c r="Q478" s="183"/>
      <c r="R478" s="183"/>
      <c r="S478" s="183"/>
      <c r="T478" s="183"/>
      <c r="U478" s="183"/>
      <c r="V478" s="183"/>
      <c r="W478" s="183"/>
      <c r="X478" s="183">
        <v>20000000</v>
      </c>
      <c r="Y478" s="183"/>
      <c r="Z478" s="183"/>
      <c r="AA478" s="183"/>
      <c r="AB478" s="183"/>
      <c r="AC478" s="183"/>
      <c r="AD478" s="183"/>
      <c r="AE478" s="183"/>
      <c r="AF478" s="183"/>
      <c r="AG478" s="183"/>
      <c r="AH478" s="183"/>
      <c r="AI478" s="183"/>
      <c r="AJ478" s="183"/>
      <c r="AK478" s="183"/>
      <c r="AL478" s="183"/>
      <c r="AM478" s="183"/>
      <c r="AN478" s="186"/>
      <c r="AO478" s="186"/>
      <c r="AP478" s="185">
        <f>20000000-13438000-6562000</f>
        <v>0</v>
      </c>
      <c r="AQ478" s="185"/>
      <c r="AR478" s="185"/>
      <c r="AS478" s="186"/>
      <c r="AT478" s="186"/>
      <c r="AU478" s="186"/>
      <c r="AV478" s="186"/>
      <c r="AW478" s="186"/>
      <c r="AX478" s="186"/>
      <c r="AY478" s="37">
        <f t="shared" si="574"/>
        <v>20000000</v>
      </c>
      <c r="AZ478" s="37">
        <f t="shared" si="575"/>
        <v>0</v>
      </c>
      <c r="BA478" s="37">
        <f t="shared" si="576"/>
        <v>0</v>
      </c>
    </row>
    <row r="479" spans="1:53" ht="75.75" customHeight="1" x14ac:dyDescent="0.25">
      <c r="A479" s="340"/>
      <c r="B479" s="178"/>
      <c r="C479" s="282">
        <v>25</v>
      </c>
      <c r="D479" s="283" t="s">
        <v>652</v>
      </c>
      <c r="E479" s="180"/>
      <c r="F479" s="204">
        <v>144</v>
      </c>
      <c r="G479" s="641" t="s">
        <v>333</v>
      </c>
      <c r="H479" s="844" t="s">
        <v>636</v>
      </c>
      <c r="I479" s="827" t="s">
        <v>334</v>
      </c>
      <c r="J479" s="824" t="s">
        <v>335</v>
      </c>
      <c r="K479" s="182" t="s">
        <v>466</v>
      </c>
      <c r="L479" s="183"/>
      <c r="M479" s="183"/>
      <c r="N479" s="183"/>
      <c r="O479" s="183"/>
      <c r="P479" s="183"/>
      <c r="Q479" s="183"/>
      <c r="R479" s="183"/>
      <c r="S479" s="183"/>
      <c r="T479" s="183"/>
      <c r="U479" s="183"/>
      <c r="V479" s="183"/>
      <c r="W479" s="183"/>
      <c r="X479" s="183">
        <v>100000000</v>
      </c>
      <c r="Y479" s="183">
        <v>10800000</v>
      </c>
      <c r="Z479" s="183"/>
      <c r="AA479" s="183"/>
      <c r="AB479" s="183"/>
      <c r="AC479" s="183"/>
      <c r="AD479" s="183"/>
      <c r="AE479" s="183"/>
      <c r="AF479" s="183"/>
      <c r="AG479" s="183"/>
      <c r="AH479" s="183"/>
      <c r="AI479" s="183"/>
      <c r="AJ479" s="183"/>
      <c r="AK479" s="183"/>
      <c r="AL479" s="183"/>
      <c r="AM479" s="183"/>
      <c r="AN479" s="183"/>
      <c r="AO479" s="183"/>
      <c r="AP479" s="198">
        <f>75000000+55000000</f>
        <v>130000000</v>
      </c>
      <c r="AQ479" s="198">
        <v>60146487</v>
      </c>
      <c r="AR479" s="198">
        <v>52679821</v>
      </c>
      <c r="AS479" s="183"/>
      <c r="AT479" s="183"/>
      <c r="AU479" s="183"/>
      <c r="AV479" s="183">
        <v>260110245</v>
      </c>
      <c r="AW479" s="183"/>
      <c r="AX479" s="183"/>
      <c r="AY479" s="37">
        <f t="shared" si="574"/>
        <v>490110245</v>
      </c>
      <c r="AZ479" s="37">
        <f t="shared" si="575"/>
        <v>70946487</v>
      </c>
      <c r="BA479" s="37">
        <f t="shared" si="576"/>
        <v>52679821</v>
      </c>
    </row>
    <row r="480" spans="1:53" ht="63.75" customHeight="1" x14ac:dyDescent="0.25">
      <c r="A480" s="19"/>
      <c r="B480" s="27"/>
      <c r="C480" s="28" t="s">
        <v>649</v>
      </c>
      <c r="D480" s="29" t="s">
        <v>654</v>
      </c>
      <c r="E480" s="30"/>
      <c r="F480" s="28">
        <v>145</v>
      </c>
      <c r="G480" s="29" t="s">
        <v>336</v>
      </c>
      <c r="H480" s="845"/>
      <c r="I480" s="830"/>
      <c r="J480" s="831"/>
      <c r="K480" s="31" t="s">
        <v>466</v>
      </c>
      <c r="L480" s="33"/>
      <c r="M480" s="33"/>
      <c r="N480" s="33"/>
      <c r="O480" s="33"/>
      <c r="P480" s="33"/>
      <c r="Q480" s="33"/>
      <c r="R480" s="33"/>
      <c r="S480" s="33"/>
      <c r="T480" s="33"/>
      <c r="U480" s="33"/>
      <c r="V480" s="33"/>
      <c r="W480" s="33"/>
      <c r="X480" s="33">
        <v>100000000</v>
      </c>
      <c r="Y480" s="183">
        <v>5600000</v>
      </c>
      <c r="Z480" s="33"/>
      <c r="AA480" s="33"/>
      <c r="AB480" s="33"/>
      <c r="AC480" s="33"/>
      <c r="AD480" s="33"/>
      <c r="AE480" s="33"/>
      <c r="AF480" s="33"/>
      <c r="AG480" s="33"/>
      <c r="AH480" s="33"/>
      <c r="AI480" s="33"/>
      <c r="AJ480" s="33"/>
      <c r="AK480" s="33"/>
      <c r="AL480" s="33"/>
      <c r="AM480" s="33"/>
      <c r="AN480" s="36"/>
      <c r="AO480" s="36"/>
      <c r="AP480" s="35"/>
      <c r="AQ480" s="35"/>
      <c r="AR480" s="35"/>
      <c r="AS480" s="36"/>
      <c r="AT480" s="36"/>
      <c r="AU480" s="36"/>
      <c r="AV480" s="36">
        <v>0</v>
      </c>
      <c r="AW480" s="36"/>
      <c r="AX480" s="36"/>
      <c r="AY480" s="37">
        <f t="shared" si="574"/>
        <v>100000000</v>
      </c>
      <c r="AZ480" s="37">
        <f t="shared" si="575"/>
        <v>5600000</v>
      </c>
      <c r="BA480" s="37">
        <f t="shared" si="576"/>
        <v>0</v>
      </c>
    </row>
    <row r="481" spans="1:53" ht="75" customHeight="1" x14ac:dyDescent="0.25">
      <c r="A481" s="19"/>
      <c r="B481" s="27"/>
      <c r="C481" s="28" t="s">
        <v>649</v>
      </c>
      <c r="D481" s="29" t="s">
        <v>655</v>
      </c>
      <c r="E481" s="38"/>
      <c r="F481" s="28">
        <v>146</v>
      </c>
      <c r="G481" s="29" t="s">
        <v>337</v>
      </c>
      <c r="H481" s="31" t="s">
        <v>636</v>
      </c>
      <c r="I481" s="691" t="s">
        <v>338</v>
      </c>
      <c r="J481" s="29" t="s">
        <v>339</v>
      </c>
      <c r="K481" s="31" t="s">
        <v>466</v>
      </c>
      <c r="L481" s="33"/>
      <c r="M481" s="33"/>
      <c r="N481" s="33"/>
      <c r="O481" s="33"/>
      <c r="P481" s="33"/>
      <c r="Q481" s="33"/>
      <c r="R481" s="33"/>
      <c r="S481" s="33"/>
      <c r="T481" s="33"/>
      <c r="U481" s="33"/>
      <c r="V481" s="33"/>
      <c r="W481" s="33"/>
      <c r="X481" s="33">
        <v>45000000</v>
      </c>
      <c r="Y481" s="33">
        <v>24700000</v>
      </c>
      <c r="Z481" s="33">
        <v>4800000</v>
      </c>
      <c r="AA481" s="33"/>
      <c r="AB481" s="33"/>
      <c r="AC481" s="33"/>
      <c r="AD481" s="33"/>
      <c r="AE481" s="33"/>
      <c r="AF481" s="33"/>
      <c r="AG481" s="33"/>
      <c r="AH481" s="33"/>
      <c r="AI481" s="33"/>
      <c r="AJ481" s="33"/>
      <c r="AK481" s="33"/>
      <c r="AL481" s="33"/>
      <c r="AM481" s="33"/>
      <c r="AN481" s="36"/>
      <c r="AO481" s="36"/>
      <c r="AP481" s="35"/>
      <c r="AQ481" s="35"/>
      <c r="AR481" s="35"/>
      <c r="AS481" s="36"/>
      <c r="AT481" s="36"/>
      <c r="AU481" s="36"/>
      <c r="AV481" s="36">
        <v>178219793</v>
      </c>
      <c r="AW481" s="36"/>
      <c r="AX481" s="36"/>
      <c r="AY481" s="37">
        <f t="shared" ref="AY481" si="577">+L481+O481+R481+U481+X481+AA481+AD481+AG481+AJ481+AM481+AP481+AS481+AV481</f>
        <v>223219793</v>
      </c>
      <c r="AZ481" s="37">
        <f t="shared" si="575"/>
        <v>24700000</v>
      </c>
      <c r="BA481" s="37">
        <f t="shared" si="576"/>
        <v>4800000</v>
      </c>
    </row>
    <row r="482" spans="1:53" ht="75" customHeight="1" x14ac:dyDescent="0.25">
      <c r="A482" s="340"/>
      <c r="B482" s="178"/>
      <c r="C482" s="197" t="s">
        <v>649</v>
      </c>
      <c r="D482" s="673" t="s">
        <v>662</v>
      </c>
      <c r="E482" s="220"/>
      <c r="F482" s="182">
        <v>152</v>
      </c>
      <c r="G482" s="673" t="s">
        <v>351</v>
      </c>
      <c r="H482" s="182" t="s">
        <v>636</v>
      </c>
      <c r="I482" s="672" t="s">
        <v>716</v>
      </c>
      <c r="J482" s="673" t="s">
        <v>717</v>
      </c>
      <c r="K482" s="215"/>
      <c r="L482" s="183"/>
      <c r="M482" s="183"/>
      <c r="N482" s="183"/>
      <c r="O482" s="183"/>
      <c r="P482" s="183"/>
      <c r="Q482" s="183"/>
      <c r="R482" s="183"/>
      <c r="S482" s="183"/>
      <c r="T482" s="183"/>
      <c r="U482" s="183"/>
      <c r="V482" s="183"/>
      <c r="W482" s="183"/>
      <c r="X482" s="183"/>
      <c r="Y482" s="183"/>
      <c r="Z482" s="183"/>
      <c r="AA482" s="737"/>
      <c r="AB482" s="737"/>
      <c r="AC482" s="737"/>
      <c r="AD482" s="183"/>
      <c r="AE482" s="183"/>
      <c r="AF482" s="183"/>
      <c r="AG482" s="183"/>
      <c r="AH482" s="183"/>
      <c r="AI482" s="183"/>
      <c r="AJ482" s="183"/>
      <c r="AK482" s="183"/>
      <c r="AL482" s="183"/>
      <c r="AM482" s="183"/>
      <c r="AN482" s="186"/>
      <c r="AO482" s="186"/>
      <c r="AP482" s="185">
        <v>2929870740</v>
      </c>
      <c r="AQ482" s="185">
        <v>800000000</v>
      </c>
      <c r="AR482" s="185"/>
      <c r="AS482" s="186"/>
      <c r="AT482" s="186"/>
      <c r="AU482" s="186"/>
      <c r="AV482" s="186">
        <v>0</v>
      </c>
      <c r="AW482" s="186"/>
      <c r="AX482" s="186"/>
      <c r="AY482" s="494">
        <f t="shared" si="574"/>
        <v>2929870740</v>
      </c>
      <c r="AZ482" s="494">
        <f t="shared" si="575"/>
        <v>800000000</v>
      </c>
      <c r="BA482" s="494">
        <f t="shared" si="576"/>
        <v>0</v>
      </c>
    </row>
    <row r="483" spans="1:53" ht="15" x14ac:dyDescent="0.25">
      <c r="A483" s="19"/>
      <c r="B483" s="27"/>
      <c r="C483" s="474"/>
      <c r="D483" s="475"/>
      <c r="E483" s="40"/>
      <c r="F483" s="41"/>
      <c r="G483" s="40"/>
      <c r="H483" s="41"/>
      <c r="I483" s="685"/>
      <c r="J483" s="40"/>
      <c r="K483" s="41"/>
      <c r="L483" s="43"/>
      <c r="M483" s="43"/>
      <c r="N483" s="43"/>
      <c r="O483" s="43"/>
      <c r="P483" s="43"/>
      <c r="Q483" s="43"/>
      <c r="R483" s="43"/>
      <c r="S483" s="43"/>
      <c r="T483" s="43"/>
      <c r="U483" s="43"/>
      <c r="V483" s="43"/>
      <c r="W483" s="43"/>
      <c r="X483" s="43">
        <f t="shared" ref="X483:AX483" si="578">SUM(X477:X482)</f>
        <v>385000000</v>
      </c>
      <c r="Y483" s="43">
        <f t="shared" si="578"/>
        <v>62899999</v>
      </c>
      <c r="Z483" s="43">
        <f t="shared" si="578"/>
        <v>4800000</v>
      </c>
      <c r="AA483" s="355">
        <f t="shared" si="578"/>
        <v>0</v>
      </c>
      <c r="AB483" s="355"/>
      <c r="AC483" s="355"/>
      <c r="AD483" s="43"/>
      <c r="AE483" s="43"/>
      <c r="AF483" s="43"/>
      <c r="AG483" s="43"/>
      <c r="AH483" s="43"/>
      <c r="AI483" s="43"/>
      <c r="AJ483" s="43"/>
      <c r="AK483" s="43"/>
      <c r="AL483" s="43"/>
      <c r="AM483" s="43"/>
      <c r="AN483" s="43"/>
      <c r="AO483" s="43"/>
      <c r="AP483" s="43">
        <f t="shared" si="578"/>
        <v>3059870740</v>
      </c>
      <c r="AQ483" s="43">
        <f t="shared" si="578"/>
        <v>860146487</v>
      </c>
      <c r="AR483" s="43">
        <f t="shared" si="578"/>
        <v>52679821</v>
      </c>
      <c r="AS483" s="43">
        <f t="shared" si="578"/>
        <v>0</v>
      </c>
      <c r="AT483" s="43"/>
      <c r="AU483" s="43"/>
      <c r="AV483" s="43">
        <f t="shared" si="578"/>
        <v>438330038</v>
      </c>
      <c r="AW483" s="43">
        <f t="shared" si="578"/>
        <v>0</v>
      </c>
      <c r="AX483" s="43">
        <f t="shared" si="578"/>
        <v>0</v>
      </c>
      <c r="AY483" s="43">
        <f>SUM(AY477:AY482)</f>
        <v>3883200778</v>
      </c>
      <c r="AZ483" s="43">
        <f t="shared" ref="AZ483:BA483" si="579">SUM(AZ477:AZ482)</f>
        <v>923046486</v>
      </c>
      <c r="BA483" s="43">
        <f t="shared" si="579"/>
        <v>57479821</v>
      </c>
    </row>
    <row r="484" spans="1:53" ht="15" x14ac:dyDescent="0.25">
      <c r="A484" s="19"/>
      <c r="B484" s="27"/>
      <c r="C484" s="651"/>
      <c r="D484" s="58"/>
      <c r="E484" s="58"/>
      <c r="F484" s="651"/>
      <c r="G484" s="58"/>
      <c r="H484" s="109"/>
      <c r="I484" s="700"/>
      <c r="J484" s="108"/>
      <c r="K484" s="651"/>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88"/>
      <c r="AQ484" s="88"/>
      <c r="AR484" s="88"/>
      <c r="AS484" s="60"/>
      <c r="AT484" s="60"/>
      <c r="AU484" s="60"/>
      <c r="AV484" s="61"/>
      <c r="AW484" s="63"/>
      <c r="AX484" s="63"/>
      <c r="AY484" s="64"/>
      <c r="AZ484" s="64"/>
      <c r="BA484" s="64"/>
    </row>
    <row r="485" spans="1:53" ht="24.75" customHeight="1" x14ac:dyDescent="0.25">
      <c r="A485" s="19"/>
      <c r="B485" s="27"/>
      <c r="C485" s="84"/>
      <c r="D485" s="475"/>
      <c r="E485" s="89">
        <v>41</v>
      </c>
      <c r="F485" s="78" t="s">
        <v>656</v>
      </c>
      <c r="G485" s="78"/>
      <c r="H485" s="78"/>
      <c r="I485" s="222"/>
      <c r="J485" s="78"/>
      <c r="K485" s="78"/>
      <c r="L485" s="79"/>
      <c r="M485" s="79"/>
      <c r="N485" s="79"/>
      <c r="O485" s="79"/>
      <c r="P485" s="79"/>
      <c r="Q485" s="79"/>
      <c r="R485" s="79"/>
      <c r="S485" s="79"/>
      <c r="T485" s="79"/>
      <c r="U485" s="79"/>
      <c r="V485" s="79"/>
      <c r="W485" s="79"/>
      <c r="X485" s="559"/>
      <c r="Y485" s="559"/>
      <c r="Z485" s="559"/>
      <c r="AA485" s="79"/>
      <c r="AB485" s="79"/>
      <c r="AC485" s="79"/>
      <c r="AD485" s="79"/>
      <c r="AE485" s="79"/>
      <c r="AF485" s="79"/>
      <c r="AG485" s="79"/>
      <c r="AH485" s="79"/>
      <c r="AI485" s="79"/>
      <c r="AJ485" s="79"/>
      <c r="AK485" s="79"/>
      <c r="AL485" s="79"/>
      <c r="AM485" s="79"/>
      <c r="AN485" s="79"/>
      <c r="AO485" s="79"/>
      <c r="AP485" s="80"/>
      <c r="AQ485" s="80"/>
      <c r="AR485" s="80"/>
      <c r="AS485" s="79"/>
      <c r="AT485" s="79"/>
      <c r="AU485" s="79"/>
      <c r="AV485" s="79"/>
      <c r="AW485" s="79"/>
      <c r="AX485" s="79"/>
      <c r="AY485" s="81"/>
      <c r="AZ485" s="81"/>
      <c r="BA485" s="81"/>
    </row>
    <row r="486" spans="1:53" ht="51.75" customHeight="1" x14ac:dyDescent="0.25">
      <c r="A486" s="19"/>
      <c r="B486" s="27"/>
      <c r="C486" s="31">
        <v>28</v>
      </c>
      <c r="D486" s="476" t="s">
        <v>657</v>
      </c>
      <c r="E486" s="100"/>
      <c r="F486" s="28">
        <v>147</v>
      </c>
      <c r="G486" s="29" t="s">
        <v>340</v>
      </c>
      <c r="H486" s="844" t="s">
        <v>636</v>
      </c>
      <c r="I486" s="827" t="s">
        <v>341</v>
      </c>
      <c r="J486" s="828" t="s">
        <v>342</v>
      </c>
      <c r="K486" s="31" t="s">
        <v>466</v>
      </c>
      <c r="L486" s="33"/>
      <c r="M486" s="33"/>
      <c r="N486" s="33"/>
      <c r="O486" s="33"/>
      <c r="P486" s="33"/>
      <c r="Q486" s="33"/>
      <c r="R486" s="33"/>
      <c r="S486" s="33"/>
      <c r="T486" s="33"/>
      <c r="U486" s="33"/>
      <c r="V486" s="33"/>
      <c r="W486" s="33"/>
      <c r="X486" s="33">
        <v>10000000</v>
      </c>
      <c r="Y486" s="33"/>
      <c r="Z486" s="33"/>
      <c r="AA486" s="33"/>
      <c r="AB486" s="33"/>
      <c r="AC486" s="33"/>
      <c r="AD486" s="33"/>
      <c r="AE486" s="33"/>
      <c r="AF486" s="33"/>
      <c r="AG486" s="33"/>
      <c r="AH486" s="33"/>
      <c r="AI486" s="33"/>
      <c r="AJ486" s="33"/>
      <c r="AK486" s="33"/>
      <c r="AL486" s="33"/>
      <c r="AM486" s="33"/>
      <c r="AN486" s="36"/>
      <c r="AO486" s="36"/>
      <c r="AP486" s="35"/>
      <c r="AQ486" s="35"/>
      <c r="AR486" s="35"/>
      <c r="AS486" s="36"/>
      <c r="AT486" s="36"/>
      <c r="AU486" s="36"/>
      <c r="AV486" s="36"/>
      <c r="AW486" s="36"/>
      <c r="AX486" s="36"/>
      <c r="AY486" s="37">
        <f t="shared" ref="AY486:AY487" si="580">+L486+O486+R486+U486+X486+AA486+AD486+AG486+AJ486+AM486+AP486+AS486+AV486</f>
        <v>10000000</v>
      </c>
      <c r="AZ486" s="37">
        <f t="shared" ref="AZ486:AZ487" si="581">+M486+P486+S486+V486+Y486+AB486+AE486+AH486+AK486+AN486+AQ486+AT486+AW486</f>
        <v>0</v>
      </c>
      <c r="BA486" s="37">
        <f t="shared" ref="BA486:BA487" si="582">+N486+Q486+T486+W486+Z486+AC486+AF486+AI486+AL486+AO486+AR486+AU486+AX486</f>
        <v>0</v>
      </c>
    </row>
    <row r="487" spans="1:53" ht="42.75" x14ac:dyDescent="0.25">
      <c r="A487" s="19"/>
      <c r="B487" s="27"/>
      <c r="C487" s="31">
        <v>28</v>
      </c>
      <c r="D487" s="476" t="s">
        <v>657</v>
      </c>
      <c r="E487" s="38"/>
      <c r="F487" s="28">
        <v>148</v>
      </c>
      <c r="G487" s="29" t="s">
        <v>343</v>
      </c>
      <c r="H487" s="845"/>
      <c r="I487" s="830"/>
      <c r="J487" s="831"/>
      <c r="K487" s="31" t="s">
        <v>466</v>
      </c>
      <c r="L487" s="33"/>
      <c r="M487" s="33"/>
      <c r="N487" s="33"/>
      <c r="O487" s="33"/>
      <c r="P487" s="33"/>
      <c r="Q487" s="33"/>
      <c r="R487" s="33"/>
      <c r="S487" s="33"/>
      <c r="T487" s="33"/>
      <c r="U487" s="33"/>
      <c r="V487" s="33"/>
      <c r="W487" s="33"/>
      <c r="X487" s="33">
        <v>10000000</v>
      </c>
      <c r="Y487" s="33"/>
      <c r="Z487" s="33"/>
      <c r="AA487" s="33"/>
      <c r="AB487" s="33"/>
      <c r="AC487" s="33"/>
      <c r="AD487" s="33"/>
      <c r="AE487" s="33"/>
      <c r="AF487" s="33"/>
      <c r="AG487" s="33"/>
      <c r="AH487" s="33"/>
      <c r="AI487" s="33"/>
      <c r="AJ487" s="33"/>
      <c r="AK487" s="33"/>
      <c r="AL487" s="33"/>
      <c r="AM487" s="33"/>
      <c r="AN487" s="36"/>
      <c r="AO487" s="36"/>
      <c r="AP487" s="35"/>
      <c r="AQ487" s="35"/>
      <c r="AR487" s="35"/>
      <c r="AS487" s="36"/>
      <c r="AT487" s="36"/>
      <c r="AU487" s="36"/>
      <c r="AV487" s="36"/>
      <c r="AW487" s="36"/>
      <c r="AX487" s="36"/>
      <c r="AY487" s="37">
        <f t="shared" si="580"/>
        <v>10000000</v>
      </c>
      <c r="AZ487" s="37">
        <f t="shared" si="581"/>
        <v>0</v>
      </c>
      <c r="BA487" s="37">
        <f t="shared" si="582"/>
        <v>0</v>
      </c>
    </row>
    <row r="488" spans="1:53" ht="15" x14ac:dyDescent="0.25">
      <c r="A488" s="19"/>
      <c r="B488" s="27"/>
      <c r="C488" s="204"/>
      <c r="D488" s="641"/>
      <c r="E488" s="40"/>
      <c r="F488" s="41"/>
      <c r="G488" s="40"/>
      <c r="H488" s="41"/>
      <c r="I488" s="685"/>
      <c r="J488" s="40"/>
      <c r="K488" s="41"/>
      <c r="L488" s="43"/>
      <c r="M488" s="43"/>
      <c r="N488" s="43"/>
      <c r="O488" s="43"/>
      <c r="P488" s="43"/>
      <c r="Q488" s="43"/>
      <c r="R488" s="43"/>
      <c r="S488" s="43"/>
      <c r="T488" s="43"/>
      <c r="U488" s="43"/>
      <c r="V488" s="43"/>
      <c r="W488" s="43"/>
      <c r="X488" s="43">
        <f t="shared" ref="X488:Z488" si="583">SUM(X486:X487)</f>
        <v>20000000</v>
      </c>
      <c r="Y488" s="43">
        <f t="shared" si="583"/>
        <v>0</v>
      </c>
      <c r="Z488" s="43">
        <f t="shared" si="583"/>
        <v>0</v>
      </c>
      <c r="AA488" s="43"/>
      <c r="AB488" s="43"/>
      <c r="AC488" s="43"/>
      <c r="AD488" s="43"/>
      <c r="AE488" s="43"/>
      <c r="AF488" s="43"/>
      <c r="AG488" s="43"/>
      <c r="AH488" s="43"/>
      <c r="AI488" s="43"/>
      <c r="AJ488" s="43"/>
      <c r="AK488" s="43"/>
      <c r="AL488" s="43"/>
      <c r="AM488" s="43"/>
      <c r="AN488" s="43"/>
      <c r="AO488" s="43"/>
      <c r="AP488" s="173"/>
      <c r="AQ488" s="173"/>
      <c r="AR488" s="173"/>
      <c r="AS488" s="43"/>
      <c r="AT488" s="43"/>
      <c r="AU488" s="43"/>
      <c r="AV488" s="43"/>
      <c r="AW488" s="43"/>
      <c r="AX488" s="43"/>
      <c r="AY488" s="43">
        <f t="shared" ref="AY488:BA488" si="584">SUM(AY486:AY487)</f>
        <v>20000000</v>
      </c>
      <c r="AZ488" s="43">
        <f t="shared" si="584"/>
        <v>0</v>
      </c>
      <c r="BA488" s="43">
        <f t="shared" si="584"/>
        <v>0</v>
      </c>
    </row>
    <row r="489" spans="1:53" ht="15" x14ac:dyDescent="0.25">
      <c r="A489" s="19"/>
      <c r="B489" s="27"/>
      <c r="C489" s="397"/>
      <c r="D489" s="398"/>
      <c r="E489" s="58"/>
      <c r="F489" s="651"/>
      <c r="G489" s="58"/>
      <c r="H489" s="109"/>
      <c r="I489" s="700"/>
      <c r="J489" s="108"/>
      <c r="K489" s="651"/>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88"/>
      <c r="AQ489" s="88"/>
      <c r="AR489" s="88"/>
      <c r="AS489" s="60"/>
      <c r="AT489" s="60"/>
      <c r="AU489" s="60"/>
      <c r="AV489" s="60"/>
      <c r="AW489" s="145"/>
      <c r="AX489" s="145"/>
      <c r="AY489" s="64"/>
      <c r="AZ489" s="64"/>
      <c r="BA489" s="64"/>
    </row>
    <row r="490" spans="1:53" ht="15" x14ac:dyDescent="0.25">
      <c r="A490" s="19"/>
      <c r="B490" s="27"/>
      <c r="C490" s="397"/>
      <c r="D490" s="641"/>
      <c r="E490" s="287">
        <v>42</v>
      </c>
      <c r="F490" s="78" t="s">
        <v>658</v>
      </c>
      <c r="G490" s="78"/>
      <c r="H490" s="78"/>
      <c r="I490" s="222"/>
      <c r="J490" s="78"/>
      <c r="K490" s="78"/>
      <c r="L490" s="79"/>
      <c r="M490" s="79"/>
      <c r="N490" s="79"/>
      <c r="O490" s="79"/>
      <c r="P490" s="79"/>
      <c r="Q490" s="79"/>
      <c r="R490" s="79"/>
      <c r="S490" s="79"/>
      <c r="T490" s="79"/>
      <c r="U490" s="79"/>
      <c r="V490" s="79"/>
      <c r="W490" s="79"/>
      <c r="X490" s="559"/>
      <c r="Y490" s="559"/>
      <c r="Z490" s="559"/>
      <c r="AA490" s="79"/>
      <c r="AB490" s="79"/>
      <c r="AC490" s="79"/>
      <c r="AD490" s="79"/>
      <c r="AE490" s="79"/>
      <c r="AF490" s="79"/>
      <c r="AG490" s="79"/>
      <c r="AH490" s="79"/>
      <c r="AI490" s="79"/>
      <c r="AJ490" s="79"/>
      <c r="AK490" s="79"/>
      <c r="AL490" s="79"/>
      <c r="AM490" s="79"/>
      <c r="AN490" s="79"/>
      <c r="AO490" s="79"/>
      <c r="AP490" s="80"/>
      <c r="AQ490" s="80"/>
      <c r="AR490" s="80"/>
      <c r="AS490" s="79"/>
      <c r="AT490" s="79"/>
      <c r="AU490" s="79"/>
      <c r="AV490" s="79"/>
      <c r="AW490" s="79"/>
      <c r="AX490" s="79"/>
      <c r="AY490" s="81"/>
      <c r="AZ490" s="81"/>
      <c r="BA490" s="81"/>
    </row>
    <row r="491" spans="1:53" ht="66" customHeight="1" x14ac:dyDescent="0.25">
      <c r="A491" s="19"/>
      <c r="B491" s="27"/>
      <c r="C491" s="648" t="s">
        <v>649</v>
      </c>
      <c r="D491" s="641" t="s">
        <v>659</v>
      </c>
      <c r="E491" s="896"/>
      <c r="F491" s="278">
        <v>149</v>
      </c>
      <c r="G491" s="29" t="s">
        <v>344</v>
      </c>
      <c r="H491" s="844" t="s">
        <v>636</v>
      </c>
      <c r="I491" s="827" t="s">
        <v>345</v>
      </c>
      <c r="J491" s="824" t="s">
        <v>346</v>
      </c>
      <c r="K491" s="31" t="s">
        <v>466</v>
      </c>
      <c r="L491" s="33"/>
      <c r="M491" s="33"/>
      <c r="N491" s="33"/>
      <c r="O491" s="33"/>
      <c r="P491" s="33"/>
      <c r="Q491" s="33"/>
      <c r="R491" s="33"/>
      <c r="S491" s="33"/>
      <c r="T491" s="33"/>
      <c r="U491" s="33"/>
      <c r="V491" s="33"/>
      <c r="W491" s="33"/>
      <c r="X491" s="33">
        <v>48000000</v>
      </c>
      <c r="Y491" s="33"/>
      <c r="Z491" s="33"/>
      <c r="AA491" s="33"/>
      <c r="AB491" s="33"/>
      <c r="AC491" s="33"/>
      <c r="AD491" s="33"/>
      <c r="AE491" s="33"/>
      <c r="AF491" s="33"/>
      <c r="AG491" s="33"/>
      <c r="AH491" s="33"/>
      <c r="AI491" s="33"/>
      <c r="AJ491" s="33"/>
      <c r="AK491" s="33"/>
      <c r="AL491" s="33"/>
      <c r="AM491" s="33"/>
      <c r="AN491" s="36"/>
      <c r="AO491" s="36"/>
      <c r="AP491" s="35"/>
      <c r="AQ491" s="35"/>
      <c r="AR491" s="35"/>
      <c r="AS491" s="36"/>
      <c r="AT491" s="36"/>
      <c r="AU491" s="36"/>
      <c r="AV491" s="36"/>
      <c r="AW491" s="36"/>
      <c r="AX491" s="36"/>
      <c r="AY491" s="37">
        <f t="shared" ref="AY491:AY492" si="585">+L491+O491+R491+U491+X491+AA491+AD491+AG491+AJ491+AM491+AP491+AS491+AV491</f>
        <v>48000000</v>
      </c>
      <c r="AZ491" s="37">
        <f t="shared" ref="AZ491:AZ492" si="586">+M491+P491+S491+V491+Y491+AB491+AE491+AH491+AK491+AN491+AQ491+AT491+AW491</f>
        <v>0</v>
      </c>
      <c r="BA491" s="37">
        <f t="shared" ref="BA491:BA492" si="587">+N491+Q491+T491+W491+Z491+AC491+AF491+AI491+AL491+AO491+AR491+AU491+AX491</f>
        <v>0</v>
      </c>
    </row>
    <row r="492" spans="1:53" ht="57" x14ac:dyDescent="0.25">
      <c r="A492" s="19"/>
      <c r="B492" s="27"/>
      <c r="C492" s="182">
        <v>28</v>
      </c>
      <c r="D492" s="641" t="s">
        <v>660</v>
      </c>
      <c r="E492" s="897"/>
      <c r="F492" s="278">
        <v>150</v>
      </c>
      <c r="G492" s="29" t="s">
        <v>347</v>
      </c>
      <c r="H492" s="845"/>
      <c r="I492" s="830"/>
      <c r="J492" s="831"/>
      <c r="K492" s="31" t="s">
        <v>466</v>
      </c>
      <c r="L492" s="33"/>
      <c r="M492" s="33"/>
      <c r="N492" s="33"/>
      <c r="O492" s="33"/>
      <c r="P492" s="33"/>
      <c r="Q492" s="33"/>
      <c r="R492" s="33"/>
      <c r="S492" s="33"/>
      <c r="T492" s="33"/>
      <c r="U492" s="33"/>
      <c r="V492" s="33"/>
      <c r="W492" s="33"/>
      <c r="X492" s="33">
        <v>28000000</v>
      </c>
      <c r="Y492" s="33">
        <v>6066665</v>
      </c>
      <c r="Z492" s="33"/>
      <c r="AA492" s="33"/>
      <c r="AB492" s="33"/>
      <c r="AC492" s="33"/>
      <c r="AD492" s="33"/>
      <c r="AE492" s="33"/>
      <c r="AF492" s="33"/>
      <c r="AG492" s="33"/>
      <c r="AH492" s="33"/>
      <c r="AI492" s="33"/>
      <c r="AJ492" s="33"/>
      <c r="AK492" s="33"/>
      <c r="AL492" s="33"/>
      <c r="AM492" s="33"/>
      <c r="AN492" s="36"/>
      <c r="AO492" s="36"/>
      <c r="AP492" s="35"/>
      <c r="AQ492" s="35"/>
      <c r="AR492" s="35"/>
      <c r="AS492" s="36"/>
      <c r="AT492" s="36"/>
      <c r="AU492" s="36"/>
      <c r="AV492" s="36"/>
      <c r="AW492" s="36"/>
      <c r="AX492" s="36"/>
      <c r="AY492" s="37">
        <f t="shared" si="585"/>
        <v>28000000</v>
      </c>
      <c r="AZ492" s="37">
        <f t="shared" si="586"/>
        <v>6066665</v>
      </c>
      <c r="BA492" s="37">
        <f t="shared" si="587"/>
        <v>0</v>
      </c>
    </row>
    <row r="493" spans="1:53" ht="15" x14ac:dyDescent="0.25">
      <c r="A493" s="19"/>
      <c r="B493" s="27"/>
      <c r="C493" s="204"/>
      <c r="D493" s="641"/>
      <c r="E493" s="258"/>
      <c r="F493" s="42"/>
      <c r="G493" s="40"/>
      <c r="H493" s="41"/>
      <c r="I493" s="685"/>
      <c r="J493" s="40"/>
      <c r="K493" s="41"/>
      <c r="L493" s="43"/>
      <c r="M493" s="43"/>
      <c r="N493" s="43"/>
      <c r="O493" s="43"/>
      <c r="P493" s="43"/>
      <c r="Q493" s="43"/>
      <c r="R493" s="43"/>
      <c r="S493" s="43"/>
      <c r="T493" s="43"/>
      <c r="U493" s="43"/>
      <c r="V493" s="43"/>
      <c r="W493" s="43"/>
      <c r="X493" s="43">
        <f t="shared" ref="X493:AA493" si="588">SUM(X491:X492)</f>
        <v>76000000</v>
      </c>
      <c r="Y493" s="43">
        <f t="shared" si="588"/>
        <v>6066665</v>
      </c>
      <c r="Z493" s="43">
        <f t="shared" si="588"/>
        <v>0</v>
      </c>
      <c r="AA493" s="355">
        <f t="shared" si="588"/>
        <v>0</v>
      </c>
      <c r="AB493" s="355"/>
      <c r="AC493" s="355"/>
      <c r="AD493" s="43"/>
      <c r="AE493" s="43"/>
      <c r="AF493" s="43"/>
      <c r="AG493" s="43"/>
      <c r="AH493" s="43"/>
      <c r="AI493" s="43"/>
      <c r="AJ493" s="43"/>
      <c r="AK493" s="43"/>
      <c r="AL493" s="43"/>
      <c r="AM493" s="43"/>
      <c r="AN493" s="43"/>
      <c r="AO493" s="43"/>
      <c r="AP493" s="173"/>
      <c r="AQ493" s="173"/>
      <c r="AR493" s="173"/>
      <c r="AS493" s="43"/>
      <c r="AT493" s="43"/>
      <c r="AU493" s="43"/>
      <c r="AV493" s="43"/>
      <c r="AW493" s="43"/>
      <c r="AX493" s="43"/>
      <c r="AY493" s="43">
        <f t="shared" ref="AY493:BA493" si="589">SUM(AY491:AY492)</f>
        <v>76000000</v>
      </c>
      <c r="AZ493" s="43">
        <f t="shared" si="589"/>
        <v>6066665</v>
      </c>
      <c r="BA493" s="43">
        <f t="shared" si="589"/>
        <v>0</v>
      </c>
    </row>
    <row r="494" spans="1:53" ht="15" x14ac:dyDescent="0.25">
      <c r="A494" s="19"/>
      <c r="B494" s="27"/>
      <c r="C494" s="651"/>
      <c r="D494" s="58"/>
      <c r="E494" s="58"/>
      <c r="F494" s="651"/>
      <c r="G494" s="58"/>
      <c r="H494" s="109"/>
      <c r="I494" s="700"/>
      <c r="J494" s="108"/>
      <c r="K494" s="651"/>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88"/>
      <c r="AQ494" s="88"/>
      <c r="AR494" s="88"/>
      <c r="AS494" s="60"/>
      <c r="AT494" s="60"/>
      <c r="AU494" s="60"/>
      <c r="AV494" s="61"/>
      <c r="AW494" s="63"/>
      <c r="AX494" s="63"/>
      <c r="AY494" s="64"/>
      <c r="AZ494" s="64"/>
      <c r="BA494" s="64"/>
    </row>
    <row r="495" spans="1:53" ht="24" customHeight="1" x14ac:dyDescent="0.25">
      <c r="A495" s="19"/>
      <c r="B495" s="19"/>
      <c r="C495" s="646"/>
      <c r="D495" s="637"/>
      <c r="E495" s="287">
        <v>43</v>
      </c>
      <c r="F495" s="78" t="s">
        <v>661</v>
      </c>
      <c r="G495" s="78"/>
      <c r="H495" s="78"/>
      <c r="I495" s="222"/>
      <c r="J495" s="78"/>
      <c r="K495" s="78"/>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80"/>
      <c r="AQ495" s="80"/>
      <c r="AR495" s="80"/>
      <c r="AS495" s="79"/>
      <c r="AT495" s="79"/>
      <c r="AU495" s="79"/>
      <c r="AV495" s="79"/>
      <c r="AW495" s="79"/>
      <c r="AX495" s="79"/>
      <c r="AY495" s="81"/>
      <c r="AZ495" s="81"/>
      <c r="BA495" s="81"/>
    </row>
    <row r="496" spans="1:53" ht="98.25" customHeight="1" x14ac:dyDescent="0.25">
      <c r="A496" s="340"/>
      <c r="B496" s="340"/>
      <c r="C496" s="197" t="s">
        <v>649</v>
      </c>
      <c r="D496" s="29" t="s">
        <v>662</v>
      </c>
      <c r="E496" s="898"/>
      <c r="F496" s="182">
        <v>151</v>
      </c>
      <c r="G496" s="641" t="s">
        <v>348</v>
      </c>
      <c r="H496" s="844" t="s">
        <v>636</v>
      </c>
      <c r="I496" s="827" t="s">
        <v>349</v>
      </c>
      <c r="J496" s="844" t="s">
        <v>350</v>
      </c>
      <c r="K496" s="215" t="s">
        <v>466</v>
      </c>
      <c r="L496" s="183"/>
      <c r="M496" s="183"/>
      <c r="N496" s="183"/>
      <c r="O496" s="183"/>
      <c r="P496" s="373"/>
      <c r="Q496" s="373"/>
      <c r="R496" s="373"/>
      <c r="S496" s="373"/>
      <c r="T496" s="373"/>
      <c r="U496" s="373"/>
      <c r="V496" s="373"/>
      <c r="W496" s="373"/>
      <c r="X496" s="373">
        <v>70000000</v>
      </c>
      <c r="Y496" s="373"/>
      <c r="Z496" s="373"/>
      <c r="AA496" s="183"/>
      <c r="AB496" s="183"/>
      <c r="AC496" s="183"/>
      <c r="AD496" s="183"/>
      <c r="AE496" s="183"/>
      <c r="AF496" s="183"/>
      <c r="AG496" s="183"/>
      <c r="AH496" s="183"/>
      <c r="AI496" s="183"/>
      <c r="AJ496" s="183"/>
      <c r="AK496" s="183"/>
      <c r="AL496" s="183"/>
      <c r="AM496" s="183"/>
      <c r="AN496" s="183"/>
      <c r="AO496" s="183"/>
      <c r="AP496" s="198">
        <f>40000000-40000000</f>
        <v>0</v>
      </c>
      <c r="AQ496" s="198"/>
      <c r="AR496" s="198"/>
      <c r="AS496" s="183"/>
      <c r="AT496" s="183"/>
      <c r="AU496" s="183"/>
      <c r="AV496" s="183"/>
      <c r="AW496" s="183"/>
      <c r="AX496" s="183"/>
      <c r="AY496" s="37">
        <f t="shared" ref="AY496:AY498" si="590">+L496+O496+R496+U496+X496+AA496+AD496+AG496+AJ496+AM496+AP496+AS496+AV496</f>
        <v>70000000</v>
      </c>
      <c r="AZ496" s="37">
        <f t="shared" ref="AZ496:AZ498" si="591">+M496+P496+S496+V496+Y496+AB496+AE496+AH496+AK496+AN496+AQ496+AT496+AW496</f>
        <v>0</v>
      </c>
      <c r="BA496" s="37">
        <f t="shared" ref="BA496:BA498" si="592">+N496+Q496+T496+W496+Z496+AC496+AF496+AI496+AL496+AO496+AR496+AU496+AX496</f>
        <v>0</v>
      </c>
    </row>
    <row r="497" spans="1:53" ht="96.75" customHeight="1" x14ac:dyDescent="0.25">
      <c r="A497" s="19"/>
      <c r="B497" s="19"/>
      <c r="C497" s="197" t="s">
        <v>649</v>
      </c>
      <c r="D497" s="29" t="s">
        <v>662</v>
      </c>
      <c r="E497" s="899"/>
      <c r="F497" s="31">
        <v>152</v>
      </c>
      <c r="G497" s="29" t="s">
        <v>351</v>
      </c>
      <c r="H497" s="820"/>
      <c r="I497" s="821"/>
      <c r="J497" s="820"/>
      <c r="K497" s="209" t="s">
        <v>466</v>
      </c>
      <c r="L497" s="33"/>
      <c r="M497" s="33"/>
      <c r="N497" s="33"/>
      <c r="O497" s="33"/>
      <c r="P497" s="33"/>
      <c r="Q497" s="33"/>
      <c r="R497" s="33"/>
      <c r="S497" s="33"/>
      <c r="T497" s="33"/>
      <c r="U497" s="33"/>
      <c r="V497" s="33"/>
      <c r="W497" s="33"/>
      <c r="X497" s="33">
        <v>70000000</v>
      </c>
      <c r="Y497" s="33">
        <v>20253333</v>
      </c>
      <c r="Z497" s="33">
        <v>5600000</v>
      </c>
      <c r="AA497" s="33"/>
      <c r="AB497" s="33"/>
      <c r="AC497" s="33"/>
      <c r="AD497" s="33"/>
      <c r="AE497" s="33"/>
      <c r="AF497" s="33"/>
      <c r="AG497" s="33"/>
      <c r="AH497" s="33"/>
      <c r="AI497" s="33"/>
      <c r="AJ497" s="33"/>
      <c r="AK497" s="33"/>
      <c r="AL497" s="33"/>
      <c r="AM497" s="33"/>
      <c r="AN497" s="36"/>
      <c r="AO497" s="36"/>
      <c r="AP497" s="35"/>
      <c r="AQ497" s="35"/>
      <c r="AR497" s="35"/>
      <c r="AS497" s="36"/>
      <c r="AT497" s="36"/>
      <c r="AU497" s="36"/>
      <c r="AV497" s="36"/>
      <c r="AW497" s="36"/>
      <c r="AX497" s="36"/>
      <c r="AY497" s="37">
        <f t="shared" si="590"/>
        <v>70000000</v>
      </c>
      <c r="AZ497" s="37">
        <f t="shared" si="591"/>
        <v>20253333</v>
      </c>
      <c r="BA497" s="37">
        <f t="shared" si="592"/>
        <v>5600000</v>
      </c>
    </row>
    <row r="498" spans="1:53" ht="84" customHeight="1" x14ac:dyDescent="0.25">
      <c r="A498" s="19"/>
      <c r="B498" s="19"/>
      <c r="C498" s="635" t="s">
        <v>649</v>
      </c>
      <c r="D498" s="639" t="s">
        <v>663</v>
      </c>
      <c r="E498" s="654"/>
      <c r="F498" s="31">
        <v>153</v>
      </c>
      <c r="G498" s="29" t="s">
        <v>352</v>
      </c>
      <c r="H498" s="845"/>
      <c r="I498" s="830"/>
      <c r="J498" s="845"/>
      <c r="K498" s="209" t="s">
        <v>466</v>
      </c>
      <c r="L498" s="33"/>
      <c r="M498" s="33"/>
      <c r="N498" s="33"/>
      <c r="O498" s="33"/>
      <c r="P498" s="33"/>
      <c r="Q498" s="33"/>
      <c r="R498" s="33"/>
      <c r="S498" s="33"/>
      <c r="T498" s="33"/>
      <c r="U498" s="33"/>
      <c r="V498" s="33"/>
      <c r="W498" s="33"/>
      <c r="X498" s="33">
        <v>20000000</v>
      </c>
      <c r="Y498" s="33"/>
      <c r="Z498" s="33"/>
      <c r="AA498" s="33">
        <f>824500000+2800528</f>
        <v>827300528</v>
      </c>
      <c r="AB498" s="33">
        <v>32177562</v>
      </c>
      <c r="AC498" s="33">
        <v>24977562</v>
      </c>
      <c r="AD498" s="33"/>
      <c r="AE498" s="33"/>
      <c r="AF498" s="33"/>
      <c r="AG498" s="33"/>
      <c r="AH498" s="33"/>
      <c r="AI498" s="33"/>
      <c r="AJ498" s="33"/>
      <c r="AK498" s="33"/>
      <c r="AL498" s="33"/>
      <c r="AM498" s="33"/>
      <c r="AN498" s="36"/>
      <c r="AO498" s="36"/>
      <c r="AP498" s="35"/>
      <c r="AQ498" s="35"/>
      <c r="AR498" s="35"/>
      <c r="AS498" s="36"/>
      <c r="AT498" s="36"/>
      <c r="AU498" s="36"/>
      <c r="AV498" s="36"/>
      <c r="AW498" s="36"/>
      <c r="AX498" s="36"/>
      <c r="AY498" s="37">
        <f t="shared" si="590"/>
        <v>847300528</v>
      </c>
      <c r="AZ498" s="37">
        <f t="shared" si="591"/>
        <v>32177562</v>
      </c>
      <c r="BA498" s="37">
        <f t="shared" si="592"/>
        <v>24977562</v>
      </c>
    </row>
    <row r="499" spans="1:53" ht="19.5" customHeight="1" x14ac:dyDescent="0.25">
      <c r="A499" s="19"/>
      <c r="B499" s="27"/>
      <c r="C499" s="204"/>
      <c r="D499" s="641"/>
      <c r="E499" s="40"/>
      <c r="F499" s="41"/>
      <c r="G499" s="40"/>
      <c r="H499" s="42"/>
      <c r="I499" s="685"/>
      <c r="J499" s="40"/>
      <c r="K499" s="41"/>
      <c r="L499" s="43"/>
      <c r="M499" s="43"/>
      <c r="N499" s="43"/>
      <c r="O499" s="43"/>
      <c r="P499" s="43"/>
      <c r="Q499" s="43"/>
      <c r="R499" s="43"/>
      <c r="S499" s="43"/>
      <c r="T499" s="43"/>
      <c r="U499" s="43"/>
      <c r="V499" s="43"/>
      <c r="W499" s="43"/>
      <c r="X499" s="43">
        <f t="shared" ref="X499:AY499" si="593">SUM(X496:X498)</f>
        <v>160000000</v>
      </c>
      <c r="Y499" s="43">
        <f t="shared" si="593"/>
        <v>20253333</v>
      </c>
      <c r="Z499" s="43">
        <f t="shared" si="593"/>
        <v>5600000</v>
      </c>
      <c r="AA499" s="43">
        <f t="shared" ref="AA499:AC499" si="594">SUM(AA496:AA498)</f>
        <v>827300528</v>
      </c>
      <c r="AB499" s="43">
        <f t="shared" si="594"/>
        <v>32177562</v>
      </c>
      <c r="AC499" s="43">
        <f t="shared" si="594"/>
        <v>24977562</v>
      </c>
      <c r="AD499" s="43">
        <f t="shared" si="593"/>
        <v>0</v>
      </c>
      <c r="AE499" s="43"/>
      <c r="AF499" s="43"/>
      <c r="AG499" s="43"/>
      <c r="AH499" s="43"/>
      <c r="AI499" s="43"/>
      <c r="AJ499" s="43"/>
      <c r="AK499" s="43"/>
      <c r="AL499" s="43"/>
      <c r="AM499" s="43"/>
      <c r="AN499" s="43"/>
      <c r="AO499" s="43"/>
      <c r="AP499" s="43">
        <f t="shared" si="593"/>
        <v>0</v>
      </c>
      <c r="AQ499" s="43"/>
      <c r="AR499" s="43"/>
      <c r="AS499" s="43">
        <f t="shared" si="593"/>
        <v>0</v>
      </c>
      <c r="AT499" s="43"/>
      <c r="AU499" s="43"/>
      <c r="AV499" s="43">
        <f t="shared" si="593"/>
        <v>0</v>
      </c>
      <c r="AW499" s="43"/>
      <c r="AX499" s="43"/>
      <c r="AY499" s="43">
        <f t="shared" si="593"/>
        <v>987300528</v>
      </c>
      <c r="AZ499" s="43">
        <f t="shared" ref="AZ499:BA499" si="595">SUM(AZ496:AZ498)</f>
        <v>52430895</v>
      </c>
      <c r="BA499" s="43">
        <f t="shared" si="595"/>
        <v>30577562</v>
      </c>
    </row>
    <row r="500" spans="1:53" ht="22.5" customHeight="1" x14ac:dyDescent="0.25">
      <c r="A500" s="19"/>
      <c r="B500" s="27"/>
      <c r="C500" s="397"/>
      <c r="D500" s="398"/>
      <c r="E500" s="58"/>
      <c r="F500" s="651"/>
      <c r="G500" s="58"/>
      <c r="H500" s="109"/>
      <c r="I500" s="700"/>
      <c r="J500" s="108"/>
      <c r="K500" s="651"/>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88"/>
      <c r="AQ500" s="88"/>
      <c r="AR500" s="88"/>
      <c r="AS500" s="60"/>
      <c r="AT500" s="60"/>
      <c r="AU500" s="60"/>
      <c r="AV500" s="60"/>
      <c r="AW500" s="145"/>
      <c r="AX500" s="145"/>
      <c r="AY500" s="64"/>
      <c r="AZ500" s="64"/>
      <c r="BA500" s="64"/>
    </row>
    <row r="501" spans="1:53" ht="15" x14ac:dyDescent="0.25">
      <c r="A501" s="19"/>
      <c r="B501" s="27"/>
      <c r="C501" s="477"/>
      <c r="D501" s="645"/>
      <c r="E501" s="478">
        <v>44</v>
      </c>
      <c r="F501" s="78" t="s">
        <v>664</v>
      </c>
      <c r="G501" s="78"/>
      <c r="H501" s="78"/>
      <c r="I501" s="222"/>
      <c r="J501" s="78"/>
      <c r="K501" s="78"/>
      <c r="L501" s="79"/>
      <c r="M501" s="79"/>
      <c r="N501" s="79"/>
      <c r="O501" s="79"/>
      <c r="P501" s="79"/>
      <c r="Q501" s="79"/>
      <c r="R501" s="79"/>
      <c r="S501" s="79"/>
      <c r="T501" s="79"/>
      <c r="U501" s="79"/>
      <c r="V501" s="79"/>
      <c r="W501" s="79"/>
      <c r="X501" s="559"/>
      <c r="Y501" s="559"/>
      <c r="Z501" s="559"/>
      <c r="AA501" s="559"/>
      <c r="AB501" s="559"/>
      <c r="AC501" s="559"/>
      <c r="AD501" s="559"/>
      <c r="AE501" s="559"/>
      <c r="AF501" s="559"/>
      <c r="AG501" s="79"/>
      <c r="AH501" s="79"/>
      <c r="AI501" s="79"/>
      <c r="AJ501" s="79"/>
      <c r="AK501" s="79"/>
      <c r="AL501" s="79"/>
      <c r="AM501" s="79"/>
      <c r="AN501" s="79"/>
      <c r="AO501" s="79"/>
      <c r="AP501" s="80"/>
      <c r="AQ501" s="80"/>
      <c r="AR501" s="80"/>
      <c r="AS501" s="79"/>
      <c r="AT501" s="79"/>
      <c r="AU501" s="79"/>
      <c r="AV501" s="79"/>
      <c r="AW501" s="79"/>
      <c r="AX501" s="79"/>
      <c r="AY501" s="81"/>
      <c r="AZ501" s="81"/>
      <c r="BA501" s="81"/>
    </row>
    <row r="502" spans="1:53" ht="79.5" customHeight="1" x14ac:dyDescent="0.25">
      <c r="A502" s="19"/>
      <c r="B502" s="19"/>
      <c r="C502" s="31">
        <v>37</v>
      </c>
      <c r="D502" s="29" t="s">
        <v>665</v>
      </c>
      <c r="E502" s="158"/>
      <c r="F502" s="31">
        <v>154</v>
      </c>
      <c r="G502" s="29" t="s">
        <v>353</v>
      </c>
      <c r="H502" s="895" t="s">
        <v>636</v>
      </c>
      <c r="I502" s="827" t="s">
        <v>354</v>
      </c>
      <c r="J502" s="828" t="s">
        <v>355</v>
      </c>
      <c r="K502" s="31" t="s">
        <v>466</v>
      </c>
      <c r="L502" s="33"/>
      <c r="M502" s="33"/>
      <c r="N502" s="33"/>
      <c r="O502" s="33"/>
      <c r="P502" s="33"/>
      <c r="Q502" s="33"/>
      <c r="R502" s="33"/>
      <c r="S502" s="33"/>
      <c r="T502" s="33"/>
      <c r="U502" s="33"/>
      <c r="V502" s="33"/>
      <c r="W502" s="33"/>
      <c r="X502" s="33">
        <v>81470000</v>
      </c>
      <c r="Y502" s="183">
        <v>14933333</v>
      </c>
      <c r="Z502" s="183"/>
      <c r="AA502" s="33"/>
      <c r="AB502" s="33"/>
      <c r="AC502" s="33"/>
      <c r="AD502" s="33"/>
      <c r="AE502" s="33"/>
      <c r="AF502" s="33"/>
      <c r="AG502" s="33"/>
      <c r="AH502" s="33"/>
      <c r="AI502" s="33"/>
      <c r="AJ502" s="33"/>
      <c r="AK502" s="33"/>
      <c r="AL502" s="33"/>
      <c r="AM502" s="33"/>
      <c r="AN502" s="36"/>
      <c r="AO502" s="36"/>
      <c r="AP502" s="35"/>
      <c r="AQ502" s="35"/>
      <c r="AR502" s="35"/>
      <c r="AS502" s="36"/>
      <c r="AT502" s="36"/>
      <c r="AU502" s="36"/>
      <c r="AV502" s="36"/>
      <c r="AW502" s="36"/>
      <c r="AX502" s="36"/>
      <c r="AY502" s="37">
        <f t="shared" ref="AY502:AY505" si="596">+L502+O502+R502+U502+X502+AA502+AD502+AG502+AJ502+AM502+AP502+AS502+AV502</f>
        <v>81470000</v>
      </c>
      <c r="AZ502" s="37">
        <f t="shared" ref="AZ502:AZ505" si="597">+M502+P502+S502+V502+Y502+AB502+AE502+AH502+AK502+AN502+AQ502+AT502+AW502</f>
        <v>14933333</v>
      </c>
      <c r="BA502" s="37">
        <f t="shared" ref="BA502:BA505" si="598">+N502+Q502+T502+W502+Z502+AC502+AF502+AI502+AL502+AO502+AR502+AU502+AX502</f>
        <v>0</v>
      </c>
    </row>
    <row r="503" spans="1:53" ht="68.25" customHeight="1" x14ac:dyDescent="0.25">
      <c r="A503" s="19"/>
      <c r="B503" s="19"/>
      <c r="C503" s="647">
        <v>13</v>
      </c>
      <c r="D503" s="479" t="s">
        <v>666</v>
      </c>
      <c r="E503" s="158"/>
      <c r="F503" s="31">
        <v>155</v>
      </c>
      <c r="G503" s="29" t="s">
        <v>356</v>
      </c>
      <c r="H503" s="896"/>
      <c r="I503" s="821"/>
      <c r="J503" s="824"/>
      <c r="K503" s="209" t="s">
        <v>466</v>
      </c>
      <c r="L503" s="33"/>
      <c r="M503" s="33"/>
      <c r="N503" s="33"/>
      <c r="O503" s="33"/>
      <c r="P503" s="33"/>
      <c r="Q503" s="33"/>
      <c r="R503" s="33"/>
      <c r="S503" s="33"/>
      <c r="T503" s="33"/>
      <c r="U503" s="33"/>
      <c r="V503" s="33"/>
      <c r="W503" s="33"/>
      <c r="X503" s="33">
        <v>90000000</v>
      </c>
      <c r="Y503" s="183">
        <v>19413334</v>
      </c>
      <c r="Z503" s="183"/>
      <c r="AA503" s="33"/>
      <c r="AB503" s="33"/>
      <c r="AC503" s="33"/>
      <c r="AD503" s="33"/>
      <c r="AE503" s="33"/>
      <c r="AF503" s="33"/>
      <c r="AG503" s="33"/>
      <c r="AH503" s="33"/>
      <c r="AI503" s="33"/>
      <c r="AJ503" s="33"/>
      <c r="AK503" s="33"/>
      <c r="AL503" s="33"/>
      <c r="AM503" s="33"/>
      <c r="AN503" s="36"/>
      <c r="AO503" s="36"/>
      <c r="AP503" s="35"/>
      <c r="AQ503" s="35"/>
      <c r="AR503" s="35"/>
      <c r="AS503" s="36"/>
      <c r="AT503" s="36"/>
      <c r="AU503" s="36"/>
      <c r="AV503" s="36"/>
      <c r="AW503" s="36"/>
      <c r="AX503" s="36"/>
      <c r="AY503" s="37">
        <f t="shared" si="596"/>
        <v>90000000</v>
      </c>
      <c r="AZ503" s="37">
        <f t="shared" si="597"/>
        <v>19413334</v>
      </c>
      <c r="BA503" s="37">
        <f t="shared" si="598"/>
        <v>0</v>
      </c>
    </row>
    <row r="504" spans="1:53" ht="75" customHeight="1" x14ac:dyDescent="0.25">
      <c r="A504" s="19"/>
      <c r="B504" s="19"/>
      <c r="C504" s="166" t="s">
        <v>667</v>
      </c>
      <c r="D504" s="480" t="s">
        <v>668</v>
      </c>
      <c r="E504" s="302"/>
      <c r="F504" s="31">
        <v>156</v>
      </c>
      <c r="G504" s="29" t="s">
        <v>357</v>
      </c>
      <c r="H504" s="896"/>
      <c r="I504" s="821"/>
      <c r="J504" s="824"/>
      <c r="K504" s="209" t="s">
        <v>466</v>
      </c>
      <c r="L504" s="33"/>
      <c r="M504" s="33"/>
      <c r="N504" s="33"/>
      <c r="O504" s="33"/>
      <c r="P504" s="33"/>
      <c r="Q504" s="33"/>
      <c r="R504" s="33"/>
      <c r="S504" s="33"/>
      <c r="T504" s="33"/>
      <c r="U504" s="33"/>
      <c r="V504" s="33"/>
      <c r="W504" s="33"/>
      <c r="X504" s="33">
        <v>90000000</v>
      </c>
      <c r="Y504" s="183"/>
      <c r="Z504" s="183"/>
      <c r="AA504" s="33"/>
      <c r="AB504" s="33"/>
      <c r="AC504" s="33"/>
      <c r="AD504" s="33"/>
      <c r="AE504" s="33"/>
      <c r="AF504" s="33"/>
      <c r="AG504" s="33"/>
      <c r="AH504" s="33"/>
      <c r="AI504" s="33"/>
      <c r="AJ504" s="33"/>
      <c r="AK504" s="33"/>
      <c r="AL504" s="33"/>
      <c r="AM504" s="33"/>
      <c r="AN504" s="36"/>
      <c r="AO504" s="36"/>
      <c r="AP504" s="35"/>
      <c r="AQ504" s="35"/>
      <c r="AR504" s="35"/>
      <c r="AS504" s="36"/>
      <c r="AT504" s="36"/>
      <c r="AU504" s="36"/>
      <c r="AV504" s="36"/>
      <c r="AW504" s="36"/>
      <c r="AX504" s="36"/>
      <c r="AY504" s="37">
        <f t="shared" si="596"/>
        <v>90000000</v>
      </c>
      <c r="AZ504" s="37">
        <f t="shared" si="597"/>
        <v>0</v>
      </c>
      <c r="BA504" s="37">
        <f t="shared" si="598"/>
        <v>0</v>
      </c>
    </row>
    <row r="505" spans="1:53" ht="54.75" customHeight="1" x14ac:dyDescent="0.25">
      <c r="A505" s="19"/>
      <c r="B505" s="19"/>
      <c r="C505" s="31">
        <v>34</v>
      </c>
      <c r="D505" s="293" t="s">
        <v>669</v>
      </c>
      <c r="E505" s="302"/>
      <c r="F505" s="31">
        <v>157</v>
      </c>
      <c r="G505" s="29" t="s">
        <v>358</v>
      </c>
      <c r="H505" s="897"/>
      <c r="I505" s="830"/>
      <c r="J505" s="831"/>
      <c r="K505" s="209" t="s">
        <v>466</v>
      </c>
      <c r="L505" s="33"/>
      <c r="M505" s="33"/>
      <c r="N505" s="33"/>
      <c r="O505" s="33"/>
      <c r="P505" s="33"/>
      <c r="Q505" s="33"/>
      <c r="R505" s="33"/>
      <c r="S505" s="33"/>
      <c r="T505" s="33"/>
      <c r="U505" s="33"/>
      <c r="V505" s="33"/>
      <c r="W505" s="33"/>
      <c r="X505" s="33">
        <v>56000000</v>
      </c>
      <c r="Y505" s="183">
        <v>15866666</v>
      </c>
      <c r="Z505" s="183">
        <v>5600000</v>
      </c>
      <c r="AA505" s="33"/>
      <c r="AB505" s="33"/>
      <c r="AC505" s="33"/>
      <c r="AD505" s="33"/>
      <c r="AE505" s="33"/>
      <c r="AF505" s="33"/>
      <c r="AG505" s="33"/>
      <c r="AH505" s="33"/>
      <c r="AI505" s="33"/>
      <c r="AJ505" s="33"/>
      <c r="AK505" s="33"/>
      <c r="AL505" s="33"/>
      <c r="AM505" s="33"/>
      <c r="AN505" s="36"/>
      <c r="AO505" s="36"/>
      <c r="AP505" s="35"/>
      <c r="AQ505" s="35"/>
      <c r="AR505" s="35"/>
      <c r="AS505" s="36"/>
      <c r="AT505" s="36"/>
      <c r="AU505" s="36"/>
      <c r="AV505" s="36"/>
      <c r="AW505" s="36"/>
      <c r="AX505" s="36"/>
      <c r="AY505" s="37">
        <f t="shared" si="596"/>
        <v>56000000</v>
      </c>
      <c r="AZ505" s="37">
        <f t="shared" si="597"/>
        <v>15866666</v>
      </c>
      <c r="BA505" s="37">
        <f t="shared" si="598"/>
        <v>5600000</v>
      </c>
    </row>
    <row r="506" spans="1:53" ht="15" x14ac:dyDescent="0.25">
      <c r="A506" s="19"/>
      <c r="B506" s="27"/>
      <c r="C506" s="378"/>
      <c r="D506" s="644"/>
      <c r="E506" s="40"/>
      <c r="F506" s="41"/>
      <c r="G506" s="40"/>
      <c r="H506" s="42"/>
      <c r="I506" s="685"/>
      <c r="J506" s="40"/>
      <c r="K506" s="41"/>
      <c r="L506" s="43"/>
      <c r="M506" s="43"/>
      <c r="N506" s="43"/>
      <c r="O506" s="43"/>
      <c r="P506" s="43"/>
      <c r="Q506" s="43"/>
      <c r="R506" s="43"/>
      <c r="S506" s="43"/>
      <c r="T506" s="43"/>
      <c r="U506" s="43"/>
      <c r="V506" s="43"/>
      <c r="W506" s="43"/>
      <c r="X506" s="43">
        <f t="shared" ref="X506:AA506" si="599">SUM(X502:X505)</f>
        <v>317470000</v>
      </c>
      <c r="Y506" s="43">
        <f t="shared" si="599"/>
        <v>50213333</v>
      </c>
      <c r="Z506" s="43">
        <f t="shared" si="599"/>
        <v>5600000</v>
      </c>
      <c r="AA506" s="43">
        <f t="shared" si="599"/>
        <v>0</v>
      </c>
      <c r="AB506" s="43"/>
      <c r="AC506" s="43"/>
      <c r="AD506" s="43"/>
      <c r="AE506" s="43"/>
      <c r="AF506" s="43"/>
      <c r="AG506" s="43"/>
      <c r="AH506" s="43"/>
      <c r="AI506" s="43"/>
      <c r="AJ506" s="43"/>
      <c r="AK506" s="43"/>
      <c r="AL506" s="43"/>
      <c r="AM506" s="43"/>
      <c r="AN506" s="43"/>
      <c r="AO506" s="43"/>
      <c r="AP506" s="173"/>
      <c r="AQ506" s="173"/>
      <c r="AR506" s="173"/>
      <c r="AS506" s="43"/>
      <c r="AT506" s="43"/>
      <c r="AU506" s="43"/>
      <c r="AV506" s="43"/>
      <c r="AW506" s="43"/>
      <c r="AX506" s="43"/>
      <c r="AY506" s="43">
        <f t="shared" ref="AY506:BA506" si="600">SUM(AY502:AY505)</f>
        <v>317470000</v>
      </c>
      <c r="AZ506" s="43">
        <f t="shared" si="600"/>
        <v>50213333</v>
      </c>
      <c r="BA506" s="43">
        <f t="shared" si="600"/>
        <v>5600000</v>
      </c>
    </row>
    <row r="507" spans="1:53" ht="15" x14ac:dyDescent="0.25">
      <c r="A507" s="19"/>
      <c r="B507" s="27"/>
      <c r="C507" s="397"/>
      <c r="D507" s="398"/>
      <c r="E507" s="58"/>
      <c r="F507" s="651"/>
      <c r="G507" s="58"/>
      <c r="H507" s="109"/>
      <c r="I507" s="700"/>
      <c r="J507" s="108"/>
      <c r="K507" s="651"/>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88"/>
      <c r="AQ507" s="88"/>
      <c r="AR507" s="88"/>
      <c r="AS507" s="60"/>
      <c r="AT507" s="60"/>
      <c r="AU507" s="60"/>
      <c r="AV507" s="60"/>
      <c r="AW507" s="145"/>
      <c r="AX507" s="145"/>
      <c r="AY507" s="64"/>
      <c r="AZ507" s="64"/>
      <c r="BA507" s="64"/>
    </row>
    <row r="508" spans="1:53" ht="15" x14ac:dyDescent="0.25">
      <c r="A508" s="19"/>
      <c r="B508" s="27"/>
      <c r="C508" s="397"/>
      <c r="D508" s="641"/>
      <c r="E508" s="287">
        <v>45</v>
      </c>
      <c r="F508" s="78" t="s">
        <v>670</v>
      </c>
      <c r="G508" s="78"/>
      <c r="H508" s="78"/>
      <c r="I508" s="222"/>
      <c r="J508" s="78"/>
      <c r="K508" s="78"/>
      <c r="L508" s="79"/>
      <c r="M508" s="79"/>
      <c r="N508" s="79"/>
      <c r="O508" s="79"/>
      <c r="P508" s="79"/>
      <c r="Q508" s="79"/>
      <c r="R508" s="79"/>
      <c r="S508" s="79"/>
      <c r="T508" s="79"/>
      <c r="U508" s="79"/>
      <c r="V508" s="79"/>
      <c r="W508" s="79"/>
      <c r="X508" s="559"/>
      <c r="Y508" s="559"/>
      <c r="Z508" s="559"/>
      <c r="AA508" s="559"/>
      <c r="AB508" s="559"/>
      <c r="AC508" s="559"/>
      <c r="AD508" s="559"/>
      <c r="AE508" s="559"/>
      <c r="AF508" s="559"/>
      <c r="AG508" s="79"/>
      <c r="AH508" s="79"/>
      <c r="AI508" s="79"/>
      <c r="AJ508" s="79"/>
      <c r="AK508" s="79"/>
      <c r="AL508" s="79"/>
      <c r="AM508" s="79"/>
      <c r="AN508" s="79"/>
      <c r="AO508" s="79"/>
      <c r="AP508" s="80"/>
      <c r="AQ508" s="80"/>
      <c r="AR508" s="80"/>
      <c r="AS508" s="79"/>
      <c r="AT508" s="79"/>
      <c r="AU508" s="79"/>
      <c r="AV508" s="79"/>
      <c r="AW508" s="79"/>
      <c r="AX508" s="79"/>
      <c r="AY508" s="81"/>
      <c r="AZ508" s="81"/>
      <c r="BA508" s="81"/>
    </row>
    <row r="509" spans="1:53" ht="85.5" customHeight="1" x14ac:dyDescent="0.25">
      <c r="A509" s="19"/>
      <c r="B509" s="27"/>
      <c r="C509" s="481">
        <v>24</v>
      </c>
      <c r="D509" s="645" t="s">
        <v>671</v>
      </c>
      <c r="E509" s="652"/>
      <c r="F509" s="278">
        <v>158</v>
      </c>
      <c r="G509" s="29" t="s">
        <v>359</v>
      </c>
      <c r="H509" s="646" t="s">
        <v>636</v>
      </c>
      <c r="I509" s="666" t="s">
        <v>360</v>
      </c>
      <c r="J509" s="637" t="s">
        <v>361</v>
      </c>
      <c r="K509" s="31" t="s">
        <v>466</v>
      </c>
      <c r="L509" s="33"/>
      <c r="M509" s="33"/>
      <c r="N509" s="33"/>
      <c r="O509" s="33"/>
      <c r="P509" s="33"/>
      <c r="Q509" s="33"/>
      <c r="R509" s="33"/>
      <c r="S509" s="33"/>
      <c r="T509" s="33"/>
      <c r="U509" s="33"/>
      <c r="V509" s="33"/>
      <c r="W509" s="33"/>
      <c r="X509" s="33">
        <f>1268530000+31470000</f>
        <v>1300000000</v>
      </c>
      <c r="Y509" s="33">
        <v>19632666</v>
      </c>
      <c r="Z509" s="33"/>
      <c r="AA509" s="33"/>
      <c r="AB509" s="33"/>
      <c r="AC509" s="33"/>
      <c r="AD509" s="33"/>
      <c r="AE509" s="33"/>
      <c r="AF509" s="33"/>
      <c r="AG509" s="33"/>
      <c r="AH509" s="33"/>
      <c r="AI509" s="33"/>
      <c r="AJ509" s="33"/>
      <c r="AK509" s="33"/>
      <c r="AL509" s="33"/>
      <c r="AM509" s="33"/>
      <c r="AN509" s="36"/>
      <c r="AO509" s="36"/>
      <c r="AP509" s="35"/>
      <c r="AQ509" s="35"/>
      <c r="AR509" s="35"/>
      <c r="AS509" s="36"/>
      <c r="AT509" s="36"/>
      <c r="AU509" s="36"/>
      <c r="AV509" s="36"/>
      <c r="AW509" s="36"/>
      <c r="AX509" s="36"/>
      <c r="AY509" s="37">
        <f t="shared" ref="AY509" si="601">+L509+O509+R509+U509+X509+AA509+AD509+AG509+AJ509+AM509+AP509+AS509+AV509</f>
        <v>1300000000</v>
      </c>
      <c r="AZ509" s="37">
        <f t="shared" ref="AZ509" si="602">+M509+P509+S509+V509+Y509+AB509+AE509+AH509+AK509+AN509+AQ509+AT509+AW509</f>
        <v>19632666</v>
      </c>
      <c r="BA509" s="37">
        <f t="shared" ref="BA509" si="603">+N509+Q509+T509+W509+Z509+AC509+AF509+AI509+AL509+AO509+AR509+AU509+AX509</f>
        <v>0</v>
      </c>
    </row>
    <row r="510" spans="1:53" ht="15" x14ac:dyDescent="0.25">
      <c r="A510" s="19"/>
      <c r="B510" s="27"/>
      <c r="C510" s="204"/>
      <c r="D510" s="641"/>
      <c r="E510" s="258"/>
      <c r="F510" s="42"/>
      <c r="G510" s="40"/>
      <c r="H510" s="41"/>
      <c r="I510" s="685"/>
      <c r="J510" s="40"/>
      <c r="K510" s="41"/>
      <c r="L510" s="43"/>
      <c r="M510" s="43"/>
      <c r="N510" s="43"/>
      <c r="O510" s="43"/>
      <c r="P510" s="43"/>
      <c r="Q510" s="43"/>
      <c r="R510" s="43"/>
      <c r="S510" s="43"/>
      <c r="T510" s="43"/>
      <c r="U510" s="43"/>
      <c r="V510" s="43"/>
      <c r="W510" s="43"/>
      <c r="X510" s="43">
        <f>SUM(X509:X509)</f>
        <v>1300000000</v>
      </c>
      <c r="Y510" s="43">
        <f t="shared" ref="Y510:Z510" si="604">SUM(Y509:Y509)</f>
        <v>19632666</v>
      </c>
      <c r="Z510" s="43">
        <f t="shared" si="604"/>
        <v>0</v>
      </c>
      <c r="AA510" s="43"/>
      <c r="AB510" s="43"/>
      <c r="AC510" s="43"/>
      <c r="AD510" s="43"/>
      <c r="AE510" s="43"/>
      <c r="AF510" s="43"/>
      <c r="AG510" s="43"/>
      <c r="AH510" s="43"/>
      <c r="AI510" s="43"/>
      <c r="AJ510" s="43"/>
      <c r="AK510" s="43"/>
      <c r="AL510" s="43"/>
      <c r="AM510" s="43"/>
      <c r="AN510" s="43"/>
      <c r="AO510" s="43"/>
      <c r="AP510" s="173"/>
      <c r="AQ510" s="173"/>
      <c r="AR510" s="173"/>
      <c r="AS510" s="43"/>
      <c r="AT510" s="43"/>
      <c r="AU510" s="43"/>
      <c r="AV510" s="43"/>
      <c r="AW510" s="43"/>
      <c r="AX510" s="43"/>
      <c r="AY510" s="43">
        <f>SUM(AY509:AY509)</f>
        <v>1300000000</v>
      </c>
      <c r="AZ510" s="43">
        <f t="shared" ref="AZ510:BA510" si="605">SUM(AZ509:AZ509)</f>
        <v>19632666</v>
      </c>
      <c r="BA510" s="43">
        <f t="shared" si="605"/>
        <v>0</v>
      </c>
    </row>
    <row r="511" spans="1:53" ht="15" x14ac:dyDescent="0.25">
      <c r="A511" s="19"/>
      <c r="B511" s="27"/>
      <c r="C511" s="397"/>
      <c r="D511" s="398"/>
      <c r="E511" s="58"/>
      <c r="F511" s="651"/>
      <c r="G511" s="58"/>
      <c r="H511" s="109"/>
      <c r="I511" s="700"/>
      <c r="J511" s="108"/>
      <c r="K511" s="651"/>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88"/>
      <c r="AQ511" s="88"/>
      <c r="AR511" s="88"/>
      <c r="AS511" s="60"/>
      <c r="AT511" s="60"/>
      <c r="AU511" s="60"/>
      <c r="AV511" s="60"/>
      <c r="AW511" s="145"/>
      <c r="AX511" s="145"/>
      <c r="AY511" s="64"/>
      <c r="AZ511" s="64"/>
      <c r="BA511" s="64"/>
    </row>
    <row r="512" spans="1:53" ht="15" x14ac:dyDescent="0.25">
      <c r="A512" s="19"/>
      <c r="B512" s="27"/>
      <c r="C512" s="397"/>
      <c r="D512" s="641"/>
      <c r="E512" s="287">
        <v>46</v>
      </c>
      <c r="F512" s="77" t="s">
        <v>672</v>
      </c>
      <c r="G512" s="77"/>
      <c r="H512" s="77"/>
      <c r="I512" s="222"/>
      <c r="J512" s="77"/>
      <c r="K512" s="77"/>
      <c r="L512" s="449"/>
      <c r="M512" s="449"/>
      <c r="N512" s="449"/>
      <c r="O512" s="79"/>
      <c r="P512" s="79"/>
      <c r="Q512" s="79"/>
      <c r="R512" s="79"/>
      <c r="S512" s="79"/>
      <c r="T512" s="79"/>
      <c r="U512" s="79"/>
      <c r="V512" s="79"/>
      <c r="W512" s="79"/>
      <c r="X512" s="559"/>
      <c r="Y512" s="559"/>
      <c r="Z512" s="559"/>
      <c r="AA512" s="559"/>
      <c r="AB512" s="559"/>
      <c r="AC512" s="559"/>
      <c r="AD512" s="559"/>
      <c r="AE512" s="559"/>
      <c r="AF512" s="559"/>
      <c r="AG512" s="79"/>
      <c r="AH512" s="79"/>
      <c r="AI512" s="79"/>
      <c r="AJ512" s="79"/>
      <c r="AK512" s="79"/>
      <c r="AL512" s="79"/>
      <c r="AM512" s="79"/>
      <c r="AN512" s="79"/>
      <c r="AO512" s="79"/>
      <c r="AP512" s="80"/>
      <c r="AQ512" s="80"/>
      <c r="AR512" s="80"/>
      <c r="AS512" s="79"/>
      <c r="AT512" s="79"/>
      <c r="AU512" s="79"/>
      <c r="AV512" s="79"/>
      <c r="AW512" s="79"/>
      <c r="AX512" s="79"/>
      <c r="AY512" s="81"/>
      <c r="AZ512" s="81"/>
      <c r="BA512" s="81"/>
    </row>
    <row r="513" spans="1:53" ht="51.75" customHeight="1" x14ac:dyDescent="0.25">
      <c r="A513" s="340"/>
      <c r="B513" s="178"/>
      <c r="C513" s="204">
        <v>26</v>
      </c>
      <c r="D513" s="644" t="s">
        <v>673</v>
      </c>
      <c r="E513" s="194"/>
      <c r="F513" s="182">
        <v>160</v>
      </c>
      <c r="G513" s="252" t="s">
        <v>362</v>
      </c>
      <c r="H513" s="182" t="s">
        <v>636</v>
      </c>
      <c r="I513" s="672" t="s">
        <v>363</v>
      </c>
      <c r="J513" s="641" t="s">
        <v>364</v>
      </c>
      <c r="K513" s="182" t="s">
        <v>466</v>
      </c>
      <c r="L513" s="183"/>
      <c r="M513" s="183"/>
      <c r="N513" s="183"/>
      <c r="O513" s="183"/>
      <c r="P513" s="183"/>
      <c r="Q513" s="183"/>
      <c r="R513" s="183"/>
      <c r="S513" s="183"/>
      <c r="T513" s="183"/>
      <c r="U513" s="183"/>
      <c r="V513" s="183"/>
      <c r="W513" s="183"/>
      <c r="X513" s="218">
        <v>870000000</v>
      </c>
      <c r="Y513" s="218">
        <v>53862667</v>
      </c>
      <c r="Z513" s="218">
        <v>7992000</v>
      </c>
      <c r="AA513" s="183"/>
      <c r="AB513" s="183"/>
      <c r="AC513" s="183"/>
      <c r="AD513" s="183"/>
      <c r="AE513" s="183"/>
      <c r="AF513" s="183"/>
      <c r="AG513" s="183"/>
      <c r="AH513" s="183"/>
      <c r="AI513" s="183"/>
      <c r="AJ513" s="183"/>
      <c r="AK513" s="183"/>
      <c r="AL513" s="183"/>
      <c r="AM513" s="183"/>
      <c r="AN513" s="186"/>
      <c r="AO513" s="186"/>
      <c r="AP513" s="185">
        <f>243062000-243062000</f>
        <v>0</v>
      </c>
      <c r="AQ513" s="185"/>
      <c r="AR513" s="185"/>
      <c r="AS513" s="186"/>
      <c r="AT513" s="186"/>
      <c r="AU513" s="186"/>
      <c r="AV513" s="186"/>
      <c r="AW513" s="186"/>
      <c r="AX513" s="186"/>
      <c r="AY513" s="37">
        <f t="shared" ref="AY513:AY515" si="606">+L513+O513+R513+U513+X513+AA513+AD513+AG513+AJ513+AM513+AP513+AS513+AV513</f>
        <v>870000000</v>
      </c>
      <c r="AZ513" s="37">
        <f t="shared" ref="AZ513:AZ515" si="607">+M513+P513+S513+V513+Y513+AB513+AE513+AH513+AK513+AN513+AQ513+AT513+AW513</f>
        <v>53862667</v>
      </c>
      <c r="BA513" s="37">
        <f t="shared" ref="BA513:BA515" si="608">+N513+Q513+T513+W513+Z513+AC513+AF513+AI513+AL513+AO513+AR513+AU513+AX513</f>
        <v>7992000</v>
      </c>
    </row>
    <row r="514" spans="1:53" ht="79.5" customHeight="1" x14ac:dyDescent="0.25">
      <c r="A514" s="19"/>
      <c r="B514" s="27"/>
      <c r="C514" s="197" t="s">
        <v>649</v>
      </c>
      <c r="D514" s="197" t="s">
        <v>674</v>
      </c>
      <c r="E514" s="30"/>
      <c r="F514" s="31">
        <v>161</v>
      </c>
      <c r="G514" s="29" t="s">
        <v>365</v>
      </c>
      <c r="H514" s="844" t="s">
        <v>636</v>
      </c>
      <c r="I514" s="827" t="s">
        <v>366</v>
      </c>
      <c r="J514" s="828" t="s">
        <v>367</v>
      </c>
      <c r="K514" s="31" t="s">
        <v>466</v>
      </c>
      <c r="L514" s="33"/>
      <c r="M514" s="33"/>
      <c r="N514" s="33"/>
      <c r="O514" s="33"/>
      <c r="P514" s="33"/>
      <c r="Q514" s="33"/>
      <c r="R514" s="33"/>
      <c r="S514" s="33"/>
      <c r="T514" s="33"/>
      <c r="U514" s="33"/>
      <c r="V514" s="33"/>
      <c r="W514" s="33"/>
      <c r="X514" s="127">
        <v>100000000</v>
      </c>
      <c r="Y514" s="127">
        <v>11200000</v>
      </c>
      <c r="Z514" s="127">
        <v>2800000</v>
      </c>
      <c r="AA514" s="33"/>
      <c r="AB514" s="33"/>
      <c r="AC514" s="33"/>
      <c r="AD514" s="33"/>
      <c r="AE514" s="33"/>
      <c r="AF514" s="33"/>
      <c r="AG514" s="33"/>
      <c r="AH514" s="33"/>
      <c r="AI514" s="33"/>
      <c r="AJ514" s="33"/>
      <c r="AK514" s="33"/>
      <c r="AL514" s="33"/>
      <c r="AM514" s="33"/>
      <c r="AN514" s="36"/>
      <c r="AO514" s="36"/>
      <c r="AP514" s="35"/>
      <c r="AQ514" s="35"/>
      <c r="AR514" s="35"/>
      <c r="AS514" s="36"/>
      <c r="AT514" s="36"/>
      <c r="AU514" s="36"/>
      <c r="AV514" s="36"/>
      <c r="AW514" s="36"/>
      <c r="AX514" s="36"/>
      <c r="AY514" s="37">
        <f t="shared" si="606"/>
        <v>100000000</v>
      </c>
      <c r="AZ514" s="37">
        <f t="shared" si="607"/>
        <v>11200000</v>
      </c>
      <c r="BA514" s="37">
        <f t="shared" si="608"/>
        <v>2800000</v>
      </c>
    </row>
    <row r="515" spans="1:53" ht="75.75" customHeight="1" x14ac:dyDescent="0.25">
      <c r="A515" s="19"/>
      <c r="B515" s="27"/>
      <c r="C515" s="197" t="s">
        <v>649</v>
      </c>
      <c r="D515" s="197" t="s">
        <v>674</v>
      </c>
      <c r="E515" s="38"/>
      <c r="F515" s="31">
        <v>162</v>
      </c>
      <c r="G515" s="29" t="s">
        <v>368</v>
      </c>
      <c r="H515" s="845"/>
      <c r="I515" s="830"/>
      <c r="J515" s="831"/>
      <c r="K515" s="31" t="s">
        <v>466</v>
      </c>
      <c r="L515" s="33"/>
      <c r="M515" s="33"/>
      <c r="N515" s="33"/>
      <c r="O515" s="33"/>
      <c r="P515" s="33"/>
      <c r="Q515" s="33"/>
      <c r="R515" s="33"/>
      <c r="S515" s="33"/>
      <c r="T515" s="33"/>
      <c r="U515" s="33"/>
      <c r="V515" s="33"/>
      <c r="W515" s="33"/>
      <c r="X515" s="127">
        <v>300000000</v>
      </c>
      <c r="Y515" s="127">
        <v>60178331</v>
      </c>
      <c r="Z515" s="127">
        <v>14800000</v>
      </c>
      <c r="AA515" s="33"/>
      <c r="AB515" s="33"/>
      <c r="AC515" s="33"/>
      <c r="AD515" s="33"/>
      <c r="AE515" s="33"/>
      <c r="AF515" s="33"/>
      <c r="AG515" s="33"/>
      <c r="AH515" s="33"/>
      <c r="AI515" s="33"/>
      <c r="AJ515" s="33"/>
      <c r="AK515" s="33"/>
      <c r="AL515" s="33"/>
      <c r="AM515" s="33"/>
      <c r="AN515" s="36"/>
      <c r="AO515" s="36"/>
      <c r="AP515" s="35"/>
      <c r="AQ515" s="35"/>
      <c r="AR515" s="35"/>
      <c r="AS515" s="36"/>
      <c r="AT515" s="36"/>
      <c r="AU515" s="36"/>
      <c r="AV515" s="36"/>
      <c r="AW515" s="36"/>
      <c r="AX515" s="36"/>
      <c r="AY515" s="37">
        <f t="shared" si="606"/>
        <v>300000000</v>
      </c>
      <c r="AZ515" s="37">
        <f t="shared" si="607"/>
        <v>60178331</v>
      </c>
      <c r="BA515" s="37">
        <f t="shared" si="608"/>
        <v>14800000</v>
      </c>
    </row>
    <row r="516" spans="1:53" ht="15" x14ac:dyDescent="0.25">
      <c r="A516" s="27"/>
      <c r="B516" s="39"/>
      <c r="C516" s="204"/>
      <c r="D516" s="641"/>
      <c r="E516" s="40"/>
      <c r="F516" s="41"/>
      <c r="G516" s="40"/>
      <c r="H516" s="41"/>
      <c r="I516" s="685"/>
      <c r="J516" s="40"/>
      <c r="K516" s="41"/>
      <c r="L516" s="43"/>
      <c r="M516" s="43"/>
      <c r="N516" s="43"/>
      <c r="O516" s="43"/>
      <c r="P516" s="43"/>
      <c r="Q516" s="43"/>
      <c r="R516" s="43"/>
      <c r="S516" s="43"/>
      <c r="T516" s="43"/>
      <c r="U516" s="43"/>
      <c r="V516" s="43"/>
      <c r="W516" s="43"/>
      <c r="X516" s="43">
        <f t="shared" ref="X516:AA516" si="609">SUM(X513:X515)</f>
        <v>1270000000</v>
      </c>
      <c r="Y516" s="43">
        <f t="shared" ref="Y516:Z516" si="610">SUM(Y513:Y515)</f>
        <v>125240998</v>
      </c>
      <c r="Z516" s="43">
        <f t="shared" si="610"/>
        <v>25592000</v>
      </c>
      <c r="AA516" s="43">
        <f t="shared" si="609"/>
        <v>0</v>
      </c>
      <c r="AB516" s="43">
        <f t="shared" ref="AB516:AC516" si="611">SUM(AB513:AB515)</f>
        <v>0</v>
      </c>
      <c r="AC516" s="43">
        <f t="shared" si="611"/>
        <v>0</v>
      </c>
      <c r="AD516" s="43">
        <f t="shared" ref="AD516" si="612">SUM(AD513:AD515)</f>
        <v>0</v>
      </c>
      <c r="AE516" s="43"/>
      <c r="AF516" s="43"/>
      <c r="AG516" s="43"/>
      <c r="AH516" s="43"/>
      <c r="AI516" s="43"/>
      <c r="AJ516" s="43"/>
      <c r="AK516" s="43"/>
      <c r="AL516" s="43"/>
      <c r="AM516" s="43"/>
      <c r="AN516" s="43"/>
      <c r="AO516" s="43"/>
      <c r="AP516" s="173">
        <f t="shared" ref="AP516:AY516" si="613">SUM(AP513:AP515)</f>
        <v>0</v>
      </c>
      <c r="AQ516" s="173">
        <f t="shared" ref="AQ516:AR516" si="614">SUM(AQ513:AQ515)</f>
        <v>0</v>
      </c>
      <c r="AR516" s="173">
        <f t="shared" si="614"/>
        <v>0</v>
      </c>
      <c r="AS516" s="173">
        <f t="shared" si="613"/>
        <v>0</v>
      </c>
      <c r="AT516" s="173"/>
      <c r="AU516" s="173"/>
      <c r="AV516" s="173">
        <f t="shared" si="613"/>
        <v>0</v>
      </c>
      <c r="AW516" s="173">
        <f t="shared" ref="AW516:AX516" si="615">SUM(AW513:AW515)</f>
        <v>0</v>
      </c>
      <c r="AX516" s="173">
        <f t="shared" si="615"/>
        <v>0</v>
      </c>
      <c r="AY516" s="173">
        <f t="shared" si="613"/>
        <v>1270000000</v>
      </c>
      <c r="AZ516" s="173">
        <f t="shared" ref="AZ516:BA516" si="616">SUM(AZ513:AZ515)</f>
        <v>125240998</v>
      </c>
      <c r="BA516" s="173">
        <f t="shared" si="616"/>
        <v>25592000</v>
      </c>
    </row>
    <row r="517" spans="1:53" ht="15" x14ac:dyDescent="0.25">
      <c r="A517" s="27"/>
      <c r="B517" s="104"/>
      <c r="C517" s="46"/>
      <c r="D517" s="45"/>
      <c r="E517" s="45"/>
      <c r="F517" s="46"/>
      <c r="G517" s="45"/>
      <c r="H517" s="46"/>
      <c r="I517" s="686"/>
      <c r="J517" s="45"/>
      <c r="K517" s="46"/>
      <c r="L517" s="48"/>
      <c r="M517" s="48"/>
      <c r="N517" s="48"/>
      <c r="O517" s="48"/>
      <c r="P517" s="48"/>
      <c r="Q517" s="48"/>
      <c r="R517" s="48"/>
      <c r="S517" s="48"/>
      <c r="T517" s="48"/>
      <c r="U517" s="48"/>
      <c r="V517" s="48"/>
      <c r="W517" s="48"/>
      <c r="X517" s="48">
        <f>X516+X510+X506+X499+X493+X488+X483+X474+X468+X462+X455</f>
        <v>4196470000</v>
      </c>
      <c r="Y517" s="48">
        <f t="shared" ref="Y517:Z517" si="617">Y516+Y510+Y506+Y499+Y493+Y488+Y483+Y474+Y468+Y462+Y455</f>
        <v>327426993</v>
      </c>
      <c r="Z517" s="48">
        <f t="shared" si="617"/>
        <v>52192000</v>
      </c>
      <c r="AA517" s="48">
        <f>AA516+AA510+AA506+AA499+AA493+AA488+AA483+AA474+AA468+AA462+AA455</f>
        <v>827300528</v>
      </c>
      <c r="AB517" s="48">
        <f t="shared" ref="AB517:AC517" si="618">AB516+AB510+AB506+AB499+AB493+AB488+AB483+AB474+AB468+AB462+AB455</f>
        <v>32177562</v>
      </c>
      <c r="AC517" s="48">
        <f t="shared" si="618"/>
        <v>24977562</v>
      </c>
      <c r="AD517" s="48">
        <f>AD516+AD510+AD506+AD499+AD493+AD488+AD483+AD474+AD468+AD462+AD455</f>
        <v>0</v>
      </c>
      <c r="AE517" s="48"/>
      <c r="AF517" s="48"/>
      <c r="AG517" s="48"/>
      <c r="AH517" s="48"/>
      <c r="AI517" s="48"/>
      <c r="AJ517" s="48"/>
      <c r="AK517" s="48"/>
      <c r="AL517" s="48"/>
      <c r="AM517" s="48"/>
      <c r="AN517" s="48"/>
      <c r="AO517" s="48"/>
      <c r="AP517" s="174">
        <f>AP516+AP510+AP506+AP499+AP493+AP488+AP483+AP474+AP468+AP462+AP455</f>
        <v>3059870740</v>
      </c>
      <c r="AQ517" s="174">
        <f t="shared" ref="AQ517:AR517" si="619">AQ516+AQ510+AQ506+AQ499+AQ493+AQ488+AQ483+AQ474+AQ468+AQ462+AQ455</f>
        <v>860146487</v>
      </c>
      <c r="AR517" s="174">
        <f t="shared" si="619"/>
        <v>52679821</v>
      </c>
      <c r="AS517" s="174">
        <f>AS516+AS510+AS506+AS499+AS493+AS488+AS483+AS474+AS468+AS462+AS455</f>
        <v>0</v>
      </c>
      <c r="AT517" s="174"/>
      <c r="AU517" s="174"/>
      <c r="AV517" s="174">
        <f>AV516+AV510+AV506+AV499+AV493+AV488+AV483+AV474+AV468+AV462+AV455</f>
        <v>438330038</v>
      </c>
      <c r="AW517" s="174">
        <f t="shared" ref="AW517:AX517" si="620">AW516+AW510+AW506+AW499+AW493+AW488+AW483+AW474+AW468+AW462+AW455</f>
        <v>0</v>
      </c>
      <c r="AX517" s="174">
        <f t="shared" si="620"/>
        <v>0</v>
      </c>
      <c r="AY517" s="174">
        <f>AY516+AY510+AY506+AY499+AY493+AY488+AY483+AY474+AY468+AY462+AY455</f>
        <v>8521971306</v>
      </c>
      <c r="AZ517" s="174">
        <f t="shared" ref="AZ517:BA517" si="621">AZ516+AZ510+AZ506+AZ499+AZ493+AZ488+AZ483+AZ474+AZ468+AZ462+AZ455</f>
        <v>1219751042</v>
      </c>
      <c r="BA517" s="174">
        <f t="shared" si="621"/>
        <v>129849383</v>
      </c>
    </row>
    <row r="518" spans="1:53" ht="15" x14ac:dyDescent="0.25">
      <c r="A518" s="27"/>
      <c r="B518" s="58"/>
      <c r="C518" s="651"/>
      <c r="D518" s="58"/>
      <c r="E518" s="58"/>
      <c r="F518" s="651"/>
      <c r="G518" s="58"/>
      <c r="H518" s="109"/>
      <c r="I518" s="700"/>
      <c r="J518" s="108"/>
      <c r="K518" s="651"/>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88"/>
      <c r="AQ518" s="88"/>
      <c r="AR518" s="88"/>
      <c r="AS518" s="60"/>
      <c r="AT518" s="60"/>
      <c r="AU518" s="60"/>
      <c r="AV518" s="61"/>
      <c r="AW518" s="63"/>
      <c r="AX518" s="63"/>
      <c r="AY518" s="64"/>
      <c r="AZ518" s="64"/>
      <c r="BA518" s="64"/>
    </row>
    <row r="519" spans="1:53" ht="21.75" customHeight="1" x14ac:dyDescent="0.25">
      <c r="A519" s="27"/>
      <c r="B519" s="465">
        <v>13</v>
      </c>
      <c r="C519" s="634" t="s">
        <v>675</v>
      </c>
      <c r="D519" s="17"/>
      <c r="E519" s="17"/>
      <c r="F519" s="640"/>
      <c r="G519" s="17"/>
      <c r="H519" s="17"/>
      <c r="I519" s="682"/>
      <c r="J519" s="17"/>
      <c r="K519" s="17"/>
      <c r="L519" s="72"/>
      <c r="M519" s="72"/>
      <c r="N519" s="72"/>
      <c r="O519" s="72"/>
      <c r="P519" s="72"/>
      <c r="Q519" s="72"/>
      <c r="R519" s="72"/>
      <c r="S519" s="72"/>
      <c r="T519" s="72"/>
      <c r="U519" s="72"/>
      <c r="V519" s="72"/>
      <c r="W519" s="72"/>
      <c r="X519" s="674"/>
      <c r="Y519" s="674"/>
      <c r="Z519" s="674"/>
      <c r="AA519" s="674"/>
      <c r="AB519" s="674"/>
      <c r="AC519" s="674"/>
      <c r="AD519" s="674"/>
      <c r="AE519" s="674"/>
      <c r="AF519" s="674"/>
      <c r="AG519" s="72"/>
      <c r="AH519" s="72"/>
      <c r="AI519" s="72"/>
      <c r="AJ519" s="72"/>
      <c r="AK519" s="72"/>
      <c r="AL519" s="72"/>
      <c r="AM519" s="72"/>
      <c r="AN519" s="72"/>
      <c r="AO519" s="72"/>
      <c r="AP519" s="73"/>
      <c r="AQ519" s="73"/>
      <c r="AR519" s="73"/>
      <c r="AS519" s="72"/>
      <c r="AT519" s="72"/>
      <c r="AU519" s="72"/>
      <c r="AV519" s="72"/>
      <c r="AW519" s="72"/>
      <c r="AX519" s="72"/>
      <c r="AY519" s="74"/>
      <c r="AZ519" s="74"/>
      <c r="BA519" s="74"/>
    </row>
    <row r="520" spans="1:53" ht="15" x14ac:dyDescent="0.25">
      <c r="A520" s="19"/>
      <c r="B520" s="27"/>
      <c r="C520" s="651"/>
      <c r="D520" s="58"/>
      <c r="E520" s="76">
        <v>47</v>
      </c>
      <c r="F520" s="77" t="s">
        <v>676</v>
      </c>
      <c r="G520" s="77"/>
      <c r="H520" s="77"/>
      <c r="I520" s="222"/>
      <c r="J520" s="77"/>
      <c r="K520" s="77"/>
      <c r="L520" s="79"/>
      <c r="M520" s="79"/>
      <c r="N520" s="79"/>
      <c r="O520" s="79"/>
      <c r="P520" s="79"/>
      <c r="Q520" s="79"/>
      <c r="R520" s="79"/>
      <c r="S520" s="79"/>
      <c r="T520" s="79"/>
      <c r="U520" s="79"/>
      <c r="V520" s="79"/>
      <c r="W520" s="79"/>
      <c r="X520" s="559"/>
      <c r="Y520" s="559"/>
      <c r="Z520" s="559"/>
      <c r="AA520" s="559"/>
      <c r="AB520" s="559"/>
      <c r="AC520" s="559"/>
      <c r="AD520" s="559"/>
      <c r="AE520" s="559"/>
      <c r="AF520" s="559"/>
      <c r="AG520" s="79"/>
      <c r="AH520" s="79"/>
      <c r="AI520" s="79"/>
      <c r="AJ520" s="79"/>
      <c r="AK520" s="79"/>
      <c r="AL520" s="79"/>
      <c r="AM520" s="79"/>
      <c r="AN520" s="79"/>
      <c r="AO520" s="79"/>
      <c r="AP520" s="80"/>
      <c r="AQ520" s="80"/>
      <c r="AR520" s="80"/>
      <c r="AS520" s="79"/>
      <c r="AT520" s="79"/>
      <c r="AU520" s="79"/>
      <c r="AV520" s="79"/>
      <c r="AW520" s="79"/>
      <c r="AX520" s="79"/>
      <c r="AY520" s="81"/>
      <c r="AZ520" s="81"/>
      <c r="BA520" s="81"/>
    </row>
    <row r="521" spans="1:53" ht="71.25" customHeight="1" x14ac:dyDescent="0.25">
      <c r="A521" s="340"/>
      <c r="B521" s="178"/>
      <c r="C521" s="204">
        <v>27</v>
      </c>
      <c r="D521" s="473" t="s">
        <v>677</v>
      </c>
      <c r="E521" s="641"/>
      <c r="F521" s="182">
        <v>163</v>
      </c>
      <c r="G521" s="641" t="s">
        <v>369</v>
      </c>
      <c r="H521" s="182" t="s">
        <v>636</v>
      </c>
      <c r="I521" s="672" t="s">
        <v>370</v>
      </c>
      <c r="J521" s="641" t="s">
        <v>371</v>
      </c>
      <c r="K521" s="182" t="s">
        <v>466</v>
      </c>
      <c r="L521" s="183"/>
      <c r="M521" s="183"/>
      <c r="N521" s="183"/>
      <c r="O521" s="183"/>
      <c r="P521" s="183"/>
      <c r="Q521" s="183"/>
      <c r="R521" s="183"/>
      <c r="S521" s="183"/>
      <c r="T521" s="183"/>
      <c r="U521" s="183"/>
      <c r="V521" s="183"/>
      <c r="W521" s="183"/>
      <c r="X521" s="183"/>
      <c r="Y521" s="183"/>
      <c r="Z521" s="183"/>
      <c r="AA521" s="218"/>
      <c r="AB521" s="218"/>
      <c r="AC521" s="218"/>
      <c r="AD521" s="183"/>
      <c r="AE521" s="183"/>
      <c r="AF521" s="183"/>
      <c r="AG521" s="183"/>
      <c r="AH521" s="183"/>
      <c r="AI521" s="183"/>
      <c r="AJ521" s="183"/>
      <c r="AK521" s="183"/>
      <c r="AL521" s="183"/>
      <c r="AM521" s="183"/>
      <c r="AN521" s="186"/>
      <c r="AO521" s="186"/>
      <c r="AP521" s="185">
        <f>32000000+64954000</f>
        <v>96954000</v>
      </c>
      <c r="AQ521" s="185"/>
      <c r="AR521" s="185"/>
      <c r="AS521" s="186"/>
      <c r="AT521" s="186"/>
      <c r="AU521" s="186"/>
      <c r="AV521" s="186"/>
      <c r="AW521" s="186"/>
      <c r="AX521" s="186"/>
      <c r="AY521" s="37">
        <f t="shared" ref="AY521" si="622">+L521+O521+R521+U521+X521+AA521+AD521+AG521+AJ521+AM521+AP521+AS521+AV521</f>
        <v>96954000</v>
      </c>
      <c r="AZ521" s="37">
        <f t="shared" ref="AZ521" si="623">+M521+P521+S521+V521+Y521+AB521+AE521+AH521+AK521+AN521+AQ521+AT521+AW521</f>
        <v>0</v>
      </c>
      <c r="BA521" s="37">
        <f t="shared" ref="BA521" si="624">+N521+Q521+T521+W521+Z521+AC521+AF521+AI521+AL521+AO521+AR521+AU521+AX521</f>
        <v>0</v>
      </c>
    </row>
    <row r="522" spans="1:53" ht="15" x14ac:dyDescent="0.25">
      <c r="A522" s="19"/>
      <c r="B522" s="27"/>
      <c r="C522" s="378"/>
      <c r="D522" s="644"/>
      <c r="E522" s="40"/>
      <c r="F522" s="41"/>
      <c r="G522" s="40"/>
      <c r="H522" s="41"/>
      <c r="I522" s="685"/>
      <c r="J522" s="41"/>
      <c r="K522" s="41"/>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c r="AM522" s="43"/>
      <c r="AN522" s="43"/>
      <c r="AO522" s="43"/>
      <c r="AP522" s="173">
        <f t="shared" ref="AP522:AY522" si="625">SUM(AP521)</f>
        <v>96954000</v>
      </c>
      <c r="AQ522" s="173">
        <f t="shared" si="625"/>
        <v>0</v>
      </c>
      <c r="AR522" s="173">
        <f t="shared" si="625"/>
        <v>0</v>
      </c>
      <c r="AS522" s="173">
        <f t="shared" si="625"/>
        <v>0</v>
      </c>
      <c r="AT522" s="173"/>
      <c r="AU522" s="173"/>
      <c r="AV522" s="173">
        <f t="shared" si="625"/>
        <v>0</v>
      </c>
      <c r="AW522" s="173"/>
      <c r="AX522" s="173"/>
      <c r="AY522" s="173">
        <f t="shared" si="625"/>
        <v>96954000</v>
      </c>
      <c r="AZ522" s="173">
        <f t="shared" ref="AZ522:BA522" si="626">SUM(AZ521)</f>
        <v>0</v>
      </c>
      <c r="BA522" s="173">
        <f t="shared" si="626"/>
        <v>0</v>
      </c>
    </row>
    <row r="523" spans="1:53" ht="15" x14ac:dyDescent="0.25">
      <c r="A523" s="19"/>
      <c r="B523" s="27"/>
      <c r="C523" s="397"/>
      <c r="D523" s="398"/>
      <c r="E523" s="58"/>
      <c r="F523" s="651"/>
      <c r="G523" s="58"/>
      <c r="H523" s="109"/>
      <c r="I523" s="700"/>
      <c r="J523" s="109"/>
      <c r="K523" s="651"/>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88"/>
      <c r="AQ523" s="88"/>
      <c r="AR523" s="88"/>
      <c r="AS523" s="60"/>
      <c r="AT523" s="60"/>
      <c r="AU523" s="60"/>
      <c r="AV523" s="60"/>
      <c r="AW523" s="145"/>
      <c r="AX523" s="145"/>
      <c r="AY523" s="64"/>
      <c r="AZ523" s="64"/>
      <c r="BA523" s="64"/>
    </row>
    <row r="524" spans="1:53" ht="15" x14ac:dyDescent="0.25">
      <c r="A524" s="19"/>
      <c r="B524" s="27"/>
      <c r="C524" s="397"/>
      <c r="D524" s="641"/>
      <c r="E524" s="287">
        <v>48</v>
      </c>
      <c r="F524" s="77" t="s">
        <v>678</v>
      </c>
      <c r="G524" s="77"/>
      <c r="H524" s="77"/>
      <c r="I524" s="222"/>
      <c r="J524" s="77"/>
      <c r="K524" s="77"/>
      <c r="L524" s="79"/>
      <c r="M524" s="79"/>
      <c r="N524" s="79"/>
      <c r="O524" s="79"/>
      <c r="P524" s="79"/>
      <c r="Q524" s="79"/>
      <c r="R524" s="79"/>
      <c r="S524" s="79"/>
      <c r="T524" s="79"/>
      <c r="U524" s="79"/>
      <c r="V524" s="79"/>
      <c r="W524" s="79"/>
      <c r="X524" s="79"/>
      <c r="Y524" s="79"/>
      <c r="Z524" s="79"/>
      <c r="AA524" s="449"/>
      <c r="AB524" s="449"/>
      <c r="AC524" s="449"/>
      <c r="AD524" s="79"/>
      <c r="AE524" s="79"/>
      <c r="AF524" s="79"/>
      <c r="AG524" s="79"/>
      <c r="AH524" s="79"/>
      <c r="AI524" s="79"/>
      <c r="AJ524" s="79"/>
      <c r="AK524" s="79"/>
      <c r="AL524" s="79"/>
      <c r="AM524" s="79"/>
      <c r="AN524" s="79"/>
      <c r="AO524" s="79"/>
      <c r="AP524" s="80"/>
      <c r="AQ524" s="80"/>
      <c r="AR524" s="80"/>
      <c r="AS524" s="79"/>
      <c r="AT524" s="79"/>
      <c r="AU524" s="79"/>
      <c r="AV524" s="79"/>
      <c r="AW524" s="79"/>
      <c r="AX524" s="79"/>
      <c r="AY524" s="81"/>
      <c r="AZ524" s="81"/>
      <c r="BA524" s="81"/>
    </row>
    <row r="525" spans="1:53" ht="81.75" customHeight="1" x14ac:dyDescent="0.25">
      <c r="A525" s="19"/>
      <c r="B525" s="27"/>
      <c r="C525" s="204">
        <v>27</v>
      </c>
      <c r="D525" s="473" t="s">
        <v>677</v>
      </c>
      <c r="E525" s="29"/>
      <c r="F525" s="31">
        <v>164</v>
      </c>
      <c r="G525" s="29" t="s">
        <v>372</v>
      </c>
      <c r="H525" s="31" t="s">
        <v>636</v>
      </c>
      <c r="I525" s="691" t="s">
        <v>370</v>
      </c>
      <c r="J525" s="29" t="s">
        <v>371</v>
      </c>
      <c r="K525" s="31" t="s">
        <v>466</v>
      </c>
      <c r="L525" s="33"/>
      <c r="M525" s="33"/>
      <c r="N525" s="33"/>
      <c r="O525" s="33"/>
      <c r="P525" s="33"/>
      <c r="Q525" s="33"/>
      <c r="R525" s="33"/>
      <c r="S525" s="33"/>
      <c r="T525" s="33"/>
      <c r="U525" s="33"/>
      <c r="V525" s="33"/>
      <c r="W525" s="33"/>
      <c r="X525" s="33"/>
      <c r="Y525" s="33"/>
      <c r="Z525" s="33"/>
      <c r="AA525" s="188">
        <f>12795102017+78204381+6500000000+1751290800+510000000</f>
        <v>21634597198</v>
      </c>
      <c r="AB525" s="188"/>
      <c r="AC525" s="188"/>
      <c r="AD525" s="33"/>
      <c r="AE525" s="33"/>
      <c r="AF525" s="33"/>
      <c r="AG525" s="33"/>
      <c r="AH525" s="33"/>
      <c r="AI525" s="33"/>
      <c r="AJ525" s="33"/>
      <c r="AK525" s="33"/>
      <c r="AL525" s="33"/>
      <c r="AM525" s="33"/>
      <c r="AN525" s="36"/>
      <c r="AO525" s="36"/>
      <c r="AP525" s="35"/>
      <c r="AQ525" s="35"/>
      <c r="AR525" s="35"/>
      <c r="AS525" s="36"/>
      <c r="AT525" s="36"/>
      <c r="AU525" s="36"/>
      <c r="AV525" s="36"/>
      <c r="AW525" s="36"/>
      <c r="AX525" s="36"/>
      <c r="AY525" s="37">
        <f t="shared" ref="AY525" si="627">+L525+O525+R525+U525+X525+AA525+AD525+AG525+AJ525+AM525+AP525+AS525+AV525</f>
        <v>21634597198</v>
      </c>
      <c r="AZ525" s="37">
        <f t="shared" ref="AZ525" si="628">+M525+P525+S525+V525+Y525+AB525+AE525+AH525+AK525+AN525+AQ525+AT525+AW525</f>
        <v>0</v>
      </c>
      <c r="BA525" s="37">
        <f t="shared" ref="BA525" si="629">+N525+Q525+T525+W525+Z525+AC525+AF525+AI525+AL525+AO525+AR525+AU525+AX525</f>
        <v>0</v>
      </c>
    </row>
    <row r="526" spans="1:53" ht="15" x14ac:dyDescent="0.25">
      <c r="A526" s="259"/>
      <c r="B526" s="30"/>
      <c r="C526" s="204"/>
      <c r="D526" s="673"/>
      <c r="E526" s="40"/>
      <c r="F526" s="41"/>
      <c r="G526" s="40"/>
      <c r="H526" s="41"/>
      <c r="I526" s="685"/>
      <c r="J526" s="40"/>
      <c r="K526" s="41"/>
      <c r="L526" s="43"/>
      <c r="M526" s="43"/>
      <c r="N526" s="43"/>
      <c r="O526" s="43"/>
      <c r="P526" s="43"/>
      <c r="Q526" s="43"/>
      <c r="R526" s="43"/>
      <c r="S526" s="43"/>
      <c r="T526" s="43"/>
      <c r="U526" s="43"/>
      <c r="V526" s="43"/>
      <c r="W526" s="43"/>
      <c r="X526" s="43"/>
      <c r="Y526" s="43"/>
      <c r="Z526" s="43"/>
      <c r="AA526" s="43">
        <f t="shared" ref="AA526:AC526" si="630">SUM(AA525)</f>
        <v>21634597198</v>
      </c>
      <c r="AB526" s="43">
        <f t="shared" si="630"/>
        <v>0</v>
      </c>
      <c r="AC526" s="43">
        <f t="shared" si="630"/>
        <v>0</v>
      </c>
      <c r="AD526" s="43"/>
      <c r="AE526" s="43"/>
      <c r="AF526" s="43"/>
      <c r="AG526" s="43"/>
      <c r="AH526" s="43"/>
      <c r="AI526" s="43"/>
      <c r="AJ526" s="43"/>
      <c r="AK526" s="43"/>
      <c r="AL526" s="43"/>
      <c r="AM526" s="43"/>
      <c r="AN526" s="43"/>
      <c r="AO526" s="43"/>
      <c r="AP526" s="173"/>
      <c r="AQ526" s="173"/>
      <c r="AR526" s="173"/>
      <c r="AS526" s="43"/>
      <c r="AT526" s="43"/>
      <c r="AU526" s="43"/>
      <c r="AV526" s="43"/>
      <c r="AW526" s="43"/>
      <c r="AX526" s="43"/>
      <c r="AY526" s="43">
        <f t="shared" ref="AY526:BA526" si="631">SUM(AY525)</f>
        <v>21634597198</v>
      </c>
      <c r="AZ526" s="43">
        <f t="shared" si="631"/>
        <v>0</v>
      </c>
      <c r="BA526" s="43">
        <f t="shared" si="631"/>
        <v>0</v>
      </c>
    </row>
    <row r="527" spans="1:53" ht="15" x14ac:dyDescent="0.25">
      <c r="A527" s="19"/>
      <c r="B527" s="27"/>
      <c r="C527" s="397"/>
      <c r="D527" s="398"/>
      <c r="E527" s="58"/>
      <c r="F527" s="651"/>
      <c r="G527" s="58"/>
      <c r="H527" s="109"/>
      <c r="I527" s="700"/>
      <c r="J527" s="108"/>
      <c r="K527" s="651"/>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88"/>
      <c r="AQ527" s="88"/>
      <c r="AR527" s="88"/>
      <c r="AS527" s="60"/>
      <c r="AT527" s="60"/>
      <c r="AU527" s="60"/>
      <c r="AV527" s="60"/>
      <c r="AW527" s="145"/>
      <c r="AX527" s="145"/>
      <c r="AY527" s="64"/>
      <c r="AZ527" s="64"/>
      <c r="BA527" s="64"/>
    </row>
    <row r="528" spans="1:53" ht="15" x14ac:dyDescent="0.25">
      <c r="A528" s="19"/>
      <c r="B528" s="27"/>
      <c r="C528" s="397"/>
      <c r="D528" s="641"/>
      <c r="E528" s="287">
        <v>49</v>
      </c>
      <c r="F528" s="77" t="s">
        <v>679</v>
      </c>
      <c r="G528" s="77"/>
      <c r="H528" s="77"/>
      <c r="I528" s="222"/>
      <c r="J528" s="77"/>
      <c r="K528" s="77"/>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80"/>
      <c r="AQ528" s="80"/>
      <c r="AR528" s="80"/>
      <c r="AS528" s="79"/>
      <c r="AT528" s="79"/>
      <c r="AU528" s="79"/>
      <c r="AV528" s="79"/>
      <c r="AW528" s="79"/>
      <c r="AX528" s="79"/>
      <c r="AY528" s="81"/>
      <c r="AZ528" s="81"/>
      <c r="BA528" s="81"/>
    </row>
    <row r="529" spans="1:53" ht="67.5" customHeight="1" x14ac:dyDescent="0.25">
      <c r="A529" s="340"/>
      <c r="B529" s="178"/>
      <c r="C529" s="204">
        <v>27</v>
      </c>
      <c r="D529" s="473" t="s">
        <v>677</v>
      </c>
      <c r="E529" s="641"/>
      <c r="F529" s="182">
        <v>165</v>
      </c>
      <c r="G529" s="641" t="s">
        <v>373</v>
      </c>
      <c r="H529" s="482" t="s">
        <v>636</v>
      </c>
      <c r="I529" s="672" t="s">
        <v>370</v>
      </c>
      <c r="J529" s="641" t="s">
        <v>371</v>
      </c>
      <c r="K529" s="182" t="s">
        <v>466</v>
      </c>
      <c r="L529" s="183"/>
      <c r="M529" s="183"/>
      <c r="N529" s="183"/>
      <c r="O529" s="183"/>
      <c r="P529" s="183"/>
      <c r="Q529" s="183"/>
      <c r="R529" s="183"/>
      <c r="S529" s="183"/>
      <c r="T529" s="183"/>
      <c r="U529" s="183"/>
      <c r="V529" s="183"/>
      <c r="W529" s="183"/>
      <c r="X529" s="183"/>
      <c r="Y529" s="183"/>
      <c r="Z529" s="183"/>
      <c r="AA529" s="218"/>
      <c r="AB529" s="218"/>
      <c r="AC529" s="218"/>
      <c r="AD529" s="183"/>
      <c r="AE529" s="183"/>
      <c r="AF529" s="183"/>
      <c r="AG529" s="183"/>
      <c r="AH529" s="183"/>
      <c r="AI529" s="183"/>
      <c r="AJ529" s="183"/>
      <c r="AK529" s="183"/>
      <c r="AL529" s="183"/>
      <c r="AM529" s="183"/>
      <c r="AN529" s="186"/>
      <c r="AO529" s="186"/>
      <c r="AP529" s="185">
        <f>21000000+43636000</f>
        <v>64636000</v>
      </c>
      <c r="AQ529" s="185">
        <v>11200000</v>
      </c>
      <c r="AR529" s="185">
        <v>2800000</v>
      </c>
      <c r="AS529" s="186"/>
      <c r="AT529" s="186"/>
      <c r="AU529" s="186"/>
      <c r="AV529" s="186"/>
      <c r="AW529" s="186"/>
      <c r="AX529" s="186"/>
      <c r="AY529" s="37">
        <f t="shared" ref="AY529" si="632">+L529+O529+R529+U529+X529+AA529+AD529+AG529+AJ529+AM529+AP529+AS529+AV529</f>
        <v>64636000</v>
      </c>
      <c r="AZ529" s="37">
        <f t="shared" ref="AZ529" si="633">+M529+P529+S529+V529+Y529+AB529+AE529+AH529+AK529+AN529+AQ529+AT529+AW529</f>
        <v>11200000</v>
      </c>
      <c r="BA529" s="37">
        <f t="shared" ref="BA529" si="634">+N529+Q529+T529+W529+Z529+AC529+AF529+AI529+AL529+AO529+AR529+AU529+AX529</f>
        <v>2800000</v>
      </c>
    </row>
    <row r="530" spans="1:53" ht="15" x14ac:dyDescent="0.25">
      <c r="A530" s="19"/>
      <c r="B530" s="27"/>
      <c r="C530" s="28"/>
      <c r="D530" s="29"/>
      <c r="E530" s="40"/>
      <c r="F530" s="41"/>
      <c r="G530" s="40"/>
      <c r="H530" s="483"/>
      <c r="I530" s="685"/>
      <c r="J530" s="40"/>
      <c r="K530" s="41"/>
      <c r="L530" s="43"/>
      <c r="M530" s="43"/>
      <c r="N530" s="43"/>
      <c r="O530" s="43"/>
      <c r="P530" s="43"/>
      <c r="Q530" s="43"/>
      <c r="R530" s="43"/>
      <c r="S530" s="43"/>
      <c r="T530" s="43"/>
      <c r="U530" s="43"/>
      <c r="V530" s="43"/>
      <c r="W530" s="43"/>
      <c r="X530" s="43"/>
      <c r="Y530" s="43"/>
      <c r="Z530" s="43"/>
      <c r="AA530" s="355">
        <f t="shared" ref="AA530:AC530" si="635">SUM(AA529)</f>
        <v>0</v>
      </c>
      <c r="AB530" s="355">
        <f t="shared" si="635"/>
        <v>0</v>
      </c>
      <c r="AC530" s="355">
        <f t="shared" si="635"/>
        <v>0</v>
      </c>
      <c r="AD530" s="43"/>
      <c r="AE530" s="43"/>
      <c r="AF530" s="43"/>
      <c r="AG530" s="43"/>
      <c r="AH530" s="43"/>
      <c r="AI530" s="43"/>
      <c r="AJ530" s="43"/>
      <c r="AK530" s="43"/>
      <c r="AL530" s="43"/>
      <c r="AM530" s="43"/>
      <c r="AN530" s="43"/>
      <c r="AO530" s="43"/>
      <c r="AP530" s="173">
        <f t="shared" ref="AP530:AY530" si="636">SUM(AP529)</f>
        <v>64636000</v>
      </c>
      <c r="AQ530" s="173">
        <f t="shared" ref="AQ530:AR530" si="637">SUM(AQ529)</f>
        <v>11200000</v>
      </c>
      <c r="AR530" s="173">
        <f t="shared" si="637"/>
        <v>2800000</v>
      </c>
      <c r="AS530" s="173">
        <f t="shared" si="636"/>
        <v>0</v>
      </c>
      <c r="AT530" s="173"/>
      <c r="AU530" s="173"/>
      <c r="AV530" s="173">
        <f t="shared" si="636"/>
        <v>0</v>
      </c>
      <c r="AW530" s="173"/>
      <c r="AX530" s="173"/>
      <c r="AY530" s="173">
        <f t="shared" si="636"/>
        <v>64636000</v>
      </c>
      <c r="AZ530" s="173">
        <f t="shared" ref="AZ530:BA530" si="638">SUM(AZ529)</f>
        <v>11200000</v>
      </c>
      <c r="BA530" s="173">
        <f t="shared" si="638"/>
        <v>2800000</v>
      </c>
    </row>
    <row r="531" spans="1:53" ht="15" x14ac:dyDescent="0.25">
      <c r="A531" s="30"/>
      <c r="B531" s="388"/>
      <c r="C531" s="46"/>
      <c r="D531" s="45"/>
      <c r="E531" s="45"/>
      <c r="F531" s="46"/>
      <c r="G531" s="45"/>
      <c r="H531" s="484"/>
      <c r="I531" s="686"/>
      <c r="J531" s="45"/>
      <c r="K531" s="46"/>
      <c r="L531" s="48"/>
      <c r="M531" s="48"/>
      <c r="N531" s="48"/>
      <c r="O531" s="48"/>
      <c r="P531" s="48"/>
      <c r="Q531" s="48"/>
      <c r="R531" s="48"/>
      <c r="S531" s="48"/>
      <c r="T531" s="48"/>
      <c r="U531" s="48"/>
      <c r="V531" s="48"/>
      <c r="W531" s="48"/>
      <c r="X531" s="48"/>
      <c r="Y531" s="48"/>
      <c r="Z531" s="48"/>
      <c r="AA531" s="48">
        <f t="shared" ref="AA531:AC531" si="639">AA530+AA526+AA522</f>
        <v>21634597198</v>
      </c>
      <c r="AB531" s="48">
        <f t="shared" si="639"/>
        <v>0</v>
      </c>
      <c r="AC531" s="48">
        <f t="shared" si="639"/>
        <v>0</v>
      </c>
      <c r="AD531" s="48"/>
      <c r="AE531" s="48"/>
      <c r="AF531" s="48"/>
      <c r="AG531" s="48"/>
      <c r="AH531" s="48"/>
      <c r="AI531" s="48"/>
      <c r="AJ531" s="48"/>
      <c r="AK531" s="48"/>
      <c r="AL531" s="48"/>
      <c r="AM531" s="48"/>
      <c r="AN531" s="48"/>
      <c r="AO531" s="48"/>
      <c r="AP531" s="174">
        <f t="shared" ref="AP531:AY531" si="640">AP530+AP526+AP522</f>
        <v>161590000</v>
      </c>
      <c r="AQ531" s="174">
        <f t="shared" ref="AQ531:AR531" si="641">AQ530+AQ526+AQ522</f>
        <v>11200000</v>
      </c>
      <c r="AR531" s="174">
        <f t="shared" si="641"/>
        <v>2800000</v>
      </c>
      <c r="AS531" s="174">
        <f t="shared" si="640"/>
        <v>0</v>
      </c>
      <c r="AT531" s="174"/>
      <c r="AU531" s="174"/>
      <c r="AV531" s="174">
        <f t="shared" si="640"/>
        <v>0</v>
      </c>
      <c r="AW531" s="174"/>
      <c r="AX531" s="174"/>
      <c r="AY531" s="174">
        <f t="shared" si="640"/>
        <v>21796187198</v>
      </c>
      <c r="AZ531" s="174">
        <f t="shared" ref="AZ531:BA531" si="642">AZ530+AZ526+AZ522</f>
        <v>11200000</v>
      </c>
      <c r="BA531" s="174">
        <f t="shared" si="642"/>
        <v>2800000</v>
      </c>
    </row>
    <row r="532" spans="1:53" ht="15" x14ac:dyDescent="0.25">
      <c r="A532" s="27"/>
      <c r="B532" s="58"/>
      <c r="C532" s="651"/>
      <c r="D532" s="58"/>
      <c r="E532" s="58"/>
      <c r="F532" s="651"/>
      <c r="G532" s="58"/>
      <c r="H532" s="109"/>
      <c r="I532" s="700"/>
      <c r="J532" s="108"/>
      <c r="K532" s="651"/>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88"/>
      <c r="AQ532" s="88"/>
      <c r="AR532" s="88"/>
      <c r="AS532" s="60"/>
      <c r="AT532" s="60"/>
      <c r="AU532" s="60"/>
      <c r="AV532" s="60"/>
      <c r="AW532" s="145"/>
      <c r="AX532" s="145"/>
      <c r="AY532" s="64"/>
      <c r="AZ532" s="64"/>
      <c r="BA532" s="64"/>
    </row>
    <row r="533" spans="1:53" ht="21.75" customHeight="1" x14ac:dyDescent="0.25">
      <c r="A533" s="27"/>
      <c r="B533" s="465">
        <v>14</v>
      </c>
      <c r="C533" s="634" t="s">
        <v>680</v>
      </c>
      <c r="D533" s="17"/>
      <c r="E533" s="17"/>
      <c r="F533" s="640"/>
      <c r="G533" s="17"/>
      <c r="H533" s="17"/>
      <c r="I533" s="682"/>
      <c r="J533" s="17"/>
      <c r="K533" s="17"/>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3"/>
      <c r="AQ533" s="73"/>
      <c r="AR533" s="73"/>
      <c r="AS533" s="72"/>
      <c r="AT533" s="72"/>
      <c r="AU533" s="72"/>
      <c r="AV533" s="72"/>
      <c r="AW533" s="72"/>
      <c r="AX533" s="72"/>
      <c r="AY533" s="74"/>
      <c r="AZ533" s="74"/>
      <c r="BA533" s="74"/>
    </row>
    <row r="534" spans="1:53" ht="15" x14ac:dyDescent="0.25">
      <c r="A534" s="19"/>
      <c r="B534" s="27"/>
      <c r="C534" s="651"/>
      <c r="D534" s="58"/>
      <c r="E534" s="287">
        <v>50</v>
      </c>
      <c r="F534" s="77" t="s">
        <v>681</v>
      </c>
      <c r="G534" s="77"/>
      <c r="H534" s="77"/>
      <c r="I534" s="222"/>
      <c r="J534" s="77"/>
      <c r="K534" s="77"/>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80"/>
      <c r="AQ534" s="80"/>
      <c r="AR534" s="80"/>
      <c r="AS534" s="79"/>
      <c r="AT534" s="79"/>
      <c r="AU534" s="79"/>
      <c r="AV534" s="79"/>
      <c r="AW534" s="79"/>
      <c r="AX534" s="79"/>
      <c r="AY534" s="81"/>
      <c r="AZ534" s="81"/>
      <c r="BA534" s="81"/>
    </row>
    <row r="535" spans="1:53" ht="72.75" customHeight="1" x14ac:dyDescent="0.25">
      <c r="A535" s="19"/>
      <c r="B535" s="636"/>
      <c r="C535" s="204">
        <v>28</v>
      </c>
      <c r="D535" s="473" t="s">
        <v>682</v>
      </c>
      <c r="E535" s="635"/>
      <c r="F535" s="31">
        <v>167</v>
      </c>
      <c r="G535" s="29" t="s">
        <v>374</v>
      </c>
      <c r="H535" s="482" t="s">
        <v>636</v>
      </c>
      <c r="I535" s="667" t="s">
        <v>375</v>
      </c>
      <c r="J535" s="636" t="s">
        <v>683</v>
      </c>
      <c r="K535" s="31" t="s">
        <v>466</v>
      </c>
      <c r="L535" s="33"/>
      <c r="M535" s="33"/>
      <c r="N535" s="33"/>
      <c r="O535" s="33"/>
      <c r="P535" s="33"/>
      <c r="Q535" s="33"/>
      <c r="R535" s="33"/>
      <c r="S535" s="33"/>
      <c r="T535" s="33"/>
      <c r="U535" s="33"/>
      <c r="V535" s="33"/>
      <c r="W535" s="33"/>
      <c r="X535" s="188">
        <f>5654000000+3888000000+27056704</f>
        <v>9569056704</v>
      </c>
      <c r="Y535" s="188"/>
      <c r="Z535" s="188"/>
      <c r="AA535" s="33">
        <f>3217514779+81073318</f>
        <v>3298588097</v>
      </c>
      <c r="AB535" s="33"/>
      <c r="AC535" s="33"/>
      <c r="AD535" s="33"/>
      <c r="AE535" s="33"/>
      <c r="AF535" s="33"/>
      <c r="AG535" s="33"/>
      <c r="AH535" s="33"/>
      <c r="AI535" s="33"/>
      <c r="AJ535" s="33"/>
      <c r="AK535" s="33"/>
      <c r="AL535" s="33"/>
      <c r="AM535" s="33"/>
      <c r="AN535" s="36"/>
      <c r="AO535" s="36"/>
      <c r="AP535" s="35"/>
      <c r="AQ535" s="35"/>
      <c r="AR535" s="35"/>
      <c r="AS535" s="36"/>
      <c r="AT535" s="36"/>
      <c r="AU535" s="36"/>
      <c r="AV535" s="36">
        <v>1530716729</v>
      </c>
      <c r="AW535" s="36"/>
      <c r="AX535" s="36"/>
      <c r="AY535" s="37">
        <f t="shared" ref="AY535" si="643">+L535+O535+R535+U535+X535+AA535+AD535+AG535+AJ535+AM535+AP535+AS535+AV535</f>
        <v>14398361530</v>
      </c>
      <c r="AZ535" s="37">
        <f t="shared" ref="AZ535" si="644">+M535+P535+S535+V535+Y535+AB535+AE535+AH535+AK535+AN535+AQ535+AT535+AW535</f>
        <v>0</v>
      </c>
      <c r="BA535" s="37">
        <f t="shared" ref="BA535" si="645">+N535+Q535+T535+W535+Z535+AC535+AF535+AI535+AL535+AO535+AR535+AU535+AX535</f>
        <v>0</v>
      </c>
    </row>
    <row r="536" spans="1:53" ht="15" x14ac:dyDescent="0.25">
      <c r="A536" s="259"/>
      <c r="B536" s="663"/>
      <c r="C536" s="28"/>
      <c r="D536" s="29"/>
      <c r="E536" s="40"/>
      <c r="F536" s="41"/>
      <c r="G536" s="40"/>
      <c r="H536" s="483"/>
      <c r="I536" s="685"/>
      <c r="J536" s="40"/>
      <c r="K536" s="41"/>
      <c r="L536" s="43"/>
      <c r="M536" s="43"/>
      <c r="N536" s="43"/>
      <c r="O536" s="43"/>
      <c r="P536" s="43"/>
      <c r="Q536" s="43"/>
      <c r="R536" s="43"/>
      <c r="S536" s="43"/>
      <c r="T536" s="43"/>
      <c r="U536" s="43"/>
      <c r="V536" s="43"/>
      <c r="W536" s="43"/>
      <c r="X536" s="43">
        <f>SUM(X535:X535)</f>
        <v>9569056704</v>
      </c>
      <c r="Y536" s="43">
        <f t="shared" ref="Y536:Z536" si="646">SUM(Y535:Y535)</f>
        <v>0</v>
      </c>
      <c r="Z536" s="43">
        <f t="shared" si="646"/>
        <v>0</v>
      </c>
      <c r="AA536" s="43">
        <f>SUM(AA535:AA535)</f>
        <v>3298588097</v>
      </c>
      <c r="AB536" s="43">
        <f t="shared" ref="AB536:AC536" si="647">SUM(AB535:AB535)</f>
        <v>0</v>
      </c>
      <c r="AC536" s="43">
        <f t="shared" si="647"/>
        <v>0</v>
      </c>
      <c r="AD536" s="43"/>
      <c r="AE536" s="43"/>
      <c r="AF536" s="43"/>
      <c r="AG536" s="43"/>
      <c r="AH536" s="43"/>
      <c r="AI536" s="43"/>
      <c r="AJ536" s="43"/>
      <c r="AK536" s="43"/>
      <c r="AL536" s="43"/>
      <c r="AM536" s="43"/>
      <c r="AN536" s="486"/>
      <c r="AO536" s="486"/>
      <c r="AP536" s="485"/>
      <c r="AQ536" s="485"/>
      <c r="AR536" s="485"/>
      <c r="AS536" s="486"/>
      <c r="AT536" s="486"/>
      <c r="AU536" s="486"/>
      <c r="AV536" s="486">
        <f>SUM(AV535:AV535)</f>
        <v>1530716729</v>
      </c>
      <c r="AW536" s="486">
        <f t="shared" ref="AW536:AX536" si="648">SUM(AW535:AW535)</f>
        <v>0</v>
      </c>
      <c r="AX536" s="486">
        <f t="shared" si="648"/>
        <v>0</v>
      </c>
      <c r="AY536" s="43">
        <f>SUM(AY535:AY535)</f>
        <v>14398361530</v>
      </c>
      <c r="AZ536" s="43">
        <f t="shared" ref="AZ536:BA536" si="649">SUM(AZ535:AZ535)</f>
        <v>0</v>
      </c>
      <c r="BA536" s="43">
        <f t="shared" si="649"/>
        <v>0</v>
      </c>
    </row>
    <row r="537" spans="1:53" ht="15" x14ac:dyDescent="0.25">
      <c r="A537" s="19"/>
      <c r="B537" s="636"/>
      <c r="C537" s="651"/>
      <c r="D537" s="58"/>
      <c r="E537" s="58"/>
      <c r="F537" s="651"/>
      <c r="G537" s="58"/>
      <c r="H537" s="109"/>
      <c r="I537" s="700"/>
      <c r="J537" s="108"/>
      <c r="K537" s="651"/>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88"/>
      <c r="AQ537" s="88"/>
      <c r="AR537" s="88"/>
      <c r="AS537" s="60"/>
      <c r="AT537" s="60"/>
      <c r="AU537" s="60"/>
      <c r="AV537" s="61"/>
      <c r="AW537" s="63"/>
      <c r="AX537" s="63"/>
      <c r="AY537" s="64"/>
      <c r="AZ537" s="64"/>
      <c r="BA537" s="64"/>
    </row>
    <row r="538" spans="1:53" ht="15" x14ac:dyDescent="0.25">
      <c r="A538" s="19"/>
      <c r="B538" s="636"/>
      <c r="C538" s="651"/>
      <c r="D538" s="29"/>
      <c r="E538" s="287">
        <v>51</v>
      </c>
      <c r="F538" s="77" t="s">
        <v>684</v>
      </c>
      <c r="G538" s="77"/>
      <c r="H538" s="77"/>
      <c r="I538" s="222"/>
      <c r="J538" s="77"/>
      <c r="K538" s="77"/>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80"/>
      <c r="AQ538" s="80"/>
      <c r="AR538" s="80"/>
      <c r="AS538" s="79"/>
      <c r="AT538" s="79"/>
      <c r="AU538" s="79"/>
      <c r="AV538" s="79"/>
      <c r="AW538" s="79"/>
      <c r="AX538" s="79"/>
      <c r="AY538" s="440"/>
      <c r="AZ538" s="440"/>
      <c r="BA538" s="440"/>
    </row>
    <row r="539" spans="1:53" ht="70.5" customHeight="1" x14ac:dyDescent="0.25">
      <c r="A539" s="340"/>
      <c r="B539" s="643"/>
      <c r="C539" s="204" t="s">
        <v>649</v>
      </c>
      <c r="D539" s="644" t="s">
        <v>685</v>
      </c>
      <c r="E539" s="641"/>
      <c r="F539" s="182">
        <v>169</v>
      </c>
      <c r="G539" s="641" t="s">
        <v>376</v>
      </c>
      <c r="H539" s="482" t="s">
        <v>636</v>
      </c>
      <c r="I539" s="672" t="s">
        <v>377</v>
      </c>
      <c r="J539" s="641" t="s">
        <v>378</v>
      </c>
      <c r="K539" s="182" t="s">
        <v>466</v>
      </c>
      <c r="L539" s="183"/>
      <c r="M539" s="183"/>
      <c r="N539" s="183"/>
      <c r="O539" s="183"/>
      <c r="P539" s="183"/>
      <c r="Q539" s="183"/>
      <c r="R539" s="183"/>
      <c r="S539" s="183"/>
      <c r="T539" s="183"/>
      <c r="U539" s="183"/>
      <c r="V539" s="183"/>
      <c r="W539" s="183"/>
      <c r="X539" s="183"/>
      <c r="Y539" s="183"/>
      <c r="Z539" s="183"/>
      <c r="AA539" s="218"/>
      <c r="AB539" s="218"/>
      <c r="AC539" s="218"/>
      <c r="AD539" s="183"/>
      <c r="AE539" s="183"/>
      <c r="AF539" s="183"/>
      <c r="AG539" s="183"/>
      <c r="AH539" s="183"/>
      <c r="AI539" s="183"/>
      <c r="AJ539" s="183"/>
      <c r="AK539" s="183"/>
      <c r="AL539" s="183"/>
      <c r="AM539" s="183"/>
      <c r="AN539" s="186"/>
      <c r="AO539" s="186"/>
      <c r="AP539" s="185">
        <f>58080000-25762000</f>
        <v>32318000</v>
      </c>
      <c r="AQ539" s="185">
        <v>22400000</v>
      </c>
      <c r="AR539" s="185">
        <v>5600000</v>
      </c>
      <c r="AS539" s="186"/>
      <c r="AT539" s="186"/>
      <c r="AU539" s="186"/>
      <c r="AV539" s="186"/>
      <c r="AW539" s="186"/>
      <c r="AX539" s="186"/>
      <c r="AY539" s="37">
        <f t="shared" ref="AY539" si="650">+L539+O539+R539+U539+X539+AA539+AD539+AG539+AJ539+AM539+AP539+AS539+AV539</f>
        <v>32318000</v>
      </c>
      <c r="AZ539" s="37">
        <f t="shared" ref="AZ539" si="651">+M539+P539+S539+V539+Y539+AB539+AE539+AH539+AK539+AN539+AQ539+AT539+AW539</f>
        <v>22400000</v>
      </c>
      <c r="BA539" s="37">
        <f t="shared" ref="BA539" si="652">+N539+Q539+T539+W539+Z539+AC539+AF539+AI539+AL539+AO539+AR539+AU539+AX539</f>
        <v>5600000</v>
      </c>
    </row>
    <row r="540" spans="1:53" ht="15" x14ac:dyDescent="0.25">
      <c r="A540" s="19"/>
      <c r="B540" s="636"/>
      <c r="C540" s="28"/>
      <c r="D540" s="29"/>
      <c r="E540" s="40"/>
      <c r="F540" s="41"/>
      <c r="G540" s="40"/>
      <c r="H540" s="483"/>
      <c r="I540" s="685"/>
      <c r="J540" s="40"/>
      <c r="K540" s="41"/>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c r="AP540" s="43">
        <f t="shared" ref="AP540:AY540" si="653">AP539</f>
        <v>32318000</v>
      </c>
      <c r="AQ540" s="43">
        <f t="shared" si="653"/>
        <v>22400000</v>
      </c>
      <c r="AR540" s="43">
        <f t="shared" si="653"/>
        <v>5600000</v>
      </c>
      <c r="AS540" s="43">
        <f t="shared" si="653"/>
        <v>0</v>
      </c>
      <c r="AT540" s="43"/>
      <c r="AU540" s="43"/>
      <c r="AV540" s="43">
        <f t="shared" si="653"/>
        <v>0</v>
      </c>
      <c r="AW540" s="43"/>
      <c r="AX540" s="43"/>
      <c r="AY540" s="43">
        <f t="shared" si="653"/>
        <v>32318000</v>
      </c>
      <c r="AZ540" s="43">
        <f t="shared" ref="AZ540:BA540" si="654">AZ539</f>
        <v>22400000</v>
      </c>
      <c r="BA540" s="43">
        <f t="shared" si="654"/>
        <v>5600000</v>
      </c>
    </row>
    <row r="541" spans="1:53" ht="15" x14ac:dyDescent="0.25">
      <c r="A541" s="19"/>
      <c r="B541" s="636"/>
      <c r="C541" s="651"/>
      <c r="D541" s="58"/>
      <c r="E541" s="58"/>
      <c r="F541" s="651"/>
      <c r="G541" s="58"/>
      <c r="H541" s="109"/>
      <c r="I541" s="700"/>
      <c r="J541" s="108"/>
      <c r="K541" s="651"/>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88"/>
      <c r="AQ541" s="88"/>
      <c r="AR541" s="88"/>
      <c r="AS541" s="60"/>
      <c r="AT541" s="60"/>
      <c r="AU541" s="60"/>
      <c r="AV541" s="60"/>
      <c r="AW541" s="145"/>
      <c r="AX541" s="145"/>
      <c r="AY541" s="64"/>
      <c r="AZ541" s="64"/>
      <c r="BA541" s="64"/>
    </row>
    <row r="542" spans="1:53" ht="15" x14ac:dyDescent="0.25">
      <c r="A542" s="19"/>
      <c r="B542" s="636"/>
      <c r="C542" s="651"/>
      <c r="D542" s="29"/>
      <c r="E542" s="287">
        <v>52</v>
      </c>
      <c r="F542" s="77" t="s">
        <v>686</v>
      </c>
      <c r="G542" s="77"/>
      <c r="H542" s="77"/>
      <c r="I542" s="222"/>
      <c r="J542" s="77"/>
      <c r="K542" s="77"/>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80"/>
      <c r="AQ542" s="80"/>
      <c r="AR542" s="80"/>
      <c r="AS542" s="79"/>
      <c r="AT542" s="79"/>
      <c r="AU542" s="79"/>
      <c r="AV542" s="79"/>
      <c r="AW542" s="79"/>
      <c r="AX542" s="79"/>
      <c r="AY542" s="440"/>
      <c r="AZ542" s="440"/>
      <c r="BA542" s="440"/>
    </row>
    <row r="543" spans="1:53" ht="86.25" customHeight="1" x14ac:dyDescent="0.25">
      <c r="A543" s="340"/>
      <c r="B543" s="643"/>
      <c r="C543" s="204">
        <v>28</v>
      </c>
      <c r="D543" s="641" t="s">
        <v>682</v>
      </c>
      <c r="E543" s="220"/>
      <c r="F543" s="182">
        <v>172</v>
      </c>
      <c r="G543" s="641" t="s">
        <v>379</v>
      </c>
      <c r="H543" s="482" t="s">
        <v>636</v>
      </c>
      <c r="I543" s="672" t="s">
        <v>380</v>
      </c>
      <c r="J543" s="641" t="s">
        <v>381</v>
      </c>
      <c r="K543" s="182" t="s">
        <v>466</v>
      </c>
      <c r="L543" s="183"/>
      <c r="M543" s="183"/>
      <c r="N543" s="183"/>
      <c r="O543" s="183"/>
      <c r="P543" s="183"/>
      <c r="Q543" s="183"/>
      <c r="R543" s="183"/>
      <c r="S543" s="183"/>
      <c r="T543" s="183"/>
      <c r="U543" s="183"/>
      <c r="V543" s="183"/>
      <c r="W543" s="183"/>
      <c r="X543" s="183"/>
      <c r="Y543" s="183"/>
      <c r="Z543" s="183"/>
      <c r="AA543" s="487"/>
      <c r="AB543" s="487"/>
      <c r="AC543" s="487"/>
      <c r="AD543" s="183"/>
      <c r="AE543" s="183"/>
      <c r="AF543" s="183"/>
      <c r="AG543" s="183"/>
      <c r="AH543" s="183"/>
      <c r="AI543" s="183"/>
      <c r="AJ543" s="183"/>
      <c r="AK543" s="183"/>
      <c r="AL543" s="183"/>
      <c r="AM543" s="183"/>
      <c r="AN543" s="186"/>
      <c r="AO543" s="186"/>
      <c r="AP543" s="185">
        <f>161000000+139000000</f>
        <v>300000000</v>
      </c>
      <c r="AQ543" s="185">
        <v>76394666</v>
      </c>
      <c r="AR543" s="185">
        <v>40855000</v>
      </c>
      <c r="AS543" s="186"/>
      <c r="AT543" s="186"/>
      <c r="AU543" s="186"/>
      <c r="AV543" s="186"/>
      <c r="AW543" s="186"/>
      <c r="AX543" s="186"/>
      <c r="AY543" s="37">
        <f t="shared" ref="AY543" si="655">+L543+O543+R543+U543+X543+AA543+AD543+AG543+AJ543+AM543+AP543+AS543+AV543</f>
        <v>300000000</v>
      </c>
      <c r="AZ543" s="37">
        <f t="shared" ref="AZ543" si="656">+M543+P543+S543+V543+Y543+AB543+AE543+AH543+AK543+AN543+AQ543+AT543+AW543</f>
        <v>76394666</v>
      </c>
      <c r="BA543" s="37">
        <f t="shared" ref="BA543" si="657">+N543+Q543+T543+W543+Z543+AC543+AF543+AI543+AL543+AO543+AR543+AU543+AX543</f>
        <v>40855000</v>
      </c>
    </row>
    <row r="544" spans="1:53" ht="15" x14ac:dyDescent="0.25">
      <c r="A544" s="19"/>
      <c r="B544" s="636"/>
      <c r="C544" s="28"/>
      <c r="D544" s="29"/>
      <c r="E544" s="40"/>
      <c r="F544" s="41"/>
      <c r="G544" s="40"/>
      <c r="H544" s="483"/>
      <c r="I544" s="685"/>
      <c r="J544" s="40"/>
      <c r="K544" s="41"/>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43"/>
      <c r="AP544" s="173">
        <f>SUM(AP543:AP543)</f>
        <v>300000000</v>
      </c>
      <c r="AQ544" s="173">
        <f t="shared" ref="AQ544:AR544" si="658">SUM(AQ543:AQ543)</f>
        <v>76394666</v>
      </c>
      <c r="AR544" s="173">
        <f t="shared" si="658"/>
        <v>40855000</v>
      </c>
      <c r="AS544" s="173">
        <f>SUM(AS543:AS543)</f>
        <v>0</v>
      </c>
      <c r="AT544" s="173"/>
      <c r="AU544" s="173"/>
      <c r="AV544" s="173">
        <f>SUM(AV543:AV543)</f>
        <v>0</v>
      </c>
      <c r="AW544" s="173"/>
      <c r="AX544" s="173"/>
      <c r="AY544" s="173">
        <f>SUM(AY543:AY543)</f>
        <v>300000000</v>
      </c>
      <c r="AZ544" s="173">
        <f t="shared" ref="AZ544:BA544" si="659">SUM(AZ543:AZ543)</f>
        <v>76394666</v>
      </c>
      <c r="BA544" s="173">
        <f t="shared" si="659"/>
        <v>40855000</v>
      </c>
    </row>
    <row r="545" spans="1:53" ht="15" x14ac:dyDescent="0.25">
      <c r="A545" s="19"/>
      <c r="B545" s="636"/>
      <c r="C545" s="651"/>
      <c r="D545" s="58"/>
      <c r="E545" s="58"/>
      <c r="F545" s="651"/>
      <c r="G545" s="58"/>
      <c r="H545" s="109"/>
      <c r="I545" s="700"/>
      <c r="J545" s="108"/>
      <c r="K545" s="651"/>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88"/>
      <c r="AQ545" s="88"/>
      <c r="AR545" s="88"/>
      <c r="AS545" s="60"/>
      <c r="AT545" s="60"/>
      <c r="AU545" s="60"/>
      <c r="AV545" s="60"/>
      <c r="AW545" s="145"/>
      <c r="AX545" s="145"/>
      <c r="AY545" s="64"/>
      <c r="AZ545" s="64"/>
      <c r="BA545" s="64"/>
    </row>
    <row r="546" spans="1:53" ht="15" x14ac:dyDescent="0.25">
      <c r="A546" s="19"/>
      <c r="B546" s="636"/>
      <c r="C546" s="651"/>
      <c r="D546" s="29"/>
      <c r="E546" s="287">
        <v>53</v>
      </c>
      <c r="F546" s="78" t="s">
        <v>687</v>
      </c>
      <c r="G546" s="78"/>
      <c r="H546" s="78"/>
      <c r="I546" s="222"/>
      <c r="J546" s="78"/>
      <c r="K546" s="78"/>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80"/>
      <c r="AQ546" s="80"/>
      <c r="AR546" s="80"/>
      <c r="AS546" s="79"/>
      <c r="AT546" s="79"/>
      <c r="AU546" s="79"/>
      <c r="AV546" s="79"/>
      <c r="AW546" s="79"/>
      <c r="AX546" s="79"/>
      <c r="AY546" s="81"/>
      <c r="AZ546" s="81"/>
      <c r="BA546" s="81"/>
    </row>
    <row r="547" spans="1:53" ht="99" customHeight="1" x14ac:dyDescent="0.25">
      <c r="A547" s="340"/>
      <c r="B547" s="643"/>
      <c r="C547" s="237">
        <v>28</v>
      </c>
      <c r="D547" s="194" t="s">
        <v>682</v>
      </c>
      <c r="E547" s="846"/>
      <c r="F547" s="182">
        <v>173</v>
      </c>
      <c r="G547" s="641" t="s">
        <v>382</v>
      </c>
      <c r="H547" s="878" t="s">
        <v>636</v>
      </c>
      <c r="I547" s="842" t="s">
        <v>383</v>
      </c>
      <c r="J547" s="843" t="s">
        <v>384</v>
      </c>
      <c r="K547" s="182" t="s">
        <v>466</v>
      </c>
      <c r="L547" s="183"/>
      <c r="M547" s="183"/>
      <c r="N547" s="183"/>
      <c r="O547" s="183"/>
      <c r="P547" s="183"/>
      <c r="Q547" s="183"/>
      <c r="R547" s="183"/>
      <c r="S547" s="183"/>
      <c r="T547" s="183"/>
      <c r="U547" s="183"/>
      <c r="V547" s="183"/>
      <c r="W547" s="183"/>
      <c r="X547" s="183"/>
      <c r="Y547" s="183"/>
      <c r="Z547" s="183"/>
      <c r="AA547" s="218"/>
      <c r="AB547" s="218"/>
      <c r="AC547" s="218"/>
      <c r="AD547" s="183"/>
      <c r="AE547" s="183"/>
      <c r="AF547" s="183"/>
      <c r="AG547" s="183"/>
      <c r="AH547" s="183"/>
      <c r="AI547" s="183"/>
      <c r="AJ547" s="183"/>
      <c r="AK547" s="183"/>
      <c r="AL547" s="183"/>
      <c r="AM547" s="183"/>
      <c r="AN547" s="186"/>
      <c r="AO547" s="186"/>
      <c r="AP547" s="185">
        <f>18600000+13718000</f>
        <v>32318000</v>
      </c>
      <c r="AQ547" s="185">
        <v>11200000</v>
      </c>
      <c r="AR547" s="185">
        <v>2800000</v>
      </c>
      <c r="AS547" s="186"/>
      <c r="AT547" s="186"/>
      <c r="AU547" s="186"/>
      <c r="AV547" s="186"/>
      <c r="AW547" s="186"/>
      <c r="AX547" s="186"/>
      <c r="AY547" s="37">
        <f t="shared" ref="AY547:AY548" si="660">+L547+O547+R547+U547+X547+AA547+AD547+AG547+AJ547+AM547+AP547+AS547+AV547</f>
        <v>32318000</v>
      </c>
      <c r="AZ547" s="37">
        <f t="shared" ref="AZ547:AZ548" si="661">+M547+P547+S547+V547+Y547+AB547+AE547+AH547+AK547+AN547+AQ547+AT547+AW547</f>
        <v>11200000</v>
      </c>
      <c r="BA547" s="37">
        <f t="shared" ref="BA547:BA548" si="662">+N547+Q547+T547+W547+Z547+AC547+AF547+AI547+AL547+AO547+AR547+AU547+AX547</f>
        <v>2800000</v>
      </c>
    </row>
    <row r="548" spans="1:53" ht="62.25" customHeight="1" x14ac:dyDescent="0.25">
      <c r="A548" s="340"/>
      <c r="B548" s="643"/>
      <c r="C548" s="237">
        <v>28</v>
      </c>
      <c r="D548" s="194" t="s">
        <v>682</v>
      </c>
      <c r="E548" s="848"/>
      <c r="F548" s="182">
        <v>174</v>
      </c>
      <c r="G548" s="641" t="s">
        <v>385</v>
      </c>
      <c r="H548" s="879"/>
      <c r="I548" s="839"/>
      <c r="J548" s="841"/>
      <c r="K548" s="182" t="s">
        <v>466</v>
      </c>
      <c r="L548" s="183"/>
      <c r="M548" s="183"/>
      <c r="N548" s="183"/>
      <c r="O548" s="183"/>
      <c r="P548" s="183"/>
      <c r="Q548" s="183"/>
      <c r="R548" s="183"/>
      <c r="S548" s="183"/>
      <c r="T548" s="183"/>
      <c r="U548" s="183"/>
      <c r="V548" s="183"/>
      <c r="W548" s="183"/>
      <c r="X548" s="183"/>
      <c r="Y548" s="183"/>
      <c r="Z548" s="183"/>
      <c r="AA548" s="183"/>
      <c r="AB548" s="183"/>
      <c r="AC548" s="183"/>
      <c r="AD548" s="183"/>
      <c r="AE548" s="183"/>
      <c r="AF548" s="183"/>
      <c r="AG548" s="183"/>
      <c r="AH548" s="183"/>
      <c r="AI548" s="183"/>
      <c r="AJ548" s="183"/>
      <c r="AK548" s="183"/>
      <c r="AL548" s="183"/>
      <c r="AM548" s="183"/>
      <c r="AN548" s="186"/>
      <c r="AO548" s="186"/>
      <c r="AP548" s="185">
        <f>30000000+2318000</f>
        <v>32318000</v>
      </c>
      <c r="AQ548" s="185">
        <v>22560000</v>
      </c>
      <c r="AR548" s="185">
        <v>4240000</v>
      </c>
      <c r="AS548" s="186"/>
      <c r="AT548" s="186"/>
      <c r="AU548" s="186"/>
      <c r="AV548" s="186"/>
      <c r="AW548" s="186"/>
      <c r="AX548" s="186"/>
      <c r="AY548" s="37">
        <f t="shared" si="660"/>
        <v>32318000</v>
      </c>
      <c r="AZ548" s="37">
        <f t="shared" si="661"/>
        <v>22560000</v>
      </c>
      <c r="BA548" s="37">
        <f t="shared" si="662"/>
        <v>4240000</v>
      </c>
    </row>
    <row r="549" spans="1:53" ht="15" x14ac:dyDescent="0.25">
      <c r="A549" s="19"/>
      <c r="B549" s="636"/>
      <c r="C549" s="28"/>
      <c r="D549" s="29"/>
      <c r="E549" s="40"/>
      <c r="F549" s="41"/>
      <c r="G549" s="40"/>
      <c r="H549" s="41"/>
      <c r="I549" s="685"/>
      <c r="J549" s="40"/>
      <c r="K549" s="41"/>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43"/>
      <c r="AM549" s="43"/>
      <c r="AN549" s="43"/>
      <c r="AO549" s="43"/>
      <c r="AP549" s="173">
        <f t="shared" ref="AP549:AY549" si="663">SUM(AP547:AP548)</f>
        <v>64636000</v>
      </c>
      <c r="AQ549" s="173">
        <f t="shared" si="663"/>
        <v>33760000</v>
      </c>
      <c r="AR549" s="173">
        <f t="shared" si="663"/>
        <v>7040000</v>
      </c>
      <c r="AS549" s="173">
        <f t="shared" si="663"/>
        <v>0</v>
      </c>
      <c r="AT549" s="173"/>
      <c r="AU549" s="173"/>
      <c r="AV549" s="173">
        <f t="shared" si="663"/>
        <v>0</v>
      </c>
      <c r="AW549" s="173"/>
      <c r="AX549" s="173"/>
      <c r="AY549" s="173">
        <f t="shared" si="663"/>
        <v>64636000</v>
      </c>
      <c r="AZ549" s="173">
        <f t="shared" ref="AZ549:BA549" si="664">SUM(AZ547:AZ548)</f>
        <v>33760000</v>
      </c>
      <c r="BA549" s="173">
        <f t="shared" si="664"/>
        <v>7040000</v>
      </c>
    </row>
    <row r="550" spans="1:53" ht="15" x14ac:dyDescent="0.25">
      <c r="A550" s="19"/>
      <c r="B550" s="636"/>
      <c r="C550" s="651"/>
      <c r="D550" s="58"/>
      <c r="E550" s="58"/>
      <c r="F550" s="651"/>
      <c r="G550" s="58"/>
      <c r="H550" s="109"/>
      <c r="I550" s="700"/>
      <c r="J550" s="108"/>
      <c r="K550" s="651"/>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88"/>
      <c r="AQ550" s="88"/>
      <c r="AR550" s="88"/>
      <c r="AS550" s="60"/>
      <c r="AT550" s="60"/>
      <c r="AU550" s="60"/>
      <c r="AV550" s="60"/>
      <c r="AW550" s="145"/>
      <c r="AX550" s="145"/>
      <c r="AY550" s="64"/>
      <c r="AZ550" s="64"/>
      <c r="BA550" s="64"/>
    </row>
    <row r="551" spans="1:53" ht="21" customHeight="1" x14ac:dyDescent="0.25">
      <c r="A551" s="19"/>
      <c r="B551" s="636"/>
      <c r="C551" s="651"/>
      <c r="D551" s="29"/>
      <c r="E551" s="287">
        <v>54</v>
      </c>
      <c r="F551" s="78" t="s">
        <v>688</v>
      </c>
      <c r="G551" s="78"/>
      <c r="H551" s="78"/>
      <c r="I551" s="222"/>
      <c r="J551" s="78"/>
      <c r="K551" s="78"/>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80"/>
      <c r="AQ551" s="80"/>
      <c r="AR551" s="80"/>
      <c r="AS551" s="79"/>
      <c r="AT551" s="79"/>
      <c r="AU551" s="79"/>
      <c r="AV551" s="79"/>
      <c r="AW551" s="79"/>
      <c r="AX551" s="79"/>
      <c r="AY551" s="81"/>
      <c r="AZ551" s="81"/>
      <c r="BA551" s="81"/>
    </row>
    <row r="552" spans="1:53" ht="59.25" customHeight="1" x14ac:dyDescent="0.25">
      <c r="A552" s="340"/>
      <c r="B552" s="643"/>
      <c r="C552" s="237">
        <v>28</v>
      </c>
      <c r="D552" s="194" t="s">
        <v>682</v>
      </c>
      <c r="E552" s="846"/>
      <c r="F552" s="182">
        <v>175</v>
      </c>
      <c r="G552" s="641" t="s">
        <v>386</v>
      </c>
      <c r="H552" s="846" t="s">
        <v>636</v>
      </c>
      <c r="I552" s="842" t="s">
        <v>387</v>
      </c>
      <c r="J552" s="843" t="s">
        <v>388</v>
      </c>
      <c r="K552" s="182" t="s">
        <v>466</v>
      </c>
      <c r="L552" s="183"/>
      <c r="M552" s="183"/>
      <c r="N552" s="183"/>
      <c r="O552" s="183"/>
      <c r="P552" s="183"/>
      <c r="Q552" s="183"/>
      <c r="R552" s="183"/>
      <c r="S552" s="183"/>
      <c r="T552" s="183"/>
      <c r="U552" s="183"/>
      <c r="V552" s="183"/>
      <c r="W552" s="183"/>
      <c r="X552" s="183"/>
      <c r="Y552" s="183"/>
      <c r="Z552" s="183"/>
      <c r="AA552" s="218"/>
      <c r="AB552" s="218"/>
      <c r="AC552" s="218"/>
      <c r="AD552" s="183"/>
      <c r="AE552" s="183"/>
      <c r="AF552" s="183"/>
      <c r="AG552" s="183"/>
      <c r="AH552" s="183"/>
      <c r="AI552" s="183"/>
      <c r="AJ552" s="183"/>
      <c r="AK552" s="183"/>
      <c r="AL552" s="183"/>
      <c r="AM552" s="183"/>
      <c r="AN552" s="186"/>
      <c r="AO552" s="186"/>
      <c r="AP552" s="185">
        <f>29000000+30636000</f>
        <v>59636000</v>
      </c>
      <c r="AQ552" s="185">
        <v>5600000</v>
      </c>
      <c r="AR552" s="185"/>
      <c r="AS552" s="186"/>
      <c r="AT552" s="186"/>
      <c r="AU552" s="186"/>
      <c r="AV552" s="186"/>
      <c r="AW552" s="186"/>
      <c r="AX552" s="186"/>
      <c r="AY552" s="37">
        <f t="shared" ref="AY552:AY553" si="665">+L552+O552+R552+U552+X552+AA552+AD552+AG552+AJ552+AM552+AP552+AS552+AV552</f>
        <v>59636000</v>
      </c>
      <c r="AZ552" s="37">
        <f t="shared" ref="AZ552:AZ553" si="666">+M552+P552+S552+V552+Y552+AB552+AE552+AH552+AK552+AN552+AQ552+AT552+AW552</f>
        <v>5600000</v>
      </c>
      <c r="BA552" s="37">
        <f t="shared" ref="BA552:BA553" si="667">+N552+Q552+T552+W552+Z552+AC552+AF552+AI552+AL552+AO552+AR552+AU552+AX552</f>
        <v>0</v>
      </c>
    </row>
    <row r="553" spans="1:53" ht="71.25" customHeight="1" x14ac:dyDescent="0.25">
      <c r="A553" s="340"/>
      <c r="B553" s="643"/>
      <c r="C553" s="237">
        <v>28</v>
      </c>
      <c r="D553" s="194" t="s">
        <v>682</v>
      </c>
      <c r="E553" s="848"/>
      <c r="F553" s="182">
        <v>176</v>
      </c>
      <c r="G553" s="641" t="s">
        <v>389</v>
      </c>
      <c r="H553" s="848"/>
      <c r="I553" s="839"/>
      <c r="J553" s="841"/>
      <c r="K553" s="182" t="s">
        <v>466</v>
      </c>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3"/>
      <c r="AL553" s="183"/>
      <c r="AM553" s="183"/>
      <c r="AN553" s="186"/>
      <c r="AO553" s="186"/>
      <c r="AP553" s="185">
        <f>12000000-7000000</f>
        <v>5000000</v>
      </c>
      <c r="AQ553" s="185"/>
      <c r="AR553" s="185"/>
      <c r="AS553" s="186"/>
      <c r="AT553" s="186"/>
      <c r="AU553" s="186"/>
      <c r="AV553" s="186"/>
      <c r="AW553" s="186"/>
      <c r="AX553" s="186"/>
      <c r="AY553" s="37">
        <f t="shared" si="665"/>
        <v>5000000</v>
      </c>
      <c r="AZ553" s="37">
        <f t="shared" si="666"/>
        <v>0</v>
      </c>
      <c r="BA553" s="37">
        <f t="shared" si="667"/>
        <v>0</v>
      </c>
    </row>
    <row r="554" spans="1:53" ht="21.75" customHeight="1" x14ac:dyDescent="0.25">
      <c r="A554" s="19"/>
      <c r="B554" s="636"/>
      <c r="C554" s="28"/>
      <c r="D554" s="29"/>
      <c r="E554" s="40"/>
      <c r="F554" s="41"/>
      <c r="G554" s="40"/>
      <c r="H554" s="41"/>
      <c r="I554" s="685"/>
      <c r="J554" s="40"/>
      <c r="K554" s="41"/>
      <c r="L554" s="43"/>
      <c r="M554" s="43"/>
      <c r="N554" s="43"/>
      <c r="O554" s="43"/>
      <c r="P554" s="43"/>
      <c r="Q554" s="43"/>
      <c r="R554" s="43"/>
      <c r="S554" s="43"/>
      <c r="T554" s="43"/>
      <c r="U554" s="43"/>
      <c r="V554" s="43"/>
      <c r="W554" s="43"/>
      <c r="X554" s="355">
        <f t="shared" ref="X554:AA554" si="668">SUM(X552:X553)</f>
        <v>0</v>
      </c>
      <c r="Y554" s="355">
        <f t="shared" ref="Y554:Z554" si="669">SUM(Y552:Y553)</f>
        <v>0</v>
      </c>
      <c r="Z554" s="355">
        <f t="shared" si="669"/>
        <v>0</v>
      </c>
      <c r="AA554" s="355">
        <f t="shared" si="668"/>
        <v>0</v>
      </c>
      <c r="AB554" s="355">
        <f t="shared" ref="AB554:AC554" si="670">SUM(AB552:AB553)</f>
        <v>0</v>
      </c>
      <c r="AC554" s="355">
        <f t="shared" si="670"/>
        <v>0</v>
      </c>
      <c r="AD554" s="43"/>
      <c r="AE554" s="43"/>
      <c r="AF554" s="43"/>
      <c r="AG554" s="43"/>
      <c r="AH554" s="43"/>
      <c r="AI554" s="43"/>
      <c r="AJ554" s="43"/>
      <c r="AK554" s="43"/>
      <c r="AL554" s="43"/>
      <c r="AM554" s="43"/>
      <c r="AN554" s="43"/>
      <c r="AO554" s="43"/>
      <c r="AP554" s="43">
        <f t="shared" ref="AP554:AY554" si="671">SUM(AP552:AP553)</f>
        <v>64636000</v>
      </c>
      <c r="AQ554" s="43">
        <f t="shared" ref="AQ554:AR554" si="672">SUM(AQ552:AQ553)</f>
        <v>5600000</v>
      </c>
      <c r="AR554" s="43">
        <f t="shared" si="672"/>
        <v>0</v>
      </c>
      <c r="AS554" s="43">
        <f t="shared" si="671"/>
        <v>0</v>
      </c>
      <c r="AT554" s="43"/>
      <c r="AU554" s="43"/>
      <c r="AV554" s="43">
        <f t="shared" si="671"/>
        <v>0</v>
      </c>
      <c r="AW554" s="43">
        <f t="shared" ref="AW554:AX554" si="673">SUM(AW552:AW553)</f>
        <v>0</v>
      </c>
      <c r="AX554" s="43">
        <f t="shared" si="673"/>
        <v>0</v>
      </c>
      <c r="AY554" s="43">
        <f t="shared" si="671"/>
        <v>64636000</v>
      </c>
      <c r="AZ554" s="43">
        <f t="shared" ref="AZ554:BA554" si="674">SUM(AZ552:AZ553)</f>
        <v>5600000</v>
      </c>
      <c r="BA554" s="43">
        <f t="shared" si="674"/>
        <v>0</v>
      </c>
    </row>
    <row r="555" spans="1:53" ht="15" x14ac:dyDescent="0.25">
      <c r="A555" s="30"/>
      <c r="B555" s="388"/>
      <c r="C555" s="46"/>
      <c r="D555" s="45"/>
      <c r="E555" s="45"/>
      <c r="F555" s="46"/>
      <c r="G555" s="45"/>
      <c r="H555" s="46"/>
      <c r="I555" s="686"/>
      <c r="J555" s="45"/>
      <c r="K555" s="46"/>
      <c r="L555" s="48"/>
      <c r="M555" s="48"/>
      <c r="N555" s="48"/>
      <c r="O555" s="48"/>
      <c r="P555" s="48"/>
      <c r="Q555" s="48"/>
      <c r="R555" s="48"/>
      <c r="S555" s="48"/>
      <c r="T555" s="48"/>
      <c r="U555" s="48"/>
      <c r="V555" s="48"/>
      <c r="W555" s="48"/>
      <c r="X555" s="48">
        <f>X554+X549+X544+X540+X536</f>
        <v>9569056704</v>
      </c>
      <c r="Y555" s="48">
        <f t="shared" ref="Y555:Z555" si="675">Y554+Y549+Y544+Y540+Y536</f>
        <v>0</v>
      </c>
      <c r="Z555" s="48">
        <f t="shared" si="675"/>
        <v>0</v>
      </c>
      <c r="AA555" s="48">
        <f>AA554+AA549+AA544+AA540+AA536</f>
        <v>3298588097</v>
      </c>
      <c r="AB555" s="48">
        <f t="shared" ref="AB555:AC555" si="676">AB554+AB549+AB544+AB540+AB536</f>
        <v>0</v>
      </c>
      <c r="AC555" s="48">
        <f t="shared" si="676"/>
        <v>0</v>
      </c>
      <c r="AD555" s="48"/>
      <c r="AE555" s="48"/>
      <c r="AF555" s="48"/>
      <c r="AG555" s="48"/>
      <c r="AH555" s="48"/>
      <c r="AI555" s="48"/>
      <c r="AJ555" s="48"/>
      <c r="AK555" s="48"/>
      <c r="AL555" s="48"/>
      <c r="AM555" s="48"/>
      <c r="AN555" s="48"/>
      <c r="AO555" s="48"/>
      <c r="AP555" s="48">
        <f>AP554+AP549+AP544+AP540+AP536</f>
        <v>461590000</v>
      </c>
      <c r="AQ555" s="48">
        <f t="shared" ref="AQ555:AR555" si="677">AQ554+AQ549+AQ544+AQ540+AQ536</f>
        <v>138154666</v>
      </c>
      <c r="AR555" s="48">
        <f t="shared" si="677"/>
        <v>53495000</v>
      </c>
      <c r="AS555" s="48">
        <f>AS554+AS549+AS544+AS540+AS536</f>
        <v>0</v>
      </c>
      <c r="AT555" s="48"/>
      <c r="AU555" s="48"/>
      <c r="AV555" s="48">
        <f>AV554+AV549+AV544+AV540+AV536</f>
        <v>1530716729</v>
      </c>
      <c r="AW555" s="48">
        <f t="shared" ref="AW555:AX555" si="678">AW554+AW549+AW544+AW540+AW536</f>
        <v>0</v>
      </c>
      <c r="AX555" s="48">
        <f t="shared" si="678"/>
        <v>0</v>
      </c>
      <c r="AY555" s="48">
        <f>AY554+AY549+AY544+AY540+AY536</f>
        <v>14859951530</v>
      </c>
      <c r="AZ555" s="48">
        <f t="shared" ref="AZ555:BA555" si="679">AZ554+AZ549+AZ544+AZ540+AZ536</f>
        <v>138154666</v>
      </c>
      <c r="BA555" s="48">
        <f t="shared" si="679"/>
        <v>53495000</v>
      </c>
    </row>
    <row r="556" spans="1:53" ht="15" x14ac:dyDescent="0.25">
      <c r="A556" s="27"/>
      <c r="B556" s="58"/>
      <c r="C556" s="651"/>
      <c r="D556" s="58"/>
      <c r="E556" s="58"/>
      <c r="F556" s="651"/>
      <c r="G556" s="58"/>
      <c r="H556" s="109"/>
      <c r="I556" s="700"/>
      <c r="J556" s="108"/>
      <c r="K556" s="651"/>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88"/>
      <c r="AQ556" s="88"/>
      <c r="AR556" s="88"/>
      <c r="AS556" s="60"/>
      <c r="AT556" s="60"/>
      <c r="AU556" s="60"/>
      <c r="AV556" s="61"/>
      <c r="AW556" s="63"/>
      <c r="AX556" s="63"/>
      <c r="AY556" s="64"/>
      <c r="AZ556" s="64"/>
      <c r="BA556" s="64"/>
    </row>
    <row r="557" spans="1:53" x14ac:dyDescent="0.25">
      <c r="A557" s="27"/>
      <c r="B557" s="465">
        <v>15</v>
      </c>
      <c r="C557" s="634" t="s">
        <v>689</v>
      </c>
      <c r="D557" s="17"/>
      <c r="E557" s="17"/>
      <c r="F557" s="640"/>
      <c r="G557" s="17"/>
      <c r="H557" s="17"/>
      <c r="I557" s="682"/>
      <c r="J557" s="17"/>
      <c r="K557" s="17"/>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3"/>
      <c r="AQ557" s="73"/>
      <c r="AR557" s="73"/>
      <c r="AS557" s="72"/>
      <c r="AT557" s="72"/>
      <c r="AU557" s="72"/>
      <c r="AV557" s="72"/>
      <c r="AW557" s="72"/>
      <c r="AX557" s="72"/>
      <c r="AY557" s="438"/>
      <c r="AZ557" s="438"/>
      <c r="BA557" s="438"/>
    </row>
    <row r="558" spans="1:53" ht="22.5" customHeight="1" x14ac:dyDescent="0.25">
      <c r="A558" s="19"/>
      <c r="B558" s="27"/>
      <c r="C558" s="651"/>
      <c r="D558" s="58"/>
      <c r="E558" s="287">
        <v>55</v>
      </c>
      <c r="F558" s="78" t="s">
        <v>690</v>
      </c>
      <c r="G558" s="78"/>
      <c r="H558" s="78"/>
      <c r="I558" s="222"/>
      <c r="J558" s="78"/>
      <c r="K558" s="78"/>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80"/>
      <c r="AQ558" s="80"/>
      <c r="AR558" s="80"/>
      <c r="AS558" s="79"/>
      <c r="AT558" s="79"/>
      <c r="AU558" s="79"/>
      <c r="AV558" s="79"/>
      <c r="AW558" s="79"/>
      <c r="AX558" s="79"/>
      <c r="AY558" s="440"/>
      <c r="AZ558" s="440"/>
      <c r="BA558" s="440"/>
    </row>
    <row r="559" spans="1:53" ht="90.75" customHeight="1" x14ac:dyDescent="0.25">
      <c r="A559" s="340"/>
      <c r="B559" s="643"/>
      <c r="C559" s="204" t="s">
        <v>649</v>
      </c>
      <c r="D559" s="641" t="s">
        <v>691</v>
      </c>
      <c r="E559" s="649"/>
      <c r="F559" s="182">
        <v>178</v>
      </c>
      <c r="G559" s="641" t="s">
        <v>390</v>
      </c>
      <c r="H559" s="649" t="s">
        <v>636</v>
      </c>
      <c r="I559" s="671" t="s">
        <v>391</v>
      </c>
      <c r="J559" s="643" t="s">
        <v>392</v>
      </c>
      <c r="K559" s="215" t="s">
        <v>466</v>
      </c>
      <c r="L559" s="183"/>
      <c r="M559" s="183"/>
      <c r="N559" s="183"/>
      <c r="O559" s="183"/>
      <c r="P559" s="183"/>
      <c r="Q559" s="183"/>
      <c r="R559" s="183"/>
      <c r="S559" s="183"/>
      <c r="T559" s="183"/>
      <c r="U559" s="183"/>
      <c r="V559" s="183"/>
      <c r="W559" s="183"/>
      <c r="X559" s="183"/>
      <c r="Y559" s="183"/>
      <c r="Z559" s="183"/>
      <c r="AA559" s="737">
        <v>150000000</v>
      </c>
      <c r="AB559" s="737">
        <v>37866667</v>
      </c>
      <c r="AC559" s="737">
        <v>7600000</v>
      </c>
      <c r="AD559" s="183"/>
      <c r="AE559" s="183"/>
      <c r="AF559" s="183"/>
      <c r="AG559" s="183"/>
      <c r="AH559" s="183"/>
      <c r="AI559" s="183"/>
      <c r="AJ559" s="183"/>
      <c r="AK559" s="183"/>
      <c r="AL559" s="183"/>
      <c r="AM559" s="183"/>
      <c r="AN559" s="186"/>
      <c r="AO559" s="186"/>
      <c r="AP559" s="185"/>
      <c r="AQ559" s="185"/>
      <c r="AR559" s="185"/>
      <c r="AS559" s="186"/>
      <c r="AT559" s="186"/>
      <c r="AU559" s="186"/>
      <c r="AV559" s="186"/>
      <c r="AW559" s="186"/>
      <c r="AX559" s="186"/>
      <c r="AY559" s="37">
        <f t="shared" ref="AY559" si="680">+L559+O559+R559+U559+X559+AA559+AD559+AG559+AJ559+AM559+AP559+AS559+AV559</f>
        <v>150000000</v>
      </c>
      <c r="AZ559" s="37">
        <f t="shared" ref="AZ559" si="681">+M559+P559+S559+V559+Y559+AB559+AE559+AH559+AK559+AN559+AQ559+AT559+AW559</f>
        <v>37866667</v>
      </c>
      <c r="BA559" s="37">
        <f t="shared" ref="BA559" si="682">+N559+Q559+T559+W559+Z559+AC559+AF559+AI559+AL559+AO559+AR559+AU559+AX559</f>
        <v>7600000</v>
      </c>
    </row>
    <row r="560" spans="1:53" ht="15" x14ac:dyDescent="0.25">
      <c r="A560" s="259"/>
      <c r="B560" s="636"/>
      <c r="C560" s="28"/>
      <c r="D560" s="29"/>
      <c r="E560" s="40"/>
      <c r="F560" s="41"/>
      <c r="G560" s="40"/>
      <c r="H560" s="41"/>
      <c r="I560" s="685"/>
      <c r="J560" s="40"/>
      <c r="K560" s="41"/>
      <c r="L560" s="43">
        <f>+L559</f>
        <v>0</v>
      </c>
      <c r="M560" s="43"/>
      <c r="N560" s="43"/>
      <c r="O560" s="43">
        <f t="shared" ref="O560:X561" si="683">+O559</f>
        <v>0</v>
      </c>
      <c r="P560" s="43"/>
      <c r="Q560" s="43"/>
      <c r="R560" s="43">
        <f t="shared" si="683"/>
        <v>0</v>
      </c>
      <c r="S560" s="43"/>
      <c r="T560" s="43"/>
      <c r="U560" s="43">
        <f t="shared" si="683"/>
        <v>0</v>
      </c>
      <c r="V560" s="43"/>
      <c r="W560" s="43"/>
      <c r="X560" s="43">
        <f t="shared" si="683"/>
        <v>0</v>
      </c>
      <c r="Y560" s="43">
        <f t="shared" ref="Y560:Z560" si="684">+Y559</f>
        <v>0</v>
      </c>
      <c r="Z560" s="43">
        <f t="shared" si="684"/>
        <v>0</v>
      </c>
      <c r="AA560" s="43">
        <f>+AA559</f>
        <v>150000000</v>
      </c>
      <c r="AB560" s="43">
        <f t="shared" ref="AB560:AC561" si="685">+AB559</f>
        <v>37866667</v>
      </c>
      <c r="AC560" s="43">
        <f t="shared" si="685"/>
        <v>7600000</v>
      </c>
      <c r="AD560" s="43">
        <f t="shared" ref="AD560:AD561" si="686">+AD559</f>
        <v>0</v>
      </c>
      <c r="AE560" s="43"/>
      <c r="AF560" s="43"/>
      <c r="AG560" s="43">
        <f>+AG559</f>
        <v>0</v>
      </c>
      <c r="AH560" s="43"/>
      <c r="AI560" s="43"/>
      <c r="AJ560" s="43">
        <f t="shared" ref="AJ560:AJ561" si="687">+AJ559</f>
        <v>0</v>
      </c>
      <c r="AK560" s="43"/>
      <c r="AL560" s="43"/>
      <c r="AM560" s="43">
        <f t="shared" ref="AM560:AM561" si="688">+AM559</f>
        <v>0</v>
      </c>
      <c r="AN560" s="43"/>
      <c r="AO560" s="43"/>
      <c r="AP560" s="43">
        <f t="shared" ref="AP560:AR561" si="689">+AP559</f>
        <v>0</v>
      </c>
      <c r="AQ560" s="43">
        <f t="shared" si="689"/>
        <v>0</v>
      </c>
      <c r="AR560" s="43">
        <f t="shared" si="689"/>
        <v>0</v>
      </c>
      <c r="AS560" s="43">
        <f>+AS559</f>
        <v>0</v>
      </c>
      <c r="AT560" s="43"/>
      <c r="AU560" s="43"/>
      <c r="AV560" s="43">
        <f t="shared" ref="AV560:AX561" si="690">+AV559</f>
        <v>0</v>
      </c>
      <c r="AW560" s="43">
        <f t="shared" si="690"/>
        <v>0</v>
      </c>
      <c r="AX560" s="43">
        <f t="shared" si="690"/>
        <v>0</v>
      </c>
      <c r="AY560" s="43">
        <f t="shared" ref="AY560:BA561" si="691">+AY559</f>
        <v>150000000</v>
      </c>
      <c r="AZ560" s="43">
        <f t="shared" si="691"/>
        <v>37866667</v>
      </c>
      <c r="BA560" s="43">
        <f t="shared" si="691"/>
        <v>7600000</v>
      </c>
    </row>
    <row r="561" spans="1:53" ht="15" x14ac:dyDescent="0.25">
      <c r="A561" s="38"/>
      <c r="B561" s="388"/>
      <c r="C561" s="46"/>
      <c r="D561" s="45"/>
      <c r="E561" s="45"/>
      <c r="F561" s="46"/>
      <c r="G561" s="45"/>
      <c r="H561" s="46"/>
      <c r="I561" s="686"/>
      <c r="J561" s="45"/>
      <c r="K561" s="46"/>
      <c r="L561" s="48">
        <f>+L560</f>
        <v>0</v>
      </c>
      <c r="M561" s="48"/>
      <c r="N561" s="48"/>
      <c r="O561" s="48">
        <f t="shared" si="683"/>
        <v>0</v>
      </c>
      <c r="P561" s="48"/>
      <c r="Q561" s="48"/>
      <c r="R561" s="48">
        <f t="shared" si="683"/>
        <v>0</v>
      </c>
      <c r="S561" s="48"/>
      <c r="T561" s="48"/>
      <c r="U561" s="48">
        <f t="shared" si="683"/>
        <v>0</v>
      </c>
      <c r="V561" s="48"/>
      <c r="W561" s="48"/>
      <c r="X561" s="48">
        <f t="shared" si="683"/>
        <v>0</v>
      </c>
      <c r="Y561" s="48">
        <f t="shared" ref="Y561:Z561" si="692">+Y560</f>
        <v>0</v>
      </c>
      <c r="Z561" s="48">
        <f t="shared" si="692"/>
        <v>0</v>
      </c>
      <c r="AA561" s="48">
        <f>+AA560</f>
        <v>150000000</v>
      </c>
      <c r="AB561" s="48">
        <f t="shared" si="685"/>
        <v>37866667</v>
      </c>
      <c r="AC561" s="48">
        <f t="shared" si="685"/>
        <v>7600000</v>
      </c>
      <c r="AD561" s="48">
        <f t="shared" si="686"/>
        <v>0</v>
      </c>
      <c r="AE561" s="48"/>
      <c r="AF561" s="48"/>
      <c r="AG561" s="48">
        <f>+AG560</f>
        <v>0</v>
      </c>
      <c r="AH561" s="48"/>
      <c r="AI561" s="48"/>
      <c r="AJ561" s="48">
        <f t="shared" si="687"/>
        <v>0</v>
      </c>
      <c r="AK561" s="48"/>
      <c r="AL561" s="48"/>
      <c r="AM561" s="48">
        <f t="shared" si="688"/>
        <v>0</v>
      </c>
      <c r="AN561" s="48"/>
      <c r="AO561" s="48"/>
      <c r="AP561" s="48">
        <f t="shared" si="689"/>
        <v>0</v>
      </c>
      <c r="AQ561" s="48">
        <f t="shared" si="689"/>
        <v>0</v>
      </c>
      <c r="AR561" s="48">
        <f t="shared" si="689"/>
        <v>0</v>
      </c>
      <c r="AS561" s="48">
        <f>+AS560</f>
        <v>0</v>
      </c>
      <c r="AT561" s="48"/>
      <c r="AU561" s="48"/>
      <c r="AV561" s="48">
        <f t="shared" si="690"/>
        <v>0</v>
      </c>
      <c r="AW561" s="48">
        <f t="shared" si="690"/>
        <v>0</v>
      </c>
      <c r="AX561" s="48">
        <f t="shared" si="690"/>
        <v>0</v>
      </c>
      <c r="AY561" s="48">
        <f t="shared" si="691"/>
        <v>150000000</v>
      </c>
      <c r="AZ561" s="48">
        <f t="shared" si="691"/>
        <v>37866667</v>
      </c>
      <c r="BA561" s="48">
        <f t="shared" si="691"/>
        <v>7600000</v>
      </c>
    </row>
    <row r="562" spans="1:53" ht="15" x14ac:dyDescent="0.25">
      <c r="A562" s="49"/>
      <c r="B562" s="49"/>
      <c r="C562" s="50"/>
      <c r="D562" s="49"/>
      <c r="E562" s="49"/>
      <c r="F562" s="50"/>
      <c r="G562" s="49"/>
      <c r="H562" s="50"/>
      <c r="I562" s="687"/>
      <c r="J562" s="49"/>
      <c r="K562" s="50"/>
      <c r="L562" s="52">
        <f>+L561+L555+L531+L517+L449</f>
        <v>0</v>
      </c>
      <c r="M562" s="52"/>
      <c r="N562" s="52"/>
      <c r="O562" s="52">
        <f t="shared" ref="O562:U562" si="693">+O561+O555+O531+O517+O449</f>
        <v>0</v>
      </c>
      <c r="P562" s="52"/>
      <c r="Q562" s="52"/>
      <c r="R562" s="52">
        <f t="shared" si="693"/>
        <v>0</v>
      </c>
      <c r="S562" s="52"/>
      <c r="T562" s="52"/>
      <c r="U562" s="52">
        <f t="shared" si="693"/>
        <v>0</v>
      </c>
      <c r="V562" s="52"/>
      <c r="W562" s="52"/>
      <c r="X562" s="52">
        <f t="shared" ref="X562:Z562" si="694">+X561+X555+X531+X517+X449</f>
        <v>13895526704</v>
      </c>
      <c r="Y562" s="52">
        <f t="shared" si="694"/>
        <v>339293660</v>
      </c>
      <c r="Z562" s="52">
        <f t="shared" si="694"/>
        <v>52192000</v>
      </c>
      <c r="AA562" s="52">
        <f t="shared" ref="AA562:AC562" si="695">+AA561+AA555+AA531+AA517+AA449</f>
        <v>25910485823</v>
      </c>
      <c r="AB562" s="52">
        <f t="shared" si="695"/>
        <v>70044229</v>
      </c>
      <c r="AC562" s="52">
        <f t="shared" si="695"/>
        <v>32577562</v>
      </c>
      <c r="AD562" s="52">
        <f t="shared" ref="AD562" si="696">+AD561+AD555+AD531+AD517+AD449</f>
        <v>0</v>
      </c>
      <c r="AE562" s="52"/>
      <c r="AF562" s="52"/>
      <c r="AG562" s="52">
        <f t="shared" ref="AG562:AV562" si="697">+AG555+AG531+AG517+AG449</f>
        <v>0</v>
      </c>
      <c r="AH562" s="52"/>
      <c r="AI562" s="52"/>
      <c r="AJ562" s="52">
        <f t="shared" si="697"/>
        <v>0</v>
      </c>
      <c r="AK562" s="52"/>
      <c r="AL562" s="52"/>
      <c r="AM562" s="52">
        <f t="shared" si="697"/>
        <v>0</v>
      </c>
      <c r="AN562" s="52"/>
      <c r="AO562" s="52"/>
      <c r="AP562" s="52">
        <f>+AP561+AP555+AP531+AP517+AP449</f>
        <v>3683050740</v>
      </c>
      <c r="AQ562" s="52">
        <f t="shared" ref="AQ562:AR562" si="698">+AQ561+AQ555+AQ531+AQ517+AQ449</f>
        <v>1009501153</v>
      </c>
      <c r="AR562" s="52">
        <f t="shared" si="698"/>
        <v>108974821</v>
      </c>
      <c r="AS562" s="52">
        <f t="shared" si="697"/>
        <v>0</v>
      </c>
      <c r="AT562" s="52"/>
      <c r="AU562" s="52"/>
      <c r="AV562" s="52">
        <f t="shared" si="697"/>
        <v>1969046767</v>
      </c>
      <c r="AW562" s="52">
        <f t="shared" ref="AW562:AX562" si="699">+AW555+AW531+AW517+AW449</f>
        <v>0</v>
      </c>
      <c r="AX562" s="52">
        <f t="shared" si="699"/>
        <v>0</v>
      </c>
      <c r="AY562" s="52">
        <f>+AY561+AY555+AY531+AY517+AY449</f>
        <v>45458110034</v>
      </c>
      <c r="AZ562" s="52">
        <f t="shared" ref="AZ562:BA562" si="700">+AZ561+AZ555+AZ531+AZ517+AZ449</f>
        <v>1418839042</v>
      </c>
      <c r="BA562" s="52">
        <f t="shared" si="700"/>
        <v>193744383</v>
      </c>
    </row>
    <row r="563" spans="1:53" ht="15" x14ac:dyDescent="0.25">
      <c r="A563" s="53"/>
      <c r="B563" s="53"/>
      <c r="C563" s="54"/>
      <c r="D563" s="53"/>
      <c r="E563" s="53"/>
      <c r="F563" s="54"/>
      <c r="G563" s="53"/>
      <c r="H563" s="54"/>
      <c r="I563" s="688"/>
      <c r="J563" s="53"/>
      <c r="K563" s="54"/>
      <c r="L563" s="56"/>
      <c r="M563" s="56"/>
      <c r="N563" s="56"/>
      <c r="O563" s="56"/>
      <c r="P563" s="56"/>
      <c r="Q563" s="56"/>
      <c r="R563" s="56"/>
      <c r="S563" s="56"/>
      <c r="T563" s="56"/>
      <c r="U563" s="56"/>
      <c r="V563" s="56"/>
      <c r="W563" s="56"/>
      <c r="X563" s="56">
        <f t="shared" ref="X563:AG563" si="701">X562</f>
        <v>13895526704</v>
      </c>
      <c r="Y563" s="56">
        <f t="shared" ref="Y563:Z563" si="702">Y562</f>
        <v>339293660</v>
      </c>
      <c r="Z563" s="56">
        <f t="shared" si="702"/>
        <v>52192000</v>
      </c>
      <c r="AA563" s="56">
        <f t="shared" si="701"/>
        <v>25910485823</v>
      </c>
      <c r="AB563" s="56">
        <f t="shared" ref="AB563:AC563" si="703">AB562</f>
        <v>70044229</v>
      </c>
      <c r="AC563" s="56">
        <f t="shared" si="703"/>
        <v>32577562</v>
      </c>
      <c r="AD563" s="56">
        <f t="shared" si="701"/>
        <v>0</v>
      </c>
      <c r="AE563" s="56"/>
      <c r="AF563" s="56"/>
      <c r="AG563" s="56">
        <f t="shared" si="701"/>
        <v>0</v>
      </c>
      <c r="AH563" s="56"/>
      <c r="AI563" s="56"/>
      <c r="AJ563" s="56"/>
      <c r="AK563" s="56"/>
      <c r="AL563" s="56"/>
      <c r="AM563" s="56"/>
      <c r="AN563" s="56"/>
      <c r="AO563" s="56"/>
      <c r="AP563" s="176">
        <f t="shared" ref="AP563:AY563" si="704">AP562</f>
        <v>3683050740</v>
      </c>
      <c r="AQ563" s="176">
        <f t="shared" ref="AQ563:AR563" si="705">AQ562</f>
        <v>1009501153</v>
      </c>
      <c r="AR563" s="176">
        <f t="shared" si="705"/>
        <v>108974821</v>
      </c>
      <c r="AS563" s="176">
        <f t="shared" si="704"/>
        <v>0</v>
      </c>
      <c r="AT563" s="176"/>
      <c r="AU563" s="176"/>
      <c r="AV563" s="176">
        <f t="shared" si="704"/>
        <v>1969046767</v>
      </c>
      <c r="AW563" s="176">
        <f t="shared" ref="AW563:AX563" si="706">AW562</f>
        <v>0</v>
      </c>
      <c r="AX563" s="176">
        <f t="shared" si="706"/>
        <v>0</v>
      </c>
      <c r="AY563" s="176">
        <f t="shared" si="704"/>
        <v>45458110034</v>
      </c>
      <c r="AZ563" s="176">
        <f t="shared" ref="AZ563:BA563" si="707">AZ562</f>
        <v>1418839042</v>
      </c>
      <c r="BA563" s="176">
        <f t="shared" si="707"/>
        <v>193744383</v>
      </c>
    </row>
    <row r="564" spans="1:53" ht="25.5" customHeight="1" x14ac:dyDescent="0.25">
      <c r="A564" s="140"/>
      <c r="B564" s="141"/>
      <c r="C564" s="142"/>
      <c r="D564" s="141"/>
      <c r="E564" s="141"/>
      <c r="F564" s="142"/>
      <c r="G564" s="141"/>
      <c r="H564" s="142"/>
      <c r="I564" s="697"/>
      <c r="J564" s="141"/>
      <c r="K564" s="142"/>
      <c r="L564" s="145"/>
      <c r="M564" s="145"/>
      <c r="N564" s="145"/>
      <c r="O564" s="145"/>
      <c r="P564" s="145"/>
      <c r="Q564" s="145"/>
      <c r="R564" s="145"/>
      <c r="S564" s="145"/>
      <c r="T564" s="145"/>
      <c r="U564" s="145"/>
      <c r="V564" s="145"/>
      <c r="W564" s="145"/>
      <c r="X564" s="145"/>
      <c r="Y564" s="145"/>
      <c r="Z564" s="145"/>
      <c r="AA564" s="145"/>
      <c r="AB564" s="145"/>
      <c r="AC564" s="145"/>
      <c r="AD564" s="145"/>
      <c r="AE564" s="145"/>
      <c r="AF564" s="145"/>
      <c r="AG564" s="145"/>
      <c r="AH564" s="145"/>
      <c r="AI564" s="145"/>
      <c r="AJ564" s="145"/>
      <c r="AK564" s="145"/>
      <c r="AL564" s="145"/>
      <c r="AM564" s="145"/>
      <c r="AN564" s="145"/>
      <c r="AO564" s="145"/>
      <c r="AP564" s="248"/>
      <c r="AQ564" s="248"/>
      <c r="AR564" s="248"/>
      <c r="AS564" s="248"/>
      <c r="AT564" s="248"/>
      <c r="AU564" s="248"/>
      <c r="AV564" s="248"/>
      <c r="AW564" s="248"/>
      <c r="AX564" s="248"/>
      <c r="AY564" s="488"/>
      <c r="AZ564" s="488"/>
      <c r="BA564" s="488"/>
    </row>
    <row r="565" spans="1:53" s="12" customFormat="1" ht="25.5" customHeight="1" x14ac:dyDescent="0.25">
      <c r="A565" s="489" t="s">
        <v>393</v>
      </c>
      <c r="B565" s="490"/>
      <c r="C565" s="491"/>
      <c r="D565" s="490"/>
      <c r="E565" s="490"/>
      <c r="F565" s="491"/>
      <c r="G565" s="490"/>
      <c r="H565" s="490"/>
      <c r="I565" s="714"/>
      <c r="J565" s="490"/>
      <c r="K565" s="491"/>
      <c r="L565" s="492"/>
      <c r="M565" s="492"/>
      <c r="N565" s="492"/>
      <c r="O565" s="492"/>
      <c r="P565" s="492"/>
      <c r="Q565" s="492"/>
      <c r="R565" s="492"/>
      <c r="S565" s="492"/>
      <c r="T565" s="492"/>
      <c r="U565" s="493"/>
      <c r="V565" s="493"/>
      <c r="W565" s="493"/>
      <c r="X565" s="493"/>
      <c r="Y565" s="493"/>
      <c r="Z565" s="493"/>
      <c r="AA565" s="493"/>
      <c r="AB565" s="493"/>
      <c r="AC565" s="493"/>
      <c r="AD565" s="493"/>
      <c r="AE565" s="493"/>
      <c r="AF565" s="493"/>
      <c r="AG565" s="493"/>
      <c r="AH565" s="493"/>
      <c r="AI565" s="493"/>
      <c r="AJ565" s="493"/>
      <c r="AK565" s="493"/>
      <c r="AL565" s="493"/>
      <c r="AM565" s="493"/>
      <c r="AN565" s="493"/>
      <c r="AO565" s="493"/>
      <c r="AP565" s="493"/>
      <c r="AQ565" s="493"/>
      <c r="AR565" s="493"/>
      <c r="AS565" s="493"/>
      <c r="AT565" s="493"/>
      <c r="AU565" s="493"/>
      <c r="AV565" s="493"/>
      <c r="AW565" s="493"/>
      <c r="AX565" s="493"/>
      <c r="AY565" s="493"/>
      <c r="AZ565" s="493"/>
      <c r="BA565" s="493"/>
    </row>
    <row r="566" spans="1:53" s="12" customFormat="1" ht="20.25" customHeight="1" x14ac:dyDescent="0.25">
      <c r="A566" s="4">
        <v>5</v>
      </c>
      <c r="B566" s="13" t="s">
        <v>461</v>
      </c>
      <c r="C566" s="14"/>
      <c r="D566" s="13"/>
      <c r="E566" s="13"/>
      <c r="F566" s="14"/>
      <c r="G566" s="13"/>
      <c r="H566" s="13"/>
      <c r="I566" s="681"/>
      <c r="J566" s="13"/>
      <c r="K566" s="13"/>
      <c r="L566" s="13"/>
      <c r="M566" s="13"/>
      <c r="N566" s="13"/>
      <c r="O566" s="13"/>
      <c r="P566" s="13"/>
      <c r="Q566" s="13"/>
      <c r="R566" s="13"/>
      <c r="S566" s="13"/>
      <c r="T566" s="13"/>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row>
    <row r="567" spans="1:53" s="12" customFormat="1" ht="21.75" customHeight="1" x14ac:dyDescent="0.25">
      <c r="A567" s="16"/>
      <c r="B567" s="633">
        <v>28</v>
      </c>
      <c r="C567" s="634" t="s">
        <v>462</v>
      </c>
      <c r="D567" s="17"/>
      <c r="E567" s="17"/>
      <c r="F567" s="640"/>
      <c r="G567" s="17"/>
      <c r="H567" s="17"/>
      <c r="I567" s="682"/>
      <c r="J567" s="17"/>
      <c r="K567" s="17"/>
      <c r="L567" s="17"/>
      <c r="M567" s="17"/>
      <c r="N567" s="17"/>
      <c r="O567" s="17"/>
      <c r="P567" s="17"/>
      <c r="Q567" s="17"/>
      <c r="R567" s="17"/>
      <c r="S567" s="17"/>
      <c r="T567" s="17"/>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row>
    <row r="568" spans="1:53" s="12" customFormat="1" ht="22.5" customHeight="1" x14ac:dyDescent="0.25">
      <c r="A568" s="19"/>
      <c r="B568" s="20"/>
      <c r="C568" s="21"/>
      <c r="D568" s="22"/>
      <c r="E568" s="76">
        <v>89</v>
      </c>
      <c r="F568" s="77" t="s">
        <v>463</v>
      </c>
      <c r="G568" s="77"/>
      <c r="H568" s="77"/>
      <c r="I568" s="222"/>
      <c r="J568" s="77"/>
      <c r="K568" s="77"/>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81"/>
      <c r="AZ568" s="81"/>
      <c r="BA568" s="81"/>
    </row>
    <row r="569" spans="1:53" ht="72" customHeight="1" x14ac:dyDescent="0.25">
      <c r="A569" s="340"/>
      <c r="B569" s="178"/>
      <c r="C569" s="204" t="s">
        <v>692</v>
      </c>
      <c r="D569" s="641" t="s">
        <v>693</v>
      </c>
      <c r="E569" s="194"/>
      <c r="F569" s="648">
        <v>282</v>
      </c>
      <c r="G569" s="641" t="s">
        <v>394</v>
      </c>
      <c r="H569" s="252" t="s">
        <v>465</v>
      </c>
      <c r="I569" s="715" t="s">
        <v>395</v>
      </c>
      <c r="J569" s="641" t="s">
        <v>396</v>
      </c>
      <c r="K569" s="182" t="s">
        <v>477</v>
      </c>
      <c r="L569" s="183"/>
      <c r="M569" s="183"/>
      <c r="N569" s="183"/>
      <c r="O569" s="183"/>
      <c r="P569" s="186"/>
      <c r="Q569" s="186"/>
      <c r="R569" s="186"/>
      <c r="S569" s="186"/>
      <c r="T569" s="186"/>
      <c r="U569" s="494"/>
      <c r="V569" s="494"/>
      <c r="W569" s="494"/>
      <c r="X569" s="494"/>
      <c r="Y569" s="494"/>
      <c r="Z569" s="494"/>
      <c r="AA569" s="494"/>
      <c r="AB569" s="494"/>
      <c r="AC569" s="494"/>
      <c r="AD569" s="494"/>
      <c r="AE569" s="494"/>
      <c r="AF569" s="494"/>
      <c r="AG569" s="494"/>
      <c r="AH569" s="494"/>
      <c r="AI569" s="494"/>
      <c r="AJ569" s="494"/>
      <c r="AK569" s="494"/>
      <c r="AL569" s="494"/>
      <c r="AM569" s="494"/>
      <c r="AN569" s="494"/>
      <c r="AO569" s="494"/>
      <c r="AP569" s="494">
        <f>60000000+20000000</f>
        <v>80000000</v>
      </c>
      <c r="AQ569" s="494"/>
      <c r="AR569" s="494"/>
      <c r="AS569" s="494"/>
      <c r="AT569" s="494"/>
      <c r="AU569" s="494"/>
      <c r="AV569" s="494"/>
      <c r="AW569" s="494"/>
      <c r="AX569" s="494"/>
      <c r="AY569" s="37">
        <f t="shared" ref="AY569:AY571" si="708">+L569+O569+R569+U569+X569+AA569+AD569+AG569+AJ569+AM569+AP569+AS569+AV569</f>
        <v>80000000</v>
      </c>
      <c r="AZ569" s="37">
        <f t="shared" ref="AZ569:AZ571" si="709">+M569+P569+S569+V569+Y569+AB569+AE569+AH569+AK569+AN569+AQ569+AT569+AW569</f>
        <v>0</v>
      </c>
      <c r="BA569" s="37">
        <f t="shared" ref="BA569:BA571" si="710">+N569+Q569+T569+W569+Z569+AC569+AF569+AI569+AL569+AO569+AR569+AU569+AX569</f>
        <v>0</v>
      </c>
    </row>
    <row r="570" spans="1:53" ht="64.5" customHeight="1" x14ac:dyDescent="0.25">
      <c r="A570" s="340"/>
      <c r="B570" s="178"/>
      <c r="C570" s="204">
        <v>38</v>
      </c>
      <c r="D570" s="641" t="s">
        <v>464</v>
      </c>
      <c r="E570" s="180"/>
      <c r="F570" s="182">
        <v>284</v>
      </c>
      <c r="G570" s="641" t="s">
        <v>397</v>
      </c>
      <c r="H570" s="252" t="s">
        <v>465</v>
      </c>
      <c r="I570" s="699" t="s">
        <v>398</v>
      </c>
      <c r="J570" s="641" t="s">
        <v>399</v>
      </c>
      <c r="K570" s="182" t="s">
        <v>466</v>
      </c>
      <c r="L570" s="183"/>
      <c r="M570" s="183"/>
      <c r="N570" s="183"/>
      <c r="O570" s="183"/>
      <c r="P570" s="186"/>
      <c r="Q570" s="186"/>
      <c r="R570" s="186"/>
      <c r="S570" s="186"/>
      <c r="T570" s="186"/>
      <c r="U570" s="494"/>
      <c r="V570" s="494"/>
      <c r="W570" s="494"/>
      <c r="X570" s="494"/>
      <c r="Y570" s="494"/>
      <c r="Z570" s="494"/>
      <c r="AA570" s="494"/>
      <c r="AB570" s="494"/>
      <c r="AC570" s="494"/>
      <c r="AD570" s="494"/>
      <c r="AE570" s="494"/>
      <c r="AF570" s="494"/>
      <c r="AG570" s="494"/>
      <c r="AH570" s="494"/>
      <c r="AI570" s="494"/>
      <c r="AJ570" s="494"/>
      <c r="AK570" s="494"/>
      <c r="AL570" s="494"/>
      <c r="AM570" s="494"/>
      <c r="AN570" s="494"/>
      <c r="AO570" s="494"/>
      <c r="AP570" s="494">
        <f>171885000-101885000+200000000-170000000</f>
        <v>100000000</v>
      </c>
      <c r="AQ570" s="494"/>
      <c r="AR570" s="494"/>
      <c r="AS570" s="494"/>
      <c r="AT570" s="494"/>
      <c r="AU570" s="494"/>
      <c r="AV570" s="494"/>
      <c r="AW570" s="494"/>
      <c r="AX570" s="494"/>
      <c r="AY570" s="37">
        <f t="shared" si="708"/>
        <v>100000000</v>
      </c>
      <c r="AZ570" s="37">
        <f t="shared" si="709"/>
        <v>0</v>
      </c>
      <c r="BA570" s="37">
        <f t="shared" si="710"/>
        <v>0</v>
      </c>
    </row>
    <row r="571" spans="1:53" ht="70.5" customHeight="1" x14ac:dyDescent="0.25">
      <c r="A571" s="340"/>
      <c r="B571" s="178"/>
      <c r="C571" s="204">
        <v>38</v>
      </c>
      <c r="D571" s="641" t="s">
        <v>464</v>
      </c>
      <c r="E571" s="180"/>
      <c r="F571" s="182">
        <v>285</v>
      </c>
      <c r="G571" s="641" t="s">
        <v>400</v>
      </c>
      <c r="H571" s="252" t="s">
        <v>465</v>
      </c>
      <c r="I571" s="699" t="s">
        <v>401</v>
      </c>
      <c r="J571" s="641" t="s">
        <v>402</v>
      </c>
      <c r="K571" s="182" t="s">
        <v>466</v>
      </c>
      <c r="L571" s="183"/>
      <c r="M571" s="183"/>
      <c r="N571" s="183"/>
      <c r="O571" s="183"/>
      <c r="P571" s="186"/>
      <c r="Q571" s="186"/>
      <c r="R571" s="186"/>
      <c r="S571" s="186"/>
      <c r="T571" s="186"/>
      <c r="U571" s="494"/>
      <c r="V571" s="494"/>
      <c r="W571" s="494"/>
      <c r="X571" s="494"/>
      <c r="Y571" s="494"/>
      <c r="Z571" s="494"/>
      <c r="AA571" s="494"/>
      <c r="AB571" s="494"/>
      <c r="AC571" s="494"/>
      <c r="AD571" s="494"/>
      <c r="AE571" s="494"/>
      <c r="AF571" s="494"/>
      <c r="AG571" s="494"/>
      <c r="AH571" s="494"/>
      <c r="AI571" s="494"/>
      <c r="AJ571" s="494"/>
      <c r="AK571" s="494"/>
      <c r="AL571" s="494"/>
      <c r="AM571" s="494"/>
      <c r="AN571" s="494"/>
      <c r="AO571" s="494"/>
      <c r="AP571" s="494">
        <f>60000000+81885000+170000000</f>
        <v>311885000</v>
      </c>
      <c r="AQ571" s="494">
        <v>146689132</v>
      </c>
      <c r="AR571" s="494">
        <v>57500000</v>
      </c>
      <c r="AS571" s="494"/>
      <c r="AT571" s="494"/>
      <c r="AU571" s="494"/>
      <c r="AV571" s="494"/>
      <c r="AW571" s="494"/>
      <c r="AX571" s="494"/>
      <c r="AY571" s="37">
        <f t="shared" si="708"/>
        <v>311885000</v>
      </c>
      <c r="AZ571" s="37">
        <f t="shared" si="709"/>
        <v>146689132</v>
      </c>
      <c r="BA571" s="37">
        <f t="shared" si="710"/>
        <v>57500000</v>
      </c>
    </row>
    <row r="572" spans="1:53" ht="15" x14ac:dyDescent="0.25">
      <c r="A572" s="19"/>
      <c r="B572" s="636"/>
      <c r="C572" s="28"/>
      <c r="D572" s="29"/>
      <c r="E572" s="40"/>
      <c r="F572" s="41"/>
      <c r="G572" s="40"/>
      <c r="H572" s="41"/>
      <c r="I572" s="685"/>
      <c r="J572" s="40"/>
      <c r="K572" s="41"/>
      <c r="L572" s="43">
        <f t="shared" ref="L572:AY572" si="711">SUM(L569:L571)</f>
        <v>0</v>
      </c>
      <c r="M572" s="43">
        <f t="shared" ref="M572:N572" si="712">SUM(M569:M571)</f>
        <v>0</v>
      </c>
      <c r="N572" s="43">
        <f t="shared" si="712"/>
        <v>0</v>
      </c>
      <c r="O572" s="43">
        <f t="shared" si="711"/>
        <v>0</v>
      </c>
      <c r="P572" s="43">
        <f t="shared" ref="P572:Q572" si="713">SUM(P569:P571)</f>
        <v>0</v>
      </c>
      <c r="Q572" s="43">
        <f t="shared" si="713"/>
        <v>0</v>
      </c>
      <c r="R572" s="43">
        <f t="shared" si="711"/>
        <v>0</v>
      </c>
      <c r="S572" s="43">
        <f t="shared" ref="S572:T572" si="714">SUM(S569:S571)</f>
        <v>0</v>
      </c>
      <c r="T572" s="43">
        <f t="shared" si="714"/>
        <v>0</v>
      </c>
      <c r="U572" s="43">
        <f t="shared" si="711"/>
        <v>0</v>
      </c>
      <c r="V572" s="43">
        <f t="shared" ref="V572:W572" si="715">SUM(V569:V571)</f>
        <v>0</v>
      </c>
      <c r="W572" s="43">
        <f t="shared" si="715"/>
        <v>0</v>
      </c>
      <c r="X572" s="43">
        <f t="shared" si="711"/>
        <v>0</v>
      </c>
      <c r="Y572" s="43">
        <f t="shared" ref="Y572:Z572" si="716">SUM(Y569:Y571)</f>
        <v>0</v>
      </c>
      <c r="Z572" s="43">
        <f t="shared" si="716"/>
        <v>0</v>
      </c>
      <c r="AA572" s="43">
        <f t="shared" si="711"/>
        <v>0</v>
      </c>
      <c r="AB572" s="43">
        <f t="shared" ref="AB572:AC572" si="717">SUM(AB569:AB571)</f>
        <v>0</v>
      </c>
      <c r="AC572" s="43">
        <f t="shared" si="717"/>
        <v>0</v>
      </c>
      <c r="AD572" s="43">
        <f t="shared" si="711"/>
        <v>0</v>
      </c>
      <c r="AE572" s="43">
        <f t="shared" ref="AE572:AF572" si="718">SUM(AE569:AE571)</f>
        <v>0</v>
      </c>
      <c r="AF572" s="43">
        <f t="shared" si="718"/>
        <v>0</v>
      </c>
      <c r="AG572" s="43">
        <f t="shared" si="711"/>
        <v>0</v>
      </c>
      <c r="AH572" s="43">
        <f t="shared" ref="AH572:AI572" si="719">SUM(AH569:AH571)</f>
        <v>0</v>
      </c>
      <c r="AI572" s="43">
        <f t="shared" si="719"/>
        <v>0</v>
      </c>
      <c r="AJ572" s="43">
        <f t="shared" si="711"/>
        <v>0</v>
      </c>
      <c r="AK572" s="43">
        <f t="shared" ref="AK572:AL572" si="720">SUM(AK569:AK571)</f>
        <v>0</v>
      </c>
      <c r="AL572" s="43">
        <f t="shared" si="720"/>
        <v>0</v>
      </c>
      <c r="AM572" s="43">
        <f t="shared" si="711"/>
        <v>0</v>
      </c>
      <c r="AN572" s="43">
        <f t="shared" ref="AN572:AO572" si="721">SUM(AN569:AN571)</f>
        <v>0</v>
      </c>
      <c r="AO572" s="43">
        <f t="shared" si="721"/>
        <v>0</v>
      </c>
      <c r="AP572" s="43">
        <f t="shared" si="711"/>
        <v>491885000</v>
      </c>
      <c r="AQ572" s="43">
        <f t="shared" ref="AQ572:AR572" si="722">SUM(AQ569:AQ571)</f>
        <v>146689132</v>
      </c>
      <c r="AR572" s="43">
        <f t="shared" si="722"/>
        <v>57500000</v>
      </c>
      <c r="AS572" s="43">
        <f t="shared" si="711"/>
        <v>0</v>
      </c>
      <c r="AT572" s="43">
        <f t="shared" ref="AT572:AU572" si="723">SUM(AT569:AT571)</f>
        <v>0</v>
      </c>
      <c r="AU572" s="43">
        <f t="shared" si="723"/>
        <v>0</v>
      </c>
      <c r="AV572" s="43">
        <f t="shared" si="711"/>
        <v>0</v>
      </c>
      <c r="AW572" s="43">
        <f t="shared" ref="AW572:AX572" si="724">SUM(AW569:AW571)</f>
        <v>0</v>
      </c>
      <c r="AX572" s="43">
        <f t="shared" si="724"/>
        <v>0</v>
      </c>
      <c r="AY572" s="43">
        <f t="shared" si="711"/>
        <v>491885000</v>
      </c>
      <c r="AZ572" s="43">
        <f t="shared" ref="AZ572:BA572" si="725">SUM(AZ569:AZ571)</f>
        <v>146689132</v>
      </c>
      <c r="BA572" s="43">
        <f t="shared" si="725"/>
        <v>57500000</v>
      </c>
    </row>
    <row r="573" spans="1:53" ht="15" x14ac:dyDescent="0.25">
      <c r="A573" s="39"/>
      <c r="B573" s="388"/>
      <c r="C573" s="46"/>
      <c r="D573" s="45"/>
      <c r="E573" s="45"/>
      <c r="F573" s="46"/>
      <c r="G573" s="45"/>
      <c r="H573" s="46"/>
      <c r="I573" s="686"/>
      <c r="J573" s="45"/>
      <c r="K573" s="46"/>
      <c r="L573" s="48">
        <f t="shared" ref="L573:AY575" si="726">L572</f>
        <v>0</v>
      </c>
      <c r="M573" s="48">
        <f t="shared" ref="M573:N573" si="727">M572</f>
        <v>0</v>
      </c>
      <c r="N573" s="48">
        <f t="shared" si="727"/>
        <v>0</v>
      </c>
      <c r="O573" s="48">
        <f t="shared" si="726"/>
        <v>0</v>
      </c>
      <c r="P573" s="48">
        <f t="shared" ref="P573:Q573" si="728">P572</f>
        <v>0</v>
      </c>
      <c r="Q573" s="48">
        <f t="shared" si="728"/>
        <v>0</v>
      </c>
      <c r="R573" s="48">
        <f t="shared" si="726"/>
        <v>0</v>
      </c>
      <c r="S573" s="48">
        <f t="shared" ref="S573:T573" si="729">S572</f>
        <v>0</v>
      </c>
      <c r="T573" s="48">
        <f t="shared" si="729"/>
        <v>0</v>
      </c>
      <c r="U573" s="48">
        <f t="shared" si="726"/>
        <v>0</v>
      </c>
      <c r="V573" s="48">
        <f t="shared" ref="V573:W573" si="730">V572</f>
        <v>0</v>
      </c>
      <c r="W573" s="48">
        <f t="shared" si="730"/>
        <v>0</v>
      </c>
      <c r="X573" s="48">
        <f t="shared" si="726"/>
        <v>0</v>
      </c>
      <c r="Y573" s="48">
        <f t="shared" ref="Y573:Z573" si="731">Y572</f>
        <v>0</v>
      </c>
      <c r="Z573" s="48">
        <f t="shared" si="731"/>
        <v>0</v>
      </c>
      <c r="AA573" s="48">
        <f t="shared" si="726"/>
        <v>0</v>
      </c>
      <c r="AB573" s="48">
        <f t="shared" ref="AB573:AC573" si="732">AB572</f>
        <v>0</v>
      </c>
      <c r="AC573" s="48">
        <f t="shared" si="732"/>
        <v>0</v>
      </c>
      <c r="AD573" s="48">
        <f t="shared" si="726"/>
        <v>0</v>
      </c>
      <c r="AE573" s="48">
        <f t="shared" ref="AE573:AF573" si="733">AE572</f>
        <v>0</v>
      </c>
      <c r="AF573" s="48">
        <f t="shared" si="733"/>
        <v>0</v>
      </c>
      <c r="AG573" s="48">
        <f t="shared" si="726"/>
        <v>0</v>
      </c>
      <c r="AH573" s="48">
        <f t="shared" ref="AH573:AI573" si="734">AH572</f>
        <v>0</v>
      </c>
      <c r="AI573" s="48">
        <f t="shared" si="734"/>
        <v>0</v>
      </c>
      <c r="AJ573" s="48">
        <f t="shared" si="726"/>
        <v>0</v>
      </c>
      <c r="AK573" s="48">
        <f t="shared" ref="AK573:AL573" si="735">AK572</f>
        <v>0</v>
      </c>
      <c r="AL573" s="48">
        <f t="shared" si="735"/>
        <v>0</v>
      </c>
      <c r="AM573" s="48">
        <f t="shared" si="726"/>
        <v>0</v>
      </c>
      <c r="AN573" s="48">
        <f t="shared" ref="AN573:AO573" si="736">AN572</f>
        <v>0</v>
      </c>
      <c r="AO573" s="48">
        <f t="shared" si="736"/>
        <v>0</v>
      </c>
      <c r="AP573" s="48">
        <f t="shared" si="726"/>
        <v>491885000</v>
      </c>
      <c r="AQ573" s="48">
        <f t="shared" ref="AQ573:AR573" si="737">AQ572</f>
        <v>146689132</v>
      </c>
      <c r="AR573" s="48">
        <f t="shared" si="737"/>
        <v>57500000</v>
      </c>
      <c r="AS573" s="48">
        <f t="shared" si="726"/>
        <v>0</v>
      </c>
      <c r="AT573" s="48">
        <f t="shared" ref="AT573:AU573" si="738">AT572</f>
        <v>0</v>
      </c>
      <c r="AU573" s="48">
        <f t="shared" si="738"/>
        <v>0</v>
      </c>
      <c r="AV573" s="48">
        <f t="shared" si="726"/>
        <v>0</v>
      </c>
      <c r="AW573" s="48">
        <f t="shared" ref="AW573:AX573" si="739">AW572</f>
        <v>0</v>
      </c>
      <c r="AX573" s="48">
        <f t="shared" si="739"/>
        <v>0</v>
      </c>
      <c r="AY573" s="48">
        <f t="shared" si="726"/>
        <v>491885000</v>
      </c>
      <c r="AZ573" s="48">
        <f t="shared" ref="AZ573:BA573" si="740">AZ572</f>
        <v>146689132</v>
      </c>
      <c r="BA573" s="48">
        <f t="shared" si="740"/>
        <v>57500000</v>
      </c>
    </row>
    <row r="574" spans="1:53" ht="15" x14ac:dyDescent="0.25">
      <c r="A574" s="49"/>
      <c r="B574" s="49"/>
      <c r="C574" s="50"/>
      <c r="D574" s="49"/>
      <c r="E574" s="49"/>
      <c r="F574" s="50"/>
      <c r="G574" s="49"/>
      <c r="H574" s="50"/>
      <c r="I574" s="687"/>
      <c r="J574" s="49"/>
      <c r="K574" s="50"/>
      <c r="L574" s="52">
        <f t="shared" si="726"/>
        <v>0</v>
      </c>
      <c r="M574" s="52">
        <f t="shared" ref="M574:N574" si="741">M573</f>
        <v>0</v>
      </c>
      <c r="N574" s="52">
        <f t="shared" si="741"/>
        <v>0</v>
      </c>
      <c r="O574" s="52">
        <f t="shared" si="726"/>
        <v>0</v>
      </c>
      <c r="P574" s="52">
        <f t="shared" ref="P574:Q574" si="742">P573</f>
        <v>0</v>
      </c>
      <c r="Q574" s="52">
        <f t="shared" si="742"/>
        <v>0</v>
      </c>
      <c r="R574" s="52">
        <f t="shared" si="726"/>
        <v>0</v>
      </c>
      <c r="S574" s="52">
        <f t="shared" ref="S574:T574" si="743">S573</f>
        <v>0</v>
      </c>
      <c r="T574" s="52">
        <f t="shared" si="743"/>
        <v>0</v>
      </c>
      <c r="U574" s="52">
        <f t="shared" si="726"/>
        <v>0</v>
      </c>
      <c r="V574" s="52">
        <f t="shared" ref="V574:W574" si="744">V573</f>
        <v>0</v>
      </c>
      <c r="W574" s="52">
        <f t="shared" si="744"/>
        <v>0</v>
      </c>
      <c r="X574" s="52">
        <f t="shared" si="726"/>
        <v>0</v>
      </c>
      <c r="Y574" s="52">
        <f t="shared" ref="Y574:Z574" si="745">Y573</f>
        <v>0</v>
      </c>
      <c r="Z574" s="52">
        <f t="shared" si="745"/>
        <v>0</v>
      </c>
      <c r="AA574" s="52">
        <f t="shared" si="726"/>
        <v>0</v>
      </c>
      <c r="AB574" s="52">
        <f t="shared" ref="AB574:AC574" si="746">AB573</f>
        <v>0</v>
      </c>
      <c r="AC574" s="52">
        <f t="shared" si="746"/>
        <v>0</v>
      </c>
      <c r="AD574" s="52">
        <f t="shared" si="726"/>
        <v>0</v>
      </c>
      <c r="AE574" s="52">
        <f t="shared" ref="AE574:AF574" si="747">AE573</f>
        <v>0</v>
      </c>
      <c r="AF574" s="52">
        <f t="shared" si="747"/>
        <v>0</v>
      </c>
      <c r="AG574" s="52">
        <f t="shared" si="726"/>
        <v>0</v>
      </c>
      <c r="AH574" s="52">
        <f t="shared" ref="AH574:AI574" si="748">AH573</f>
        <v>0</v>
      </c>
      <c r="AI574" s="52">
        <f t="shared" si="748"/>
        <v>0</v>
      </c>
      <c r="AJ574" s="52">
        <f t="shared" si="726"/>
        <v>0</v>
      </c>
      <c r="AK574" s="52">
        <f t="shared" ref="AK574:AL574" si="749">AK573</f>
        <v>0</v>
      </c>
      <c r="AL574" s="52">
        <f t="shared" si="749"/>
        <v>0</v>
      </c>
      <c r="AM574" s="52">
        <f t="shared" si="726"/>
        <v>0</v>
      </c>
      <c r="AN574" s="52">
        <f t="shared" ref="AN574:AO574" si="750">AN573</f>
        <v>0</v>
      </c>
      <c r="AO574" s="52">
        <f t="shared" si="750"/>
        <v>0</v>
      </c>
      <c r="AP574" s="52">
        <f t="shared" si="726"/>
        <v>491885000</v>
      </c>
      <c r="AQ574" s="52">
        <f t="shared" ref="AQ574:AR574" si="751">AQ573</f>
        <v>146689132</v>
      </c>
      <c r="AR574" s="52">
        <f t="shared" si="751"/>
        <v>57500000</v>
      </c>
      <c r="AS574" s="52">
        <f t="shared" si="726"/>
        <v>0</v>
      </c>
      <c r="AT574" s="52">
        <f t="shared" ref="AT574:AU574" si="752">AT573</f>
        <v>0</v>
      </c>
      <c r="AU574" s="52">
        <f t="shared" si="752"/>
        <v>0</v>
      </c>
      <c r="AV574" s="52">
        <f t="shared" si="726"/>
        <v>0</v>
      </c>
      <c r="AW574" s="52">
        <f t="shared" ref="AW574:AX574" si="753">AW573</f>
        <v>0</v>
      </c>
      <c r="AX574" s="52">
        <f t="shared" si="753"/>
        <v>0</v>
      </c>
      <c r="AY574" s="52">
        <f t="shared" si="726"/>
        <v>491885000</v>
      </c>
      <c r="AZ574" s="52">
        <f t="shared" ref="AZ574:BA574" si="754">AZ573</f>
        <v>146689132</v>
      </c>
      <c r="BA574" s="52">
        <f t="shared" si="754"/>
        <v>57500000</v>
      </c>
    </row>
    <row r="575" spans="1:53" ht="23.25" customHeight="1" x14ac:dyDescent="0.25">
      <c r="A575" s="53"/>
      <c r="B575" s="53"/>
      <c r="C575" s="54"/>
      <c r="D575" s="53"/>
      <c r="E575" s="53"/>
      <c r="F575" s="54"/>
      <c r="G575" s="53"/>
      <c r="H575" s="54"/>
      <c r="I575" s="688"/>
      <c r="J575" s="53"/>
      <c r="K575" s="54"/>
      <c r="L575" s="56">
        <f t="shared" si="726"/>
        <v>0</v>
      </c>
      <c r="M575" s="56">
        <f t="shared" ref="M575:N575" si="755">M574</f>
        <v>0</v>
      </c>
      <c r="N575" s="56">
        <f t="shared" si="755"/>
        <v>0</v>
      </c>
      <c r="O575" s="56">
        <f t="shared" si="726"/>
        <v>0</v>
      </c>
      <c r="P575" s="56">
        <f t="shared" ref="P575:Q575" si="756">P574</f>
        <v>0</v>
      </c>
      <c r="Q575" s="56">
        <f t="shared" si="756"/>
        <v>0</v>
      </c>
      <c r="R575" s="56">
        <f t="shared" si="726"/>
        <v>0</v>
      </c>
      <c r="S575" s="56">
        <f t="shared" ref="S575:T575" si="757">S574</f>
        <v>0</v>
      </c>
      <c r="T575" s="56">
        <f t="shared" si="757"/>
        <v>0</v>
      </c>
      <c r="U575" s="56">
        <f t="shared" si="726"/>
        <v>0</v>
      </c>
      <c r="V575" s="56">
        <f t="shared" ref="V575:W575" si="758">V574</f>
        <v>0</v>
      </c>
      <c r="W575" s="56">
        <f t="shared" si="758"/>
        <v>0</v>
      </c>
      <c r="X575" s="56">
        <f t="shared" si="726"/>
        <v>0</v>
      </c>
      <c r="Y575" s="56">
        <f t="shared" ref="Y575:Z575" si="759">Y574</f>
        <v>0</v>
      </c>
      <c r="Z575" s="56">
        <f t="shared" si="759"/>
        <v>0</v>
      </c>
      <c r="AA575" s="56">
        <f t="shared" si="726"/>
        <v>0</v>
      </c>
      <c r="AB575" s="56">
        <f t="shared" ref="AB575:AC575" si="760">AB574</f>
        <v>0</v>
      </c>
      <c r="AC575" s="56">
        <f t="shared" si="760"/>
        <v>0</v>
      </c>
      <c r="AD575" s="56">
        <f t="shared" si="726"/>
        <v>0</v>
      </c>
      <c r="AE575" s="56">
        <f t="shared" ref="AE575:AF575" si="761">AE574</f>
        <v>0</v>
      </c>
      <c r="AF575" s="56">
        <f t="shared" si="761"/>
        <v>0</v>
      </c>
      <c r="AG575" s="56">
        <f t="shared" si="726"/>
        <v>0</v>
      </c>
      <c r="AH575" s="56">
        <f t="shared" ref="AH575:AI575" si="762">AH574</f>
        <v>0</v>
      </c>
      <c r="AI575" s="56">
        <f t="shared" si="762"/>
        <v>0</v>
      </c>
      <c r="AJ575" s="56">
        <f t="shared" si="726"/>
        <v>0</v>
      </c>
      <c r="AK575" s="56">
        <f t="shared" ref="AK575:AL575" si="763">AK574</f>
        <v>0</v>
      </c>
      <c r="AL575" s="56">
        <f t="shared" si="763"/>
        <v>0</v>
      </c>
      <c r="AM575" s="56">
        <f t="shared" si="726"/>
        <v>0</v>
      </c>
      <c r="AN575" s="56">
        <f t="shared" ref="AN575:AO575" si="764">AN574</f>
        <v>0</v>
      </c>
      <c r="AO575" s="56">
        <f t="shared" si="764"/>
        <v>0</v>
      </c>
      <c r="AP575" s="56">
        <f t="shared" si="726"/>
        <v>491885000</v>
      </c>
      <c r="AQ575" s="56">
        <f t="shared" ref="AQ575:AR575" si="765">AQ574</f>
        <v>146689132</v>
      </c>
      <c r="AR575" s="56">
        <f t="shared" si="765"/>
        <v>57500000</v>
      </c>
      <c r="AS575" s="56">
        <f t="shared" si="726"/>
        <v>0</v>
      </c>
      <c r="AT575" s="56">
        <f t="shared" ref="AT575:AU575" si="766">AT574</f>
        <v>0</v>
      </c>
      <c r="AU575" s="56">
        <f t="shared" si="766"/>
        <v>0</v>
      </c>
      <c r="AV575" s="56">
        <f t="shared" si="726"/>
        <v>0</v>
      </c>
      <c r="AW575" s="56">
        <f t="shared" ref="AW575:AX575" si="767">AW574</f>
        <v>0</v>
      </c>
      <c r="AX575" s="56">
        <f t="shared" si="767"/>
        <v>0</v>
      </c>
      <c r="AY575" s="56">
        <f t="shared" si="726"/>
        <v>491885000</v>
      </c>
      <c r="AZ575" s="56">
        <f t="shared" ref="AZ575:BA575" si="768">AZ574</f>
        <v>146689132</v>
      </c>
      <c r="BA575" s="56">
        <f t="shared" si="768"/>
        <v>57500000</v>
      </c>
    </row>
    <row r="576" spans="1:53" ht="35.25" customHeight="1" x14ac:dyDescent="0.25">
      <c r="A576" s="880" t="s">
        <v>694</v>
      </c>
      <c r="B576" s="881"/>
      <c r="C576" s="881"/>
      <c r="D576" s="881"/>
      <c r="E576" s="495"/>
      <c r="F576" s="495"/>
      <c r="G576" s="495"/>
      <c r="H576" s="495"/>
      <c r="I576" s="495"/>
      <c r="J576" s="496"/>
      <c r="K576" s="497"/>
      <c r="L576" s="498">
        <f t="shared" ref="L576:AY576" si="769">+L575+L563+L439+L377+L302+L286+L228+L196+L164+L98+L68+L55+L17</f>
        <v>10783768365</v>
      </c>
      <c r="M576" s="498">
        <f t="shared" ref="M576:N576" si="770">+M575+M563+M439+M377+M302+M286+M228+M196+M164+M98+M68+M55+M17</f>
        <v>280180333</v>
      </c>
      <c r="N576" s="498">
        <f t="shared" si="770"/>
        <v>91155000</v>
      </c>
      <c r="O576" s="498">
        <f t="shared" si="769"/>
        <v>1760000000</v>
      </c>
      <c r="P576" s="498">
        <f t="shared" ref="P576:Q576" si="771">+P575+P563+P439+P377+P302+P286+P228+P196+P164+P98+P68+P55+P17</f>
        <v>18600000</v>
      </c>
      <c r="Q576" s="498">
        <f t="shared" si="771"/>
        <v>0</v>
      </c>
      <c r="R576" s="498">
        <f t="shared" si="769"/>
        <v>1158478847</v>
      </c>
      <c r="S576" s="498">
        <f t="shared" ref="S576:T576" si="772">+S575+S563+S439+S377+S302+S286+S228+S196+S164+S98+S68+S55+S17</f>
        <v>0</v>
      </c>
      <c r="T576" s="498">
        <f t="shared" si="772"/>
        <v>0</v>
      </c>
      <c r="U576" s="498">
        <f t="shared" si="769"/>
        <v>2599543380</v>
      </c>
      <c r="V576" s="498">
        <f t="shared" ref="V576:W576" si="773">+V575+V563+V439+V377+V302+V286+V228+V196+V164+V98+V68+V55+V17</f>
        <v>1277519050</v>
      </c>
      <c r="W576" s="498">
        <f t="shared" si="773"/>
        <v>0</v>
      </c>
      <c r="X576" s="498">
        <f t="shared" si="769"/>
        <v>13895526704</v>
      </c>
      <c r="Y576" s="498">
        <f t="shared" ref="Y576:Z576" si="774">+Y575+Y563+Y439+Y377+Y302+Y286+Y228+Y196+Y164+Y98+Y68+Y55+Y17</f>
        <v>339293660</v>
      </c>
      <c r="Z576" s="498">
        <f t="shared" si="774"/>
        <v>52192000</v>
      </c>
      <c r="AA576" s="498">
        <f t="shared" si="769"/>
        <v>25910485823</v>
      </c>
      <c r="AB576" s="498">
        <f t="shared" ref="AB576:AC576" si="775">+AB575+AB563+AB439+AB377+AB302+AB286+AB228+AB196+AB164+AB98+AB68+AB55+AB17</f>
        <v>70044229</v>
      </c>
      <c r="AC576" s="498">
        <f t="shared" si="775"/>
        <v>32577562</v>
      </c>
      <c r="AD576" s="498">
        <f t="shared" si="769"/>
        <v>134430000000</v>
      </c>
      <c r="AE576" s="498">
        <f t="shared" ref="AE576:AF576" si="776">+AE575+AE563+AE439+AE377+AE302+AE286+AE228+AE196+AE164+AE98+AE68+AE55+AE17</f>
        <v>28801978099</v>
      </c>
      <c r="AF576" s="498">
        <f t="shared" si="776"/>
        <v>27288668841</v>
      </c>
      <c r="AG576" s="498">
        <f t="shared" si="769"/>
        <v>23500000000</v>
      </c>
      <c r="AH576" s="498">
        <f t="shared" ref="AH576:AI576" si="777">+AH575+AH563+AH439+AH377+AH302+AH286+AH228+AH196+AH164+AH98+AH68+AH55+AH17</f>
        <v>6742325972</v>
      </c>
      <c r="AI576" s="498">
        <f t="shared" si="777"/>
        <v>6742325972</v>
      </c>
      <c r="AJ576" s="498">
        <f t="shared" si="769"/>
        <v>12150000000</v>
      </c>
      <c r="AK576" s="498">
        <f t="shared" ref="AK576:AL576" si="778">+AK575+AK563+AK439+AK377+AK302+AK286+AK228+AK196+AK164+AK98+AK68+AK55+AK17</f>
        <v>0</v>
      </c>
      <c r="AL576" s="498">
        <f t="shared" si="778"/>
        <v>0</v>
      </c>
      <c r="AM576" s="498">
        <f t="shared" si="769"/>
        <v>2673200000</v>
      </c>
      <c r="AN576" s="498">
        <f t="shared" ref="AN576:AO576" si="779">+AN575+AN563+AN439+AN377+AN302+AN286+AN228+AN196+AN164+AN98+AN68+AN55+AN17</f>
        <v>0</v>
      </c>
      <c r="AO576" s="498">
        <f t="shared" si="779"/>
        <v>0</v>
      </c>
      <c r="AP576" s="498">
        <f t="shared" si="769"/>
        <v>21161567494</v>
      </c>
      <c r="AQ576" s="498">
        <f t="shared" ref="AQ576:AR576" si="780">+AQ575+AQ563+AQ439+AQ377+AQ302+AQ286+AQ228+AQ196+AQ164+AQ98+AQ68+AQ55+AQ17</f>
        <v>5145704034</v>
      </c>
      <c r="AR576" s="498">
        <f t="shared" si="780"/>
        <v>1407626381</v>
      </c>
      <c r="AS576" s="498">
        <f t="shared" si="769"/>
        <v>764080000</v>
      </c>
      <c r="AT576" s="498">
        <f t="shared" ref="AT576:AU576" si="781">+AT575+AT563+AT439+AT377+AT302+AT286+AT228+AT196+AT164+AT98+AT68+AT55+AT17</f>
        <v>232026666</v>
      </c>
      <c r="AU576" s="498">
        <f t="shared" si="781"/>
        <v>73400000</v>
      </c>
      <c r="AV576" s="498">
        <f t="shared" si="769"/>
        <v>2219046767</v>
      </c>
      <c r="AW576" s="498">
        <f t="shared" ref="AW576:AX576" si="782">+AW575+AW563+AW439+AW377+AW302+AW286+AW228+AW196+AW164+AW98+AW68+AW55+AW17</f>
        <v>0</v>
      </c>
      <c r="AX576" s="498">
        <f t="shared" si="782"/>
        <v>0</v>
      </c>
      <c r="AY576" s="498">
        <f t="shared" si="769"/>
        <v>253005697380</v>
      </c>
      <c r="AZ576" s="498">
        <f t="shared" ref="AZ576:BA576" si="783">+AZ575+AZ563+AZ439+AZ377+AZ302+AZ286+AZ228+AZ196+AZ164+AZ98+AZ68+AZ55+AZ17</f>
        <v>53132804421</v>
      </c>
      <c r="BA576" s="498">
        <f t="shared" si="783"/>
        <v>35765929089</v>
      </c>
    </row>
    <row r="577" spans="1:53" ht="24.75" customHeight="1" x14ac:dyDescent="0.25">
      <c r="A577" s="868"/>
      <c r="B577" s="869"/>
      <c r="C577" s="869"/>
      <c r="D577" s="869"/>
      <c r="E577" s="869"/>
      <c r="F577" s="869"/>
      <c r="G577" s="200"/>
      <c r="H577" s="499"/>
      <c r="I577" s="499"/>
      <c r="J577" s="499"/>
      <c r="K577" s="142"/>
      <c r="L577" s="500"/>
      <c r="M577" s="500"/>
      <c r="N577" s="500"/>
      <c r="O577" s="500"/>
      <c r="P577" s="500"/>
      <c r="Q577" s="500"/>
      <c r="R577" s="500"/>
      <c r="S577" s="500"/>
      <c r="T577" s="500"/>
      <c r="U577" s="500"/>
      <c r="V577" s="500"/>
      <c r="W577" s="500"/>
      <c r="X577" s="500"/>
      <c r="Y577" s="500"/>
      <c r="Z577" s="500"/>
      <c r="AA577" s="500"/>
      <c r="AB577" s="500"/>
      <c r="AC577" s="500"/>
      <c r="AD577" s="500"/>
      <c r="AE577" s="500"/>
      <c r="AF577" s="500"/>
      <c r="AG577" s="500" t="s">
        <v>500</v>
      </c>
      <c r="AH577" s="500"/>
      <c r="AI577" s="500"/>
      <c r="AJ577" s="500" t="s">
        <v>500</v>
      </c>
      <c r="AK577" s="500"/>
      <c r="AL577" s="500"/>
      <c r="AM577" s="500"/>
      <c r="AN577" s="500"/>
      <c r="AO577" s="500"/>
      <c r="AP577" s="501"/>
      <c r="AQ577" s="501"/>
      <c r="AR577" s="501"/>
      <c r="AS577" s="500"/>
      <c r="AT577" s="500"/>
      <c r="AU577" s="500"/>
      <c r="AV577" s="500"/>
      <c r="AW577" s="500"/>
      <c r="AX577" s="500"/>
      <c r="AY577" s="502"/>
      <c r="AZ577" s="502"/>
      <c r="BA577" s="502"/>
    </row>
    <row r="578" spans="1:53" ht="30.75" customHeight="1" x14ac:dyDescent="0.25">
      <c r="A578" s="503" t="s">
        <v>403</v>
      </c>
      <c r="B578" s="504"/>
      <c r="C578" s="505"/>
      <c r="D578" s="504"/>
      <c r="E578" s="504"/>
      <c r="F578" s="505"/>
      <c r="G578" s="504"/>
      <c r="H578" s="504"/>
      <c r="I578" s="680"/>
      <c r="J578" s="504"/>
      <c r="K578" s="50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6"/>
      <c r="AQ578" s="66"/>
      <c r="AR578" s="66"/>
      <c r="AS578" s="65"/>
      <c r="AT578" s="65"/>
      <c r="AU578" s="65"/>
      <c r="AV578" s="65"/>
      <c r="AW578" s="65"/>
      <c r="AX578" s="65"/>
      <c r="AY578" s="436"/>
      <c r="AZ578" s="436"/>
      <c r="BA578" s="436"/>
    </row>
    <row r="579" spans="1:53" ht="21" customHeight="1" x14ac:dyDescent="0.25">
      <c r="A579" s="4">
        <v>3</v>
      </c>
      <c r="B579" s="13" t="s">
        <v>570</v>
      </c>
      <c r="C579" s="14"/>
      <c r="D579" s="13"/>
      <c r="E579" s="13"/>
      <c r="F579" s="14"/>
      <c r="G579" s="13"/>
      <c r="H579" s="13"/>
      <c r="I579" s="681"/>
      <c r="J579" s="13"/>
      <c r="K579" s="13"/>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9"/>
      <c r="AQ579" s="69"/>
      <c r="AR579" s="69"/>
      <c r="AS579" s="68"/>
      <c r="AT579" s="68"/>
      <c r="AU579" s="68"/>
      <c r="AV579" s="68"/>
      <c r="AW579" s="68"/>
      <c r="AX579" s="68"/>
      <c r="AY579" s="437"/>
      <c r="AZ579" s="437"/>
      <c r="BA579" s="437"/>
    </row>
    <row r="580" spans="1:53" ht="19.5" customHeight="1" x14ac:dyDescent="0.25">
      <c r="A580" s="71"/>
      <c r="B580" s="154">
        <v>20</v>
      </c>
      <c r="C580" s="634" t="s">
        <v>695</v>
      </c>
      <c r="D580" s="17"/>
      <c r="E580" s="17"/>
      <c r="F580" s="640"/>
      <c r="G580" s="17"/>
      <c r="H580" s="17"/>
      <c r="I580" s="682"/>
      <c r="J580" s="17"/>
      <c r="K580" s="17"/>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c r="AO580" s="72"/>
      <c r="AP580" s="73"/>
      <c r="AQ580" s="73"/>
      <c r="AR580" s="73"/>
      <c r="AS580" s="72"/>
      <c r="AT580" s="72"/>
      <c r="AU580" s="72"/>
      <c r="AV580" s="72"/>
      <c r="AW580" s="72"/>
      <c r="AX580" s="72"/>
      <c r="AY580" s="438"/>
      <c r="AZ580" s="438"/>
      <c r="BA580" s="438"/>
    </row>
    <row r="581" spans="1:53" ht="22.5" customHeight="1" x14ac:dyDescent="0.25">
      <c r="A581" s="27"/>
      <c r="B581" s="71"/>
      <c r="C581" s="651"/>
      <c r="D581" s="58"/>
      <c r="E581" s="76">
        <v>68</v>
      </c>
      <c r="F581" s="78" t="s">
        <v>696</v>
      </c>
      <c r="G581" s="78"/>
      <c r="H581" s="78"/>
      <c r="I581" s="222"/>
      <c r="J581" s="78"/>
      <c r="K581" s="78"/>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80"/>
      <c r="AQ581" s="80"/>
      <c r="AR581" s="80"/>
      <c r="AS581" s="79"/>
      <c r="AT581" s="79"/>
      <c r="AU581" s="79"/>
      <c r="AV581" s="79"/>
      <c r="AW581" s="79"/>
      <c r="AX581" s="79"/>
      <c r="AY581" s="440"/>
      <c r="AZ581" s="440"/>
      <c r="BA581" s="440"/>
    </row>
    <row r="582" spans="1:53" ht="75" customHeight="1" x14ac:dyDescent="0.25">
      <c r="A582" s="27"/>
      <c r="B582" s="27"/>
      <c r="C582" s="31">
        <v>36</v>
      </c>
      <c r="D582" s="460" t="s">
        <v>697</v>
      </c>
      <c r="E582" s="100"/>
      <c r="F582" s="28">
        <v>202</v>
      </c>
      <c r="G582" s="29" t="s">
        <v>404</v>
      </c>
      <c r="H582" s="278" t="s">
        <v>698</v>
      </c>
      <c r="I582" s="870" t="s">
        <v>405</v>
      </c>
      <c r="J582" s="872" t="s">
        <v>406</v>
      </c>
      <c r="K582" s="278" t="s">
        <v>466</v>
      </c>
      <c r="L582" s="33"/>
      <c r="M582" s="33"/>
      <c r="N582" s="33"/>
      <c r="O582" s="33"/>
      <c r="P582" s="33"/>
      <c r="Q582" s="33"/>
      <c r="R582" s="33"/>
      <c r="S582" s="33"/>
      <c r="T582" s="33"/>
      <c r="U582" s="33"/>
      <c r="V582" s="110"/>
      <c r="W582" s="110"/>
      <c r="X582" s="110"/>
      <c r="Y582" s="110"/>
      <c r="Z582" s="110"/>
      <c r="AA582" s="110"/>
      <c r="AB582" s="110"/>
      <c r="AC582" s="110"/>
      <c r="AD582" s="33"/>
      <c r="AE582" s="33"/>
      <c r="AF582" s="33"/>
      <c r="AG582" s="33"/>
      <c r="AH582" s="33"/>
      <c r="AI582" s="33"/>
      <c r="AJ582" s="33"/>
      <c r="AK582" s="33"/>
      <c r="AL582" s="33"/>
      <c r="AM582" s="33"/>
      <c r="AN582" s="36"/>
      <c r="AO582" s="36"/>
      <c r="AP582" s="506">
        <v>381345071</v>
      </c>
      <c r="AQ582" s="506">
        <v>66650000</v>
      </c>
      <c r="AR582" s="506">
        <v>18700000</v>
      </c>
      <c r="AS582" s="506">
        <f>169249781+78571457+17795229</f>
        <v>265616467</v>
      </c>
      <c r="AT582" s="506">
        <v>44015591</v>
      </c>
      <c r="AU582" s="506">
        <v>6750000</v>
      </c>
      <c r="AV582" s="36"/>
      <c r="AW582" s="36"/>
      <c r="AX582" s="36"/>
      <c r="AY582" s="37">
        <f t="shared" ref="AY582:AY583" si="784">+L582+O582+R582+U582+X582+AA582+AD582+AG582+AJ582+AM582+AP582+AS582+AV582</f>
        <v>646961538</v>
      </c>
      <c r="AZ582" s="37">
        <f t="shared" ref="AZ582:AZ583" si="785">+M582+P582+S582+V582+Y582+AB582+AE582+AH582+AK582+AN582+AQ582+AT582+AW582</f>
        <v>110665591</v>
      </c>
      <c r="BA582" s="37">
        <f t="shared" ref="BA582:BA583" si="786">+N582+Q582+T582+W582+Z582+AC582+AF582+AI582+AL582+AO582+AR582+AU582+AX582</f>
        <v>25450000</v>
      </c>
    </row>
    <row r="583" spans="1:53" ht="42.75" x14ac:dyDescent="0.25">
      <c r="A583" s="27"/>
      <c r="B583" s="27"/>
      <c r="C583" s="31">
        <v>36</v>
      </c>
      <c r="D583" s="460" t="s">
        <v>697</v>
      </c>
      <c r="E583" s="30"/>
      <c r="F583" s="28">
        <v>203</v>
      </c>
      <c r="G583" s="29" t="s">
        <v>407</v>
      </c>
      <c r="H583" s="278" t="s">
        <v>698</v>
      </c>
      <c r="I583" s="871"/>
      <c r="J583" s="873"/>
      <c r="K583" s="278" t="s">
        <v>466</v>
      </c>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7">
        <v>190771080</v>
      </c>
      <c r="AQ583" s="304">
        <v>13820000</v>
      </c>
      <c r="AR583" s="304">
        <v>13820000</v>
      </c>
      <c r="AS583" s="36"/>
      <c r="AT583" s="36"/>
      <c r="AU583" s="36"/>
      <c r="AV583" s="36"/>
      <c r="AW583" s="36"/>
      <c r="AX583" s="36"/>
      <c r="AY583" s="37">
        <f t="shared" si="784"/>
        <v>190771080</v>
      </c>
      <c r="AZ583" s="37">
        <f t="shared" si="785"/>
        <v>13820000</v>
      </c>
      <c r="BA583" s="37">
        <f t="shared" si="786"/>
        <v>13820000</v>
      </c>
    </row>
    <row r="584" spans="1:53" ht="15" x14ac:dyDescent="0.25">
      <c r="A584" s="27"/>
      <c r="B584" s="27"/>
      <c r="C584" s="28"/>
      <c r="D584" s="29"/>
      <c r="E584" s="40"/>
      <c r="F584" s="41"/>
      <c r="G584" s="40"/>
      <c r="H584" s="42"/>
      <c r="I584" s="707"/>
      <c r="J584" s="258"/>
      <c r="K584" s="371">
        <f t="shared" ref="K584" si="787">SUM(K582:K583)</f>
        <v>0</v>
      </c>
      <c r="L584" s="507"/>
      <c r="M584" s="507"/>
      <c r="N584" s="507"/>
      <c r="O584" s="507"/>
      <c r="P584" s="507"/>
      <c r="Q584" s="507"/>
      <c r="R584" s="507"/>
      <c r="S584" s="507"/>
      <c r="T584" s="507"/>
      <c r="U584" s="507"/>
      <c r="V584" s="507"/>
      <c r="W584" s="507"/>
      <c r="X584" s="507"/>
      <c r="Y584" s="507"/>
      <c r="Z584" s="507"/>
      <c r="AA584" s="507"/>
      <c r="AB584" s="507"/>
      <c r="AC584" s="507"/>
      <c r="AD584" s="507"/>
      <c r="AE584" s="507"/>
      <c r="AF584" s="507"/>
      <c r="AG584" s="507"/>
      <c r="AH584" s="507"/>
      <c r="AI584" s="507"/>
      <c r="AJ584" s="507"/>
      <c r="AK584" s="507"/>
      <c r="AL584" s="507"/>
      <c r="AM584" s="507"/>
      <c r="AN584" s="507"/>
      <c r="AO584" s="507"/>
      <c r="AP584" s="173">
        <f t="shared" ref="AP584:AU584" si="788">SUM(AP582:AP583)</f>
        <v>572116151</v>
      </c>
      <c r="AQ584" s="173">
        <f t="shared" si="788"/>
        <v>80470000</v>
      </c>
      <c r="AR584" s="173">
        <f t="shared" si="788"/>
        <v>32520000</v>
      </c>
      <c r="AS584" s="173">
        <f t="shared" si="788"/>
        <v>265616467</v>
      </c>
      <c r="AT584" s="173">
        <f t="shared" si="788"/>
        <v>44015591</v>
      </c>
      <c r="AU584" s="173">
        <f t="shared" si="788"/>
        <v>6750000</v>
      </c>
      <c r="AV584" s="173"/>
      <c r="AW584" s="173"/>
      <c r="AX584" s="173"/>
      <c r="AY584" s="173">
        <f t="shared" ref="AY584:BA584" si="789">SUM(AY582:AY583)</f>
        <v>837732618</v>
      </c>
      <c r="AZ584" s="173">
        <f t="shared" si="789"/>
        <v>124485591</v>
      </c>
      <c r="BA584" s="173">
        <f t="shared" si="789"/>
        <v>39270000</v>
      </c>
    </row>
    <row r="585" spans="1:53" ht="15" x14ac:dyDescent="0.25">
      <c r="A585" s="27"/>
      <c r="B585" s="27"/>
      <c r="C585" s="651"/>
      <c r="D585" s="58"/>
      <c r="E585" s="58"/>
      <c r="F585" s="651"/>
      <c r="G585" s="58"/>
      <c r="H585" s="109"/>
      <c r="I585" s="700"/>
      <c r="J585" s="108"/>
      <c r="K585" s="651"/>
      <c r="L585" s="60"/>
      <c r="M585" s="60"/>
      <c r="N585" s="60"/>
      <c r="O585" s="60"/>
      <c r="P585" s="60"/>
      <c r="Q585" s="60"/>
      <c r="R585" s="60"/>
      <c r="S585" s="60"/>
      <c r="T585" s="60"/>
      <c r="U585" s="60"/>
      <c r="V585" s="60"/>
      <c r="W585" s="60"/>
      <c r="X585" s="60"/>
      <c r="Y585" s="60"/>
      <c r="Z585" s="60"/>
      <c r="AA585" s="60"/>
      <c r="AB585" s="60"/>
      <c r="AC585" s="60"/>
      <c r="AD585" s="61"/>
      <c r="AE585" s="61"/>
      <c r="AF585" s="61"/>
      <c r="AG585" s="61"/>
      <c r="AH585" s="61"/>
      <c r="AI585" s="61"/>
      <c r="AJ585" s="60"/>
      <c r="AK585" s="60"/>
      <c r="AL585" s="60"/>
      <c r="AM585" s="60"/>
      <c r="AN585" s="60"/>
      <c r="AO585" s="60"/>
      <c r="AP585" s="88"/>
      <c r="AQ585" s="88"/>
      <c r="AR585" s="88"/>
      <c r="AS585" s="60"/>
      <c r="AT585" s="60"/>
      <c r="AU585" s="60"/>
      <c r="AV585" s="61"/>
      <c r="AW585" s="63"/>
      <c r="AX585" s="63"/>
      <c r="AY585" s="64"/>
      <c r="AZ585" s="64"/>
      <c r="BA585" s="64"/>
    </row>
    <row r="586" spans="1:53" ht="15" x14ac:dyDescent="0.25">
      <c r="A586" s="27"/>
      <c r="B586" s="27"/>
      <c r="C586" s="651"/>
      <c r="D586" s="29"/>
      <c r="E586" s="287">
        <v>69</v>
      </c>
      <c r="F586" s="78" t="s">
        <v>699</v>
      </c>
      <c r="G586" s="78"/>
      <c r="H586" s="78"/>
      <c r="I586" s="222"/>
      <c r="J586" s="78"/>
      <c r="K586" s="78"/>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80"/>
      <c r="AQ586" s="80"/>
      <c r="AR586" s="80"/>
      <c r="AS586" s="79"/>
      <c r="AT586" s="79"/>
      <c r="AU586" s="79"/>
      <c r="AV586" s="79"/>
      <c r="AW586" s="79"/>
      <c r="AX586" s="79"/>
      <c r="AY586" s="440"/>
      <c r="AZ586" s="440"/>
      <c r="BA586" s="440"/>
    </row>
    <row r="587" spans="1:53" ht="77.25" customHeight="1" x14ac:dyDescent="0.25">
      <c r="A587" s="27"/>
      <c r="B587" s="27"/>
      <c r="C587" s="28">
        <v>36</v>
      </c>
      <c r="D587" s="293" t="s">
        <v>697</v>
      </c>
      <c r="E587" s="29"/>
      <c r="F587" s="31">
        <v>204</v>
      </c>
      <c r="G587" s="29" t="s">
        <v>408</v>
      </c>
      <c r="H587" s="278" t="s">
        <v>698</v>
      </c>
      <c r="I587" s="716" t="s">
        <v>405</v>
      </c>
      <c r="J587" s="32" t="s">
        <v>406</v>
      </c>
      <c r="K587" s="278" t="s">
        <v>466</v>
      </c>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6"/>
      <c r="AO587" s="36"/>
      <c r="AP587" s="508">
        <v>110200000</v>
      </c>
      <c r="AQ587" s="508">
        <v>3000000</v>
      </c>
      <c r="AR587" s="508">
        <v>600000</v>
      </c>
      <c r="AS587" s="506">
        <v>60000000</v>
      </c>
      <c r="AT587" s="506">
        <v>4000000</v>
      </c>
      <c r="AU587" s="506">
        <v>1500000</v>
      </c>
      <c r="AV587" s="36"/>
      <c r="AW587" s="36"/>
      <c r="AX587" s="36"/>
      <c r="AY587" s="37">
        <f t="shared" ref="AY587" si="790">+L587+O587+R587+U587+X587+AA587+AD587+AG587+AJ587+AM587+AP587+AS587+AV587</f>
        <v>170200000</v>
      </c>
      <c r="AZ587" s="37">
        <f t="shared" ref="AZ587" si="791">+M587+P587+S587+V587+Y587+AB587+AE587+AH587+AK587+AN587+AQ587+AT587+AW587</f>
        <v>7000000</v>
      </c>
      <c r="BA587" s="37">
        <f t="shared" ref="BA587" si="792">+N587+Q587+T587+W587+Z587+AC587+AF587+AI587+AL587+AO587+AR587+AU587+AX587</f>
        <v>2100000</v>
      </c>
    </row>
    <row r="588" spans="1:53" ht="15" x14ac:dyDescent="0.25">
      <c r="A588" s="27"/>
      <c r="B588" s="27"/>
      <c r="C588" s="28"/>
      <c r="D588" s="29"/>
      <c r="E588" s="40"/>
      <c r="F588" s="41"/>
      <c r="G588" s="40"/>
      <c r="H588" s="42"/>
      <c r="I588" s="707"/>
      <c r="J588" s="258"/>
      <c r="K588" s="42"/>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43"/>
      <c r="AM588" s="43"/>
      <c r="AN588" s="43"/>
      <c r="AO588" s="43"/>
      <c r="AP588" s="173">
        <f t="shared" ref="AP588:AU588" si="793">SUM(AP587)</f>
        <v>110200000</v>
      </c>
      <c r="AQ588" s="173">
        <f t="shared" si="793"/>
        <v>3000000</v>
      </c>
      <c r="AR588" s="173">
        <f t="shared" si="793"/>
        <v>600000</v>
      </c>
      <c r="AS588" s="173">
        <f t="shared" si="793"/>
        <v>60000000</v>
      </c>
      <c r="AT588" s="173">
        <f t="shared" si="793"/>
        <v>4000000</v>
      </c>
      <c r="AU588" s="173">
        <f t="shared" si="793"/>
        <v>1500000</v>
      </c>
      <c r="AV588" s="173"/>
      <c r="AW588" s="173"/>
      <c r="AX588" s="173"/>
      <c r="AY588" s="173">
        <f t="shared" ref="AY588:BA588" si="794">SUM(AY587)</f>
        <v>170200000</v>
      </c>
      <c r="AZ588" s="173">
        <f t="shared" si="794"/>
        <v>7000000</v>
      </c>
      <c r="BA588" s="173">
        <f t="shared" si="794"/>
        <v>2100000</v>
      </c>
    </row>
    <row r="589" spans="1:53" ht="15" x14ac:dyDescent="0.25">
      <c r="A589" s="27"/>
      <c r="B589" s="27"/>
      <c r="C589" s="651"/>
      <c r="D589" s="58"/>
      <c r="E589" s="58"/>
      <c r="F589" s="651"/>
      <c r="G589" s="58"/>
      <c r="H589" s="109"/>
      <c r="I589" s="700"/>
      <c r="J589" s="108"/>
      <c r="K589" s="651"/>
      <c r="L589" s="60"/>
      <c r="M589" s="60"/>
      <c r="N589" s="60"/>
      <c r="O589" s="60"/>
      <c r="P589" s="60"/>
      <c r="Q589" s="60"/>
      <c r="R589" s="60"/>
      <c r="S589" s="60"/>
      <c r="T589" s="60"/>
      <c r="U589" s="60"/>
      <c r="V589" s="60"/>
      <c r="W589" s="60"/>
      <c r="X589" s="60"/>
      <c r="Y589" s="60"/>
      <c r="Z589" s="60"/>
      <c r="AA589" s="60"/>
      <c r="AB589" s="60"/>
      <c r="AC589" s="60"/>
      <c r="AD589" s="61"/>
      <c r="AE589" s="61"/>
      <c r="AF589" s="61"/>
      <c r="AG589" s="61"/>
      <c r="AH589" s="61"/>
      <c r="AI589" s="61"/>
      <c r="AJ589" s="60"/>
      <c r="AK589" s="60"/>
      <c r="AL589" s="60"/>
      <c r="AM589" s="60"/>
      <c r="AN589" s="60"/>
      <c r="AO589" s="60"/>
      <c r="AP589" s="88"/>
      <c r="AQ589" s="88"/>
      <c r="AR589" s="88"/>
      <c r="AS589" s="60"/>
      <c r="AT589" s="60"/>
      <c r="AU589" s="60"/>
      <c r="AV589" s="61"/>
      <c r="AW589" s="63"/>
      <c r="AX589" s="63"/>
      <c r="AY589" s="64"/>
      <c r="AZ589" s="64"/>
      <c r="BA589" s="64"/>
    </row>
    <row r="590" spans="1:53" ht="15" x14ac:dyDescent="0.25">
      <c r="A590" s="27"/>
      <c r="B590" s="27"/>
      <c r="C590" s="651"/>
      <c r="D590" s="29"/>
      <c r="E590" s="287">
        <v>70</v>
      </c>
      <c r="F590" s="77" t="s">
        <v>700</v>
      </c>
      <c r="G590" s="77"/>
      <c r="H590" s="77"/>
      <c r="I590" s="222"/>
      <c r="J590" s="77"/>
      <c r="K590" s="77"/>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80"/>
      <c r="AQ590" s="80"/>
      <c r="AR590" s="80"/>
      <c r="AS590" s="79"/>
      <c r="AT590" s="79"/>
      <c r="AU590" s="79"/>
      <c r="AV590" s="79"/>
      <c r="AW590" s="79"/>
      <c r="AX590" s="79"/>
      <c r="AY590" s="440"/>
      <c r="AZ590" s="440"/>
      <c r="BA590" s="440"/>
    </row>
    <row r="591" spans="1:53" ht="54.75" customHeight="1" x14ac:dyDescent="0.25">
      <c r="A591" s="27"/>
      <c r="B591" s="27"/>
      <c r="C591" s="28">
        <v>36</v>
      </c>
      <c r="D591" s="293" t="s">
        <v>697</v>
      </c>
      <c r="E591" s="29"/>
      <c r="F591" s="31">
        <v>205</v>
      </c>
      <c r="G591" s="29" t="s">
        <v>409</v>
      </c>
      <c r="H591" s="278" t="s">
        <v>698</v>
      </c>
      <c r="I591" s="716" t="s">
        <v>410</v>
      </c>
      <c r="J591" s="509" t="s">
        <v>411</v>
      </c>
      <c r="K591" s="278" t="s">
        <v>477</v>
      </c>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6"/>
      <c r="AO591" s="36"/>
      <c r="AP591" s="510">
        <v>80000000</v>
      </c>
      <c r="AQ591" s="510"/>
      <c r="AR591" s="510"/>
      <c r="AS591" s="510">
        <v>120000000</v>
      </c>
      <c r="AT591" s="510">
        <v>7000000</v>
      </c>
      <c r="AU591" s="510">
        <v>1750000</v>
      </c>
      <c r="AV591" s="511"/>
      <c r="AW591" s="511"/>
      <c r="AX591" s="511"/>
      <c r="AY591" s="37">
        <f t="shared" ref="AY591" si="795">+L591+O591+R591+U591+X591+AA591+AD591+AG591+AJ591+AM591+AP591+AS591+AV591</f>
        <v>200000000</v>
      </c>
      <c r="AZ591" s="37">
        <f t="shared" ref="AZ591" si="796">+M591+P591+S591+V591+Y591+AB591+AE591+AH591+AK591+AN591+AQ591+AT591+AW591</f>
        <v>7000000</v>
      </c>
      <c r="BA591" s="37">
        <f t="shared" ref="BA591" si="797">+N591+Q591+T591+W591+Z591+AC591+AF591+AI591+AL591+AO591+AR591+AU591+AX591</f>
        <v>1750000</v>
      </c>
    </row>
    <row r="592" spans="1:53" ht="15" x14ac:dyDescent="0.25">
      <c r="A592" s="27"/>
      <c r="B592" s="27"/>
      <c r="C592" s="28"/>
      <c r="D592" s="29"/>
      <c r="E592" s="40"/>
      <c r="F592" s="41"/>
      <c r="G592" s="40"/>
      <c r="H592" s="42"/>
      <c r="I592" s="707"/>
      <c r="J592" s="258"/>
      <c r="K592" s="42"/>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c r="AM592" s="43"/>
      <c r="AN592" s="43"/>
      <c r="AO592" s="43"/>
      <c r="AP592" s="173">
        <f t="shared" ref="AP592:AU592" si="798">SUM(AP591)</f>
        <v>80000000</v>
      </c>
      <c r="AQ592" s="173">
        <f t="shared" si="798"/>
        <v>0</v>
      </c>
      <c r="AR592" s="173">
        <f t="shared" si="798"/>
        <v>0</v>
      </c>
      <c r="AS592" s="173">
        <f t="shared" si="798"/>
        <v>120000000</v>
      </c>
      <c r="AT592" s="173">
        <f t="shared" si="798"/>
        <v>7000000</v>
      </c>
      <c r="AU592" s="173">
        <f t="shared" si="798"/>
        <v>1750000</v>
      </c>
      <c r="AV592" s="173"/>
      <c r="AW592" s="173"/>
      <c r="AX592" s="173"/>
      <c r="AY592" s="512">
        <f t="shared" ref="AY592:BA592" si="799">SUM(AY591)</f>
        <v>200000000</v>
      </c>
      <c r="AZ592" s="512">
        <f t="shared" si="799"/>
        <v>7000000</v>
      </c>
      <c r="BA592" s="512">
        <f t="shared" si="799"/>
        <v>1750000</v>
      </c>
    </row>
    <row r="593" spans="1:53" ht="15" x14ac:dyDescent="0.25">
      <c r="A593" s="27"/>
      <c r="B593" s="27"/>
      <c r="C593" s="651"/>
      <c r="D593" s="58"/>
      <c r="E593" s="58"/>
      <c r="F593" s="651"/>
      <c r="G593" s="58"/>
      <c r="H593" s="109"/>
      <c r="I593" s="700"/>
      <c r="J593" s="108"/>
      <c r="K593" s="651"/>
      <c r="L593" s="60"/>
      <c r="M593" s="60"/>
      <c r="N593" s="60"/>
      <c r="O593" s="60"/>
      <c r="P593" s="60"/>
      <c r="Q593" s="60"/>
      <c r="R593" s="60"/>
      <c r="S593" s="60"/>
      <c r="T593" s="60"/>
      <c r="U593" s="60"/>
      <c r="V593" s="60"/>
      <c r="W593" s="60"/>
      <c r="X593" s="60"/>
      <c r="Y593" s="60"/>
      <c r="Z593" s="60"/>
      <c r="AA593" s="60"/>
      <c r="AB593" s="60"/>
      <c r="AC593" s="60"/>
      <c r="AD593" s="61"/>
      <c r="AE593" s="61"/>
      <c r="AF593" s="61"/>
      <c r="AG593" s="61"/>
      <c r="AH593" s="61"/>
      <c r="AI593" s="61"/>
      <c r="AJ593" s="60"/>
      <c r="AK593" s="60"/>
      <c r="AL593" s="60"/>
      <c r="AM593" s="60"/>
      <c r="AN593" s="60"/>
      <c r="AO593" s="60"/>
      <c r="AP593" s="88"/>
      <c r="AQ593" s="88"/>
      <c r="AR593" s="88"/>
      <c r="AS593" s="60"/>
      <c r="AT593" s="60"/>
      <c r="AU593" s="60"/>
      <c r="AV593" s="60"/>
      <c r="AW593" s="145"/>
      <c r="AX593" s="145"/>
      <c r="AY593" s="64"/>
      <c r="AZ593" s="64"/>
      <c r="BA593" s="64"/>
    </row>
    <row r="594" spans="1:53" ht="15" x14ac:dyDescent="0.25">
      <c r="A594" s="27"/>
      <c r="B594" s="27"/>
      <c r="C594" s="651"/>
      <c r="D594" s="29"/>
      <c r="E594" s="287">
        <v>71</v>
      </c>
      <c r="F594" s="78" t="s">
        <v>701</v>
      </c>
      <c r="G594" s="78"/>
      <c r="H594" s="78"/>
      <c r="I594" s="222"/>
      <c r="J594" s="78"/>
      <c r="K594" s="78"/>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80"/>
      <c r="AQ594" s="80"/>
      <c r="AR594" s="80"/>
      <c r="AS594" s="79"/>
      <c r="AT594" s="79"/>
      <c r="AU594" s="79"/>
      <c r="AV594" s="79"/>
      <c r="AW594" s="79"/>
      <c r="AX594" s="79"/>
      <c r="AY594" s="440"/>
      <c r="AZ594" s="440"/>
      <c r="BA594" s="440"/>
    </row>
    <row r="595" spans="1:53" ht="57" x14ac:dyDescent="0.25">
      <c r="A595" s="27"/>
      <c r="B595" s="27"/>
      <c r="C595" s="31">
        <v>36</v>
      </c>
      <c r="D595" s="460" t="s">
        <v>697</v>
      </c>
      <c r="E595" s="844"/>
      <c r="F595" s="31">
        <v>206</v>
      </c>
      <c r="G595" s="29" t="s">
        <v>412</v>
      </c>
      <c r="H595" s="278" t="s">
        <v>698</v>
      </c>
      <c r="I595" s="870" t="s">
        <v>413</v>
      </c>
      <c r="J595" s="875" t="s">
        <v>414</v>
      </c>
      <c r="K595" s="278" t="s">
        <v>466</v>
      </c>
      <c r="L595" s="33"/>
      <c r="M595" s="33"/>
      <c r="N595" s="33"/>
      <c r="O595" s="33"/>
      <c r="P595" s="33"/>
      <c r="Q595" s="33"/>
      <c r="R595" s="33"/>
      <c r="S595" s="33"/>
      <c r="T595" s="33"/>
      <c r="U595" s="33"/>
      <c r="V595" s="33"/>
      <c r="W595" s="33"/>
      <c r="X595" s="33"/>
      <c r="Y595" s="33"/>
      <c r="Z595" s="33"/>
      <c r="AA595" s="513"/>
      <c r="AB595" s="513"/>
      <c r="AC595" s="513"/>
      <c r="AD595" s="33"/>
      <c r="AE595" s="33"/>
      <c r="AF595" s="33"/>
      <c r="AG595" s="33"/>
      <c r="AH595" s="33"/>
      <c r="AI595" s="33"/>
      <c r="AJ595" s="33"/>
      <c r="AK595" s="33"/>
      <c r="AL595" s="33"/>
      <c r="AM595" s="33"/>
      <c r="AN595" s="36"/>
      <c r="AO595" s="36"/>
      <c r="AP595" s="510"/>
      <c r="AQ595" s="510"/>
      <c r="AR595" s="510"/>
      <c r="AS595" s="510">
        <v>55000000</v>
      </c>
      <c r="AT595" s="510">
        <v>50620000</v>
      </c>
      <c r="AU595" s="510">
        <v>11010000</v>
      </c>
      <c r="AV595" s="36"/>
      <c r="AW595" s="36"/>
      <c r="AX595" s="36"/>
      <c r="AY595" s="37">
        <f t="shared" ref="AY595:AY597" si="800">+L595+O595+R595+U595+X595+AA595+AD595+AG595+AJ595+AM595+AP595+AS595+AV595</f>
        <v>55000000</v>
      </c>
      <c r="AZ595" s="37">
        <f t="shared" ref="AZ595:AZ597" si="801">+M595+P595+S595+V595+Y595+AB595+AE595+AH595+AK595+AN595+AQ595+AT595+AW595</f>
        <v>50620000</v>
      </c>
      <c r="BA595" s="37">
        <f t="shared" ref="BA595:BA597" si="802">+N595+Q595+T595+W595+Z595+AC595+AF595+AI595+AL595+AO595+AR595+AU595+AX595</f>
        <v>11010000</v>
      </c>
    </row>
    <row r="596" spans="1:53" ht="45.75" customHeight="1" x14ac:dyDescent="0.25">
      <c r="A596" s="27"/>
      <c r="B596" s="27"/>
      <c r="C596" s="31">
        <v>36</v>
      </c>
      <c r="D596" s="460" t="s">
        <v>697</v>
      </c>
      <c r="E596" s="820"/>
      <c r="F596" s="31">
        <v>207</v>
      </c>
      <c r="G596" s="29" t="s">
        <v>415</v>
      </c>
      <c r="H596" s="278" t="s">
        <v>698</v>
      </c>
      <c r="I596" s="874"/>
      <c r="J596" s="876"/>
      <c r="K596" s="278" t="s">
        <v>477</v>
      </c>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6"/>
      <c r="AO596" s="36"/>
      <c r="AP596" s="510"/>
      <c r="AQ596" s="510"/>
      <c r="AR596" s="510"/>
      <c r="AS596" s="510">
        <f>60000000+6552853</f>
        <v>66552853</v>
      </c>
      <c r="AT596" s="510">
        <v>4000000</v>
      </c>
      <c r="AU596" s="510">
        <v>1500000</v>
      </c>
      <c r="AV596" s="36"/>
      <c r="AW596" s="36"/>
      <c r="AX596" s="36"/>
      <c r="AY596" s="37">
        <f t="shared" si="800"/>
        <v>66552853</v>
      </c>
      <c r="AZ596" s="37">
        <f t="shared" si="801"/>
        <v>4000000</v>
      </c>
      <c r="BA596" s="37">
        <f t="shared" si="802"/>
        <v>1500000</v>
      </c>
    </row>
    <row r="597" spans="1:53" ht="48.75" customHeight="1" x14ac:dyDescent="0.25">
      <c r="A597" s="27"/>
      <c r="B597" s="27"/>
      <c r="C597" s="31">
        <v>36</v>
      </c>
      <c r="D597" s="460" t="s">
        <v>697</v>
      </c>
      <c r="E597" s="845"/>
      <c r="F597" s="31">
        <v>208</v>
      </c>
      <c r="G597" s="29" t="s">
        <v>416</v>
      </c>
      <c r="H597" s="278" t="s">
        <v>698</v>
      </c>
      <c r="I597" s="871"/>
      <c r="J597" s="877"/>
      <c r="K597" s="278" t="s">
        <v>466</v>
      </c>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6"/>
      <c r="AO597" s="36"/>
      <c r="AP597" s="510">
        <v>30000000</v>
      </c>
      <c r="AQ597" s="510">
        <v>3480000</v>
      </c>
      <c r="AR597" s="510">
        <v>2120000</v>
      </c>
      <c r="AS597" s="510">
        <v>25000000</v>
      </c>
      <c r="AT597" s="510">
        <v>6000000</v>
      </c>
      <c r="AU597" s="510">
        <v>2500000</v>
      </c>
      <c r="AV597" s="36"/>
      <c r="AW597" s="36"/>
      <c r="AX597" s="36"/>
      <c r="AY597" s="37">
        <f t="shared" si="800"/>
        <v>55000000</v>
      </c>
      <c r="AZ597" s="37">
        <f t="shared" si="801"/>
        <v>9480000</v>
      </c>
      <c r="BA597" s="37">
        <f t="shared" si="802"/>
        <v>4620000</v>
      </c>
    </row>
    <row r="598" spans="1:53" ht="15" x14ac:dyDescent="0.25">
      <c r="A598" s="27"/>
      <c r="B598" s="39"/>
      <c r="C598" s="653"/>
      <c r="D598" s="29"/>
      <c r="E598" s="40"/>
      <c r="F598" s="41"/>
      <c r="G598" s="40"/>
      <c r="H598" s="42"/>
      <c r="I598" s="707"/>
      <c r="J598" s="258"/>
      <c r="K598" s="42"/>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c r="AN598" s="43"/>
      <c r="AO598" s="43"/>
      <c r="AP598" s="173">
        <f t="shared" ref="AP598:AR598" si="803">SUM(AP595:AP597)</f>
        <v>30000000</v>
      </c>
      <c r="AQ598" s="173">
        <f t="shared" si="803"/>
        <v>3480000</v>
      </c>
      <c r="AR598" s="173">
        <f t="shared" si="803"/>
        <v>2120000</v>
      </c>
      <c r="AS598" s="173">
        <f t="shared" ref="AS598:AU598" si="804">SUM(AS595:AS597)</f>
        <v>146552853</v>
      </c>
      <c r="AT598" s="173">
        <f t="shared" si="804"/>
        <v>60620000</v>
      </c>
      <c r="AU598" s="173">
        <f t="shared" si="804"/>
        <v>15010000</v>
      </c>
      <c r="AV598" s="173"/>
      <c r="AW598" s="173"/>
      <c r="AX598" s="173"/>
      <c r="AY598" s="43">
        <f t="shared" ref="AY598:BA598" si="805">SUM(AY595:AY597)</f>
        <v>176552853</v>
      </c>
      <c r="AZ598" s="43">
        <f t="shared" si="805"/>
        <v>64100000</v>
      </c>
      <c r="BA598" s="43">
        <f t="shared" si="805"/>
        <v>17130000</v>
      </c>
    </row>
    <row r="599" spans="1:53" ht="15" x14ac:dyDescent="0.25">
      <c r="A599" s="27"/>
      <c r="B599" s="336"/>
      <c r="C599" s="107"/>
      <c r="D599" s="45"/>
      <c r="E599" s="45"/>
      <c r="F599" s="46"/>
      <c r="G599" s="45"/>
      <c r="H599" s="47"/>
      <c r="I599" s="717"/>
      <c r="J599" s="514"/>
      <c r="K599" s="47"/>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174">
        <f t="shared" ref="AP599:AS599" si="806">AP598+AP592+AP588+AP584</f>
        <v>792316151</v>
      </c>
      <c r="AQ599" s="174">
        <f t="shared" ref="AQ599:AR599" si="807">AQ598+AQ592+AQ588+AQ584</f>
        <v>86950000</v>
      </c>
      <c r="AR599" s="174">
        <f t="shared" si="807"/>
        <v>35240000</v>
      </c>
      <c r="AS599" s="174">
        <f t="shared" si="806"/>
        <v>592169320</v>
      </c>
      <c r="AT599" s="174">
        <f t="shared" ref="AT599:AU599" si="808">AT598+AT592+AT588+AT584</f>
        <v>115635591</v>
      </c>
      <c r="AU599" s="174">
        <f t="shared" si="808"/>
        <v>25010000</v>
      </c>
      <c r="AV599" s="174"/>
      <c r="AW599" s="174"/>
      <c r="AX599" s="174"/>
      <c r="AY599" s="48">
        <f t="shared" ref="AY599:BA599" si="809">AY598+AY592+AY588+AY584</f>
        <v>1384485471</v>
      </c>
      <c r="AZ599" s="48">
        <f t="shared" si="809"/>
        <v>202585591</v>
      </c>
      <c r="BA599" s="48">
        <f t="shared" si="809"/>
        <v>60250000</v>
      </c>
    </row>
    <row r="600" spans="1:53" ht="15" x14ac:dyDescent="0.25">
      <c r="A600" s="27"/>
      <c r="B600" s="58"/>
      <c r="C600" s="651"/>
      <c r="D600" s="58"/>
      <c r="E600" s="58"/>
      <c r="F600" s="651"/>
      <c r="G600" s="58"/>
      <c r="H600" s="109"/>
      <c r="I600" s="700"/>
      <c r="J600" s="108"/>
      <c r="K600" s="651"/>
      <c r="L600" s="60"/>
      <c r="M600" s="60"/>
      <c r="N600" s="60"/>
      <c r="O600" s="60"/>
      <c r="P600" s="60"/>
      <c r="Q600" s="60"/>
      <c r="R600" s="60"/>
      <c r="S600" s="60"/>
      <c r="T600" s="60"/>
      <c r="U600" s="60"/>
      <c r="V600" s="60"/>
      <c r="W600" s="60"/>
      <c r="X600" s="60"/>
      <c r="Y600" s="60"/>
      <c r="Z600" s="60"/>
      <c r="AA600" s="60"/>
      <c r="AB600" s="60"/>
      <c r="AC600" s="60"/>
      <c r="AD600" s="61"/>
      <c r="AE600" s="61"/>
      <c r="AF600" s="61"/>
      <c r="AG600" s="61"/>
      <c r="AH600" s="61"/>
      <c r="AI600" s="61"/>
      <c r="AJ600" s="60"/>
      <c r="AK600" s="60"/>
      <c r="AL600" s="60"/>
      <c r="AM600" s="60"/>
      <c r="AN600" s="60"/>
      <c r="AO600" s="60"/>
      <c r="AP600" s="88"/>
      <c r="AQ600" s="88"/>
      <c r="AR600" s="88"/>
      <c r="AS600" s="60"/>
      <c r="AT600" s="60"/>
      <c r="AU600" s="60"/>
      <c r="AV600" s="60"/>
      <c r="AW600" s="145"/>
      <c r="AX600" s="145"/>
      <c r="AY600" s="64"/>
      <c r="AZ600" s="64"/>
      <c r="BA600" s="64"/>
    </row>
    <row r="601" spans="1:53" x14ac:dyDescent="0.25">
      <c r="A601" s="27"/>
      <c r="B601" s="154">
        <v>21</v>
      </c>
      <c r="C601" s="634" t="s">
        <v>702</v>
      </c>
      <c r="D601" s="17"/>
      <c r="E601" s="17"/>
      <c r="F601" s="640"/>
      <c r="G601" s="17"/>
      <c r="H601" s="17"/>
      <c r="I601" s="682"/>
      <c r="J601" s="17"/>
      <c r="K601" s="17"/>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c r="AN601" s="72"/>
      <c r="AO601" s="72"/>
      <c r="AP601" s="73"/>
      <c r="AQ601" s="73"/>
      <c r="AR601" s="73"/>
      <c r="AS601" s="72"/>
      <c r="AT601" s="72"/>
      <c r="AU601" s="72"/>
      <c r="AV601" s="72"/>
      <c r="AW601" s="72"/>
      <c r="AX601" s="72"/>
      <c r="AY601" s="438"/>
      <c r="AZ601" s="438"/>
      <c r="BA601" s="438"/>
    </row>
    <row r="602" spans="1:53" ht="15" x14ac:dyDescent="0.25">
      <c r="A602" s="27"/>
      <c r="B602" s="891"/>
      <c r="C602" s="651"/>
      <c r="D602" s="58"/>
      <c r="E602" s="287">
        <v>72</v>
      </c>
      <c r="F602" s="78" t="s">
        <v>703</v>
      </c>
      <c r="G602" s="78" t="s">
        <v>703</v>
      </c>
      <c r="H602" s="78"/>
      <c r="I602" s="222"/>
      <c r="J602" s="78"/>
      <c r="K602" s="78"/>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80"/>
      <c r="AQ602" s="80"/>
      <c r="AR602" s="80"/>
      <c r="AS602" s="79"/>
      <c r="AT602" s="79"/>
      <c r="AU602" s="79"/>
      <c r="AV602" s="79"/>
      <c r="AW602" s="79"/>
      <c r="AX602" s="79"/>
      <c r="AY602" s="440"/>
      <c r="AZ602" s="440"/>
      <c r="BA602" s="440"/>
    </row>
    <row r="603" spans="1:53" ht="28.5" x14ac:dyDescent="0.25">
      <c r="A603" s="27"/>
      <c r="B603" s="891"/>
      <c r="C603" s="31">
        <v>36</v>
      </c>
      <c r="D603" s="460" t="s">
        <v>697</v>
      </c>
      <c r="E603" s="844" t="s">
        <v>704</v>
      </c>
      <c r="F603" s="31">
        <v>209</v>
      </c>
      <c r="G603" s="29" t="s">
        <v>417</v>
      </c>
      <c r="H603" s="278" t="s">
        <v>698</v>
      </c>
      <c r="I603" s="892" t="s">
        <v>418</v>
      </c>
      <c r="J603" s="893" t="s">
        <v>419</v>
      </c>
      <c r="K603" s="278" t="s">
        <v>466</v>
      </c>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127"/>
      <c r="AQ603" s="127"/>
      <c r="AR603" s="127"/>
      <c r="AS603" s="513">
        <v>30000000</v>
      </c>
      <c r="AT603" s="513">
        <v>6400000</v>
      </c>
      <c r="AU603" s="513">
        <v>2200000</v>
      </c>
      <c r="AV603" s="515"/>
      <c r="AW603" s="515"/>
      <c r="AX603" s="515"/>
      <c r="AY603" s="37">
        <f t="shared" ref="AY603:AY605" si="810">+L603+O603+R603+U603+X603+AA603+AD603+AG603+AJ603+AM603+AP603+AS603+AV603</f>
        <v>30000000</v>
      </c>
      <c r="AZ603" s="37">
        <f t="shared" ref="AZ603:AZ605" si="811">+M603+P603+S603+V603+Y603+AB603+AE603+AH603+AK603+AN603+AQ603+AT603+AW603</f>
        <v>6400000</v>
      </c>
      <c r="BA603" s="37">
        <f t="shared" ref="BA603:BA605" si="812">+N603+Q603+T603+W603+Z603+AC603+AF603+AI603+AL603+AO603+AR603+AU603+AX603</f>
        <v>2200000</v>
      </c>
    </row>
    <row r="604" spans="1:53" ht="28.5" x14ac:dyDescent="0.25">
      <c r="A604" s="19"/>
      <c r="B604" s="891"/>
      <c r="C604" s="31">
        <v>36</v>
      </c>
      <c r="D604" s="460" t="s">
        <v>697</v>
      </c>
      <c r="E604" s="820"/>
      <c r="F604" s="31">
        <v>210</v>
      </c>
      <c r="G604" s="29" t="s">
        <v>420</v>
      </c>
      <c r="H604" s="278" t="s">
        <v>698</v>
      </c>
      <c r="I604" s="892"/>
      <c r="J604" s="893"/>
      <c r="K604" s="278" t="s">
        <v>466</v>
      </c>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515">
        <v>9000000</v>
      </c>
      <c r="AQ604" s="515"/>
      <c r="AR604" s="515"/>
      <c r="AS604" s="513">
        <v>25000000</v>
      </c>
      <c r="AT604" s="513">
        <v>7400000</v>
      </c>
      <c r="AU604" s="513">
        <v>2200000</v>
      </c>
      <c r="AV604" s="515"/>
      <c r="AW604" s="515"/>
      <c r="AX604" s="515"/>
      <c r="AY604" s="37">
        <f t="shared" si="810"/>
        <v>34000000</v>
      </c>
      <c r="AZ604" s="37">
        <f t="shared" si="811"/>
        <v>7400000</v>
      </c>
      <c r="BA604" s="37">
        <f t="shared" si="812"/>
        <v>2200000</v>
      </c>
    </row>
    <row r="605" spans="1:53" ht="71.25" customHeight="1" x14ac:dyDescent="0.25">
      <c r="A605" s="19"/>
      <c r="B605" s="891"/>
      <c r="C605" s="31">
        <v>36</v>
      </c>
      <c r="D605" s="460" t="s">
        <v>697</v>
      </c>
      <c r="E605" s="820"/>
      <c r="F605" s="31">
        <v>211</v>
      </c>
      <c r="G605" s="29" t="s">
        <v>421</v>
      </c>
      <c r="H605" s="278" t="s">
        <v>698</v>
      </c>
      <c r="I605" s="892"/>
      <c r="J605" s="893"/>
      <c r="K605" s="278" t="s">
        <v>466</v>
      </c>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127"/>
      <c r="AQ605" s="127"/>
      <c r="AR605" s="127"/>
      <c r="AS605" s="513">
        <f>25000000+40000000</f>
        <v>65000000</v>
      </c>
      <c r="AT605" s="513">
        <f>'[1]MP INDEPORTES'!$Q$32+'[1]MP INDEPORTES'!$Q$33</f>
        <v>19500000</v>
      </c>
      <c r="AU605" s="513">
        <v>6200000</v>
      </c>
      <c r="AV605" s="515"/>
      <c r="AW605" s="515"/>
      <c r="AX605" s="515"/>
      <c r="AY605" s="37">
        <f t="shared" si="810"/>
        <v>65000000</v>
      </c>
      <c r="AZ605" s="37">
        <f t="shared" si="811"/>
        <v>19500000</v>
      </c>
      <c r="BA605" s="37">
        <f t="shared" si="812"/>
        <v>6200000</v>
      </c>
    </row>
    <row r="606" spans="1:53" ht="15" x14ac:dyDescent="0.25">
      <c r="A606" s="27"/>
      <c r="B606" s="891"/>
      <c r="C606" s="654"/>
      <c r="D606" s="636"/>
      <c r="E606" s="40"/>
      <c r="F606" s="517"/>
      <c r="G606" s="516"/>
      <c r="H606" s="518"/>
      <c r="I606" s="718"/>
      <c r="J606" s="519"/>
      <c r="K606" s="518"/>
      <c r="L606" s="520"/>
      <c r="M606" s="520"/>
      <c r="N606" s="520"/>
      <c r="O606" s="520"/>
      <c r="P606" s="520"/>
      <c r="Q606" s="520"/>
      <c r="R606" s="520"/>
      <c r="S606" s="520"/>
      <c r="T606" s="520"/>
      <c r="U606" s="520"/>
      <c r="V606" s="520"/>
      <c r="W606" s="520"/>
      <c r="X606" s="520"/>
      <c r="Y606" s="520"/>
      <c r="Z606" s="520"/>
      <c r="AA606" s="520"/>
      <c r="AB606" s="520"/>
      <c r="AC606" s="520"/>
      <c r="AD606" s="520"/>
      <c r="AE606" s="520"/>
      <c r="AF606" s="520"/>
      <c r="AG606" s="520"/>
      <c r="AH606" s="520"/>
      <c r="AI606" s="520"/>
      <c r="AJ606" s="520"/>
      <c r="AK606" s="520"/>
      <c r="AL606" s="520"/>
      <c r="AM606" s="520"/>
      <c r="AN606" s="520"/>
      <c r="AO606" s="520"/>
      <c r="AP606" s="521">
        <f t="shared" ref="AP606:AU606" si="813">SUM(AP603:AP605)</f>
        <v>9000000</v>
      </c>
      <c r="AQ606" s="521">
        <f t="shared" si="813"/>
        <v>0</v>
      </c>
      <c r="AR606" s="521">
        <f t="shared" si="813"/>
        <v>0</v>
      </c>
      <c r="AS606" s="521">
        <f t="shared" si="813"/>
        <v>120000000</v>
      </c>
      <c r="AT606" s="521">
        <f t="shared" si="813"/>
        <v>33300000</v>
      </c>
      <c r="AU606" s="521">
        <f t="shared" si="813"/>
        <v>10600000</v>
      </c>
      <c r="AV606" s="521"/>
      <c r="AW606" s="173"/>
      <c r="AX606" s="173"/>
      <c r="AY606" s="512">
        <f t="shared" ref="AY606:BA606" si="814">SUM(AY603:AY605)</f>
        <v>129000000</v>
      </c>
      <c r="AZ606" s="512">
        <f t="shared" si="814"/>
        <v>33300000</v>
      </c>
      <c r="BA606" s="512">
        <f t="shared" si="814"/>
        <v>10600000</v>
      </c>
    </row>
    <row r="607" spans="1:53" ht="15" x14ac:dyDescent="0.25">
      <c r="A607" s="27"/>
      <c r="B607" s="891"/>
      <c r="C607" s="651"/>
      <c r="D607" s="58"/>
      <c r="E607" s="58"/>
      <c r="F607" s="651"/>
      <c r="G607" s="58"/>
      <c r="H607" s="109"/>
      <c r="I607" s="700"/>
      <c r="J607" s="108"/>
      <c r="K607" s="651"/>
      <c r="L607" s="60"/>
      <c r="M607" s="60"/>
      <c r="N607" s="60"/>
      <c r="O607" s="60"/>
      <c r="P607" s="60"/>
      <c r="Q607" s="60"/>
      <c r="R607" s="60"/>
      <c r="S607" s="60"/>
      <c r="T607" s="60"/>
      <c r="U607" s="60"/>
      <c r="V607" s="60"/>
      <c r="W607" s="60"/>
      <c r="X607" s="60"/>
      <c r="Y607" s="60"/>
      <c r="Z607" s="60"/>
      <c r="AA607" s="60"/>
      <c r="AB607" s="60"/>
      <c r="AC607" s="60"/>
      <c r="AD607" s="61"/>
      <c r="AE607" s="61"/>
      <c r="AF607" s="61"/>
      <c r="AG607" s="61"/>
      <c r="AH607" s="61"/>
      <c r="AI607" s="61"/>
      <c r="AJ607" s="60"/>
      <c r="AK607" s="60"/>
      <c r="AL607" s="60"/>
      <c r="AM607" s="60"/>
      <c r="AN607" s="60"/>
      <c r="AO607" s="60"/>
      <c r="AP607" s="88"/>
      <c r="AQ607" s="88"/>
      <c r="AR607" s="88"/>
      <c r="AS607" s="60"/>
      <c r="AT607" s="60"/>
      <c r="AU607" s="60"/>
      <c r="AV607" s="61"/>
      <c r="AW607" s="63"/>
      <c r="AX607" s="63"/>
      <c r="AY607" s="64"/>
      <c r="AZ607" s="64"/>
      <c r="BA607" s="64"/>
    </row>
    <row r="608" spans="1:53" ht="15" x14ac:dyDescent="0.25">
      <c r="A608" s="27"/>
      <c r="B608" s="891"/>
      <c r="C608" s="651"/>
      <c r="D608" s="29"/>
      <c r="E608" s="287">
        <v>73</v>
      </c>
      <c r="F608" s="78" t="s">
        <v>705</v>
      </c>
      <c r="G608" s="78"/>
      <c r="H608" s="78"/>
      <c r="I608" s="222"/>
      <c r="J608" s="78"/>
      <c r="K608" s="78"/>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80"/>
      <c r="AQ608" s="80"/>
      <c r="AR608" s="80"/>
      <c r="AS608" s="79"/>
      <c r="AT608" s="79"/>
      <c r="AU608" s="79"/>
      <c r="AV608" s="79"/>
      <c r="AW608" s="79"/>
      <c r="AX608" s="79"/>
      <c r="AY608" s="440"/>
      <c r="AZ608" s="440"/>
      <c r="BA608" s="440"/>
    </row>
    <row r="609" spans="1:53" ht="72" customHeight="1" x14ac:dyDescent="0.25">
      <c r="A609" s="27"/>
      <c r="B609" s="891"/>
      <c r="C609" s="28">
        <v>36</v>
      </c>
      <c r="D609" s="293" t="s">
        <v>697</v>
      </c>
      <c r="E609" s="637"/>
      <c r="F609" s="646">
        <v>212</v>
      </c>
      <c r="G609" s="637" t="s">
        <v>422</v>
      </c>
      <c r="H609" s="278" t="s">
        <v>698</v>
      </c>
      <c r="I609" s="716" t="s">
        <v>423</v>
      </c>
      <c r="J609" s="509" t="s">
        <v>424</v>
      </c>
      <c r="K609" s="278" t="s">
        <v>466</v>
      </c>
      <c r="L609" s="288"/>
      <c r="M609" s="288"/>
      <c r="N609" s="288"/>
      <c r="O609" s="288"/>
      <c r="P609" s="288"/>
      <c r="Q609" s="288"/>
      <c r="R609" s="288"/>
      <c r="S609" s="288"/>
      <c r="T609" s="288"/>
      <c r="U609" s="288"/>
      <c r="V609" s="288"/>
      <c r="W609" s="288"/>
      <c r="X609" s="288"/>
      <c r="Y609" s="288"/>
      <c r="Z609" s="288"/>
      <c r="AA609" s="288"/>
      <c r="AB609" s="288"/>
      <c r="AC609" s="288"/>
      <c r="AD609" s="288"/>
      <c r="AE609" s="288"/>
      <c r="AF609" s="288"/>
      <c r="AG609" s="288"/>
      <c r="AH609" s="288"/>
      <c r="AI609" s="288"/>
      <c r="AJ609" s="288"/>
      <c r="AK609" s="288"/>
      <c r="AL609" s="288"/>
      <c r="AM609" s="288"/>
      <c r="AN609" s="321"/>
      <c r="AO609" s="321"/>
      <c r="AP609" s="289"/>
      <c r="AQ609" s="289"/>
      <c r="AR609" s="289"/>
      <c r="AS609" s="321">
        <f>10000000+40000000</f>
        <v>50000000</v>
      </c>
      <c r="AT609" s="321">
        <v>30633333</v>
      </c>
      <c r="AU609" s="321">
        <v>14883333</v>
      </c>
      <c r="AV609" s="515"/>
      <c r="AW609" s="515"/>
      <c r="AX609" s="515"/>
      <c r="AY609" s="37">
        <f t="shared" ref="AY609" si="815">+L609+O609+R609+U609+X609+AA609+AD609+AG609+AJ609+AM609+AP609+AS609+AV609</f>
        <v>50000000</v>
      </c>
      <c r="AZ609" s="37">
        <f t="shared" ref="AZ609" si="816">+M609+P609+S609+V609+Y609+AB609+AE609+AH609+AK609+AN609+AQ609+AT609+AW609</f>
        <v>30633333</v>
      </c>
      <c r="BA609" s="37">
        <f t="shared" ref="BA609" si="817">+N609+Q609+T609+W609+Z609+AC609+AF609+AI609+AL609+AO609+AR609+AU609+AX609</f>
        <v>14883333</v>
      </c>
    </row>
    <row r="610" spans="1:53" s="12" customFormat="1" ht="20.25" x14ac:dyDescent="0.25">
      <c r="A610" s="27"/>
      <c r="B610" s="891"/>
      <c r="C610" s="653"/>
      <c r="D610" s="637"/>
      <c r="E610" s="102"/>
      <c r="F610" s="103"/>
      <c r="G610" s="102"/>
      <c r="H610" s="138"/>
      <c r="I610" s="719"/>
      <c r="J610" s="522"/>
      <c r="K610" s="138"/>
      <c r="L610" s="139"/>
      <c r="M610" s="139"/>
      <c r="N610" s="139"/>
      <c r="O610" s="139"/>
      <c r="P610" s="139"/>
      <c r="Q610" s="139"/>
      <c r="R610" s="139"/>
      <c r="S610" s="139"/>
      <c r="T610" s="139"/>
      <c r="U610" s="139"/>
      <c r="V610" s="139"/>
      <c r="W610" s="139"/>
      <c r="X610" s="139"/>
      <c r="Y610" s="139"/>
      <c r="Z610" s="139"/>
      <c r="AA610" s="139"/>
      <c r="AB610" s="139"/>
      <c r="AC610" s="139"/>
      <c r="AD610" s="139"/>
      <c r="AE610" s="139"/>
      <c r="AF610" s="139"/>
      <c r="AG610" s="139"/>
      <c r="AH610" s="139"/>
      <c r="AI610" s="139"/>
      <c r="AJ610" s="139"/>
      <c r="AK610" s="139"/>
      <c r="AL610" s="139"/>
      <c r="AM610" s="139"/>
      <c r="AN610" s="139"/>
      <c r="AO610" s="139"/>
      <c r="AP610" s="523">
        <f t="shared" ref="AP610:AS610" si="818">SUM(AP609)</f>
        <v>0</v>
      </c>
      <c r="AQ610" s="523">
        <f t="shared" ref="AQ610:AR610" si="819">SUM(AQ609)</f>
        <v>0</v>
      </c>
      <c r="AR610" s="523">
        <f t="shared" si="819"/>
        <v>0</v>
      </c>
      <c r="AS610" s="523">
        <f t="shared" si="818"/>
        <v>50000000</v>
      </c>
      <c r="AT610" s="523">
        <f t="shared" ref="AT610:AU610" si="820">SUM(AT609)</f>
        <v>30633333</v>
      </c>
      <c r="AU610" s="523">
        <f t="shared" si="820"/>
        <v>14883333</v>
      </c>
      <c r="AV610" s="523"/>
      <c r="AW610" s="523"/>
      <c r="AX610" s="523"/>
      <c r="AY610" s="524">
        <f t="shared" ref="AY610:BA610" si="821">SUM(AY609)</f>
        <v>50000000</v>
      </c>
      <c r="AZ610" s="524">
        <f t="shared" si="821"/>
        <v>30633333</v>
      </c>
      <c r="BA610" s="524">
        <f t="shared" si="821"/>
        <v>14883333</v>
      </c>
    </row>
    <row r="611" spans="1:53" ht="15" x14ac:dyDescent="0.25">
      <c r="A611" s="27"/>
      <c r="B611" s="336"/>
      <c r="C611" s="107"/>
      <c r="D611" s="106"/>
      <c r="E611" s="106"/>
      <c r="F611" s="107"/>
      <c r="G611" s="106"/>
      <c r="H611" s="525"/>
      <c r="I611" s="720"/>
      <c r="J611" s="526"/>
      <c r="K611" s="525"/>
      <c r="L611" s="337"/>
      <c r="M611" s="337"/>
      <c r="N611" s="337"/>
      <c r="O611" s="337"/>
      <c r="P611" s="337"/>
      <c r="Q611" s="337"/>
      <c r="R611" s="337"/>
      <c r="S611" s="337"/>
      <c r="T611" s="337"/>
      <c r="U611" s="337"/>
      <c r="V611" s="337"/>
      <c r="W611" s="337"/>
      <c r="X611" s="337"/>
      <c r="Y611" s="337"/>
      <c r="Z611" s="337"/>
      <c r="AA611" s="337"/>
      <c r="AB611" s="337"/>
      <c r="AC611" s="337"/>
      <c r="AD611" s="337"/>
      <c r="AE611" s="337"/>
      <c r="AF611" s="337"/>
      <c r="AG611" s="337"/>
      <c r="AH611" s="337"/>
      <c r="AI611" s="337"/>
      <c r="AJ611" s="337"/>
      <c r="AK611" s="337"/>
      <c r="AL611" s="337"/>
      <c r="AM611" s="337"/>
      <c r="AN611" s="337"/>
      <c r="AO611" s="337"/>
      <c r="AP611" s="527">
        <f t="shared" ref="AP611:AS611" si="822">AP610+AP606</f>
        <v>9000000</v>
      </c>
      <c r="AQ611" s="527">
        <f t="shared" ref="AQ611:AR611" si="823">AQ610+AQ606</f>
        <v>0</v>
      </c>
      <c r="AR611" s="527">
        <f t="shared" si="823"/>
        <v>0</v>
      </c>
      <c r="AS611" s="527">
        <f t="shared" si="822"/>
        <v>170000000</v>
      </c>
      <c r="AT611" s="527">
        <f t="shared" ref="AT611:AU611" si="824">AT610+AT606</f>
        <v>63933333</v>
      </c>
      <c r="AU611" s="527">
        <f t="shared" si="824"/>
        <v>25483333</v>
      </c>
      <c r="AV611" s="527"/>
      <c r="AW611" s="174"/>
      <c r="AX611" s="174"/>
      <c r="AY611" s="738">
        <f t="shared" ref="AY611:BA611" si="825">AY610+AY606</f>
        <v>179000000</v>
      </c>
      <c r="AZ611" s="738">
        <f t="shared" si="825"/>
        <v>63933333</v>
      </c>
      <c r="BA611" s="738">
        <f t="shared" si="825"/>
        <v>25483333</v>
      </c>
    </row>
    <row r="612" spans="1:53" ht="15" x14ac:dyDescent="0.25">
      <c r="A612" s="27"/>
      <c r="B612" s="58"/>
      <c r="C612" s="651"/>
      <c r="D612" s="58"/>
      <c r="E612" s="58"/>
      <c r="F612" s="651"/>
      <c r="G612" s="58"/>
      <c r="H612" s="109"/>
      <c r="I612" s="700"/>
      <c r="J612" s="108"/>
      <c r="K612" s="651"/>
      <c r="L612" s="60"/>
      <c r="M612" s="60"/>
      <c r="N612" s="60"/>
      <c r="O612" s="60"/>
      <c r="P612" s="60"/>
      <c r="Q612" s="60"/>
      <c r="R612" s="60"/>
      <c r="S612" s="60"/>
      <c r="T612" s="60"/>
      <c r="U612" s="60"/>
      <c r="V612" s="60"/>
      <c r="W612" s="60"/>
      <c r="X612" s="60"/>
      <c r="Y612" s="60"/>
      <c r="Z612" s="60"/>
      <c r="AA612" s="60"/>
      <c r="AB612" s="60"/>
      <c r="AC612" s="60"/>
      <c r="AD612" s="61"/>
      <c r="AE612" s="61"/>
      <c r="AF612" s="61"/>
      <c r="AG612" s="61"/>
      <c r="AH612" s="61"/>
      <c r="AI612" s="61"/>
      <c r="AJ612" s="60"/>
      <c r="AK612" s="60"/>
      <c r="AL612" s="60"/>
      <c r="AM612" s="60"/>
      <c r="AN612" s="60"/>
      <c r="AO612" s="60"/>
      <c r="AP612" s="88"/>
      <c r="AQ612" s="88"/>
      <c r="AR612" s="88"/>
      <c r="AS612" s="60"/>
      <c r="AT612" s="60"/>
      <c r="AU612" s="60"/>
      <c r="AV612" s="60"/>
      <c r="AW612" s="145"/>
      <c r="AX612" s="145"/>
      <c r="AY612" s="64"/>
      <c r="AZ612" s="64"/>
      <c r="BA612" s="64"/>
    </row>
    <row r="613" spans="1:53" x14ac:dyDescent="0.25">
      <c r="A613" s="27"/>
      <c r="B613" s="528">
        <v>22</v>
      </c>
      <c r="C613" s="640" t="s">
        <v>706</v>
      </c>
      <c r="D613" s="17"/>
      <c r="E613" s="17"/>
      <c r="F613" s="640"/>
      <c r="G613" s="17"/>
      <c r="H613" s="17"/>
      <c r="I613" s="682"/>
      <c r="J613" s="17"/>
      <c r="K613" s="17"/>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c r="AO613" s="72"/>
      <c r="AP613" s="73"/>
      <c r="AQ613" s="73"/>
      <c r="AR613" s="73"/>
      <c r="AS613" s="72"/>
      <c r="AT613" s="72"/>
      <c r="AU613" s="72"/>
      <c r="AV613" s="72"/>
      <c r="AW613" s="72"/>
      <c r="AX613" s="72"/>
      <c r="AY613" s="438"/>
      <c r="AZ613" s="438"/>
      <c r="BA613" s="438"/>
    </row>
    <row r="614" spans="1:53" x14ac:dyDescent="0.25">
      <c r="A614" s="27"/>
      <c r="B614" s="891"/>
      <c r="C614" s="651"/>
      <c r="D614" s="58"/>
      <c r="E614" s="287">
        <v>74</v>
      </c>
      <c r="F614" s="78" t="s">
        <v>707</v>
      </c>
      <c r="G614" s="78"/>
      <c r="H614" s="78"/>
      <c r="I614" s="690"/>
      <c r="J614" s="78"/>
      <c r="K614" s="78"/>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80"/>
      <c r="AQ614" s="80"/>
      <c r="AR614" s="80"/>
      <c r="AS614" s="79"/>
      <c r="AT614" s="79"/>
      <c r="AU614" s="79"/>
      <c r="AV614" s="79"/>
      <c r="AW614" s="79"/>
      <c r="AX614" s="79"/>
      <c r="AY614" s="440"/>
      <c r="AZ614" s="440"/>
      <c r="BA614" s="440"/>
    </row>
    <row r="615" spans="1:53" ht="61.5" customHeight="1" x14ac:dyDescent="0.25">
      <c r="A615" s="27"/>
      <c r="B615" s="891"/>
      <c r="C615" s="28">
        <v>36</v>
      </c>
      <c r="D615" s="293" t="s">
        <v>697</v>
      </c>
      <c r="E615" s="29"/>
      <c r="F615" s="122">
        <v>213</v>
      </c>
      <c r="G615" s="29" t="s">
        <v>425</v>
      </c>
      <c r="H615" s="278" t="s">
        <v>698</v>
      </c>
      <c r="I615" s="716" t="s">
        <v>426</v>
      </c>
      <c r="J615" s="657" t="s">
        <v>427</v>
      </c>
      <c r="K615" s="278" t="s">
        <v>466</v>
      </c>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6"/>
      <c r="AO615" s="36"/>
      <c r="AP615" s="189">
        <v>20000000</v>
      </c>
      <c r="AQ615" s="189">
        <v>19360000</v>
      </c>
      <c r="AR615" s="189">
        <v>4580000</v>
      </c>
      <c r="AS615" s="529"/>
      <c r="AT615" s="529"/>
      <c r="AU615" s="529"/>
      <c r="AV615" s="36"/>
      <c r="AW615" s="36"/>
      <c r="AX615" s="36"/>
      <c r="AY615" s="37">
        <f t="shared" ref="AY615" si="826">+L615+O615+R615+U615+X615+AA615+AD615+AG615+AJ615+AM615+AP615+AS615+AV615</f>
        <v>20000000</v>
      </c>
      <c r="AZ615" s="37">
        <f t="shared" ref="AZ615" si="827">+M615+P615+S615+V615+Y615+AB615+AE615+AH615+AK615+AN615+AQ615+AT615+AW615</f>
        <v>19360000</v>
      </c>
      <c r="BA615" s="37">
        <f t="shared" ref="BA615" si="828">+N615+Q615+T615+W615+Z615+AC615+AF615+AI615+AL615+AO615+AR615+AU615+AX615</f>
        <v>4580000</v>
      </c>
    </row>
    <row r="616" spans="1:53" ht="15" x14ac:dyDescent="0.25">
      <c r="A616" s="27"/>
      <c r="B616" s="891"/>
      <c r="C616" s="28"/>
      <c r="D616" s="29"/>
      <c r="E616" s="40"/>
      <c r="F616" s="41"/>
      <c r="G616" s="40"/>
      <c r="H616" s="42"/>
      <c r="I616" s="707"/>
      <c r="J616" s="258"/>
      <c r="K616" s="42"/>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c r="AN616" s="43"/>
      <c r="AO616" s="43"/>
      <c r="AP616" s="173">
        <f t="shared" ref="AP616:AY616" si="829">SUM(AP615)</f>
        <v>20000000</v>
      </c>
      <c r="AQ616" s="173">
        <f t="shared" ref="AQ616:AR616" si="830">SUM(AQ615)</f>
        <v>19360000</v>
      </c>
      <c r="AR616" s="173">
        <f t="shared" si="830"/>
        <v>4580000</v>
      </c>
      <c r="AS616" s="43">
        <f t="shared" si="829"/>
        <v>0</v>
      </c>
      <c r="AT616" s="43">
        <f t="shared" ref="AT616:AU616" si="831">SUM(AT615)</f>
        <v>0</v>
      </c>
      <c r="AU616" s="43">
        <f t="shared" si="831"/>
        <v>0</v>
      </c>
      <c r="AV616" s="43">
        <f t="shared" si="829"/>
        <v>0</v>
      </c>
      <c r="AW616" s="43"/>
      <c r="AX616" s="43"/>
      <c r="AY616" s="530">
        <f t="shared" si="829"/>
        <v>20000000</v>
      </c>
      <c r="AZ616" s="530">
        <f t="shared" ref="AZ616:BA616" si="832">SUM(AZ615)</f>
        <v>19360000</v>
      </c>
      <c r="BA616" s="530">
        <f t="shared" si="832"/>
        <v>4580000</v>
      </c>
    </row>
    <row r="617" spans="1:53" ht="15" x14ac:dyDescent="0.25">
      <c r="A617" s="39"/>
      <c r="B617" s="104"/>
      <c r="C617" s="46"/>
      <c r="D617" s="45"/>
      <c r="E617" s="45"/>
      <c r="F617" s="46"/>
      <c r="G617" s="45"/>
      <c r="H617" s="47"/>
      <c r="I617" s="717"/>
      <c r="J617" s="514"/>
      <c r="K617" s="47"/>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174">
        <f t="shared" ref="AP617:AY617" si="833">AP616</f>
        <v>20000000</v>
      </c>
      <c r="AQ617" s="174">
        <f t="shared" ref="AQ617:AR617" si="834">AQ616</f>
        <v>19360000</v>
      </c>
      <c r="AR617" s="174">
        <f t="shared" si="834"/>
        <v>4580000</v>
      </c>
      <c r="AS617" s="48">
        <f t="shared" si="833"/>
        <v>0</v>
      </c>
      <c r="AT617" s="48">
        <f t="shared" ref="AT617:AU617" si="835">AT616</f>
        <v>0</v>
      </c>
      <c r="AU617" s="48">
        <f t="shared" si="835"/>
        <v>0</v>
      </c>
      <c r="AV617" s="48">
        <f t="shared" si="833"/>
        <v>0</v>
      </c>
      <c r="AW617" s="48"/>
      <c r="AX617" s="48"/>
      <c r="AY617" s="531">
        <f t="shared" si="833"/>
        <v>20000000</v>
      </c>
      <c r="AZ617" s="531">
        <f t="shared" ref="AZ617:BA617" si="836">AZ616</f>
        <v>19360000</v>
      </c>
      <c r="BA617" s="531">
        <f t="shared" si="836"/>
        <v>4580000</v>
      </c>
    </row>
    <row r="618" spans="1:53" ht="15" x14ac:dyDescent="0.25">
      <c r="A618" s="49"/>
      <c r="B618" s="49"/>
      <c r="C618" s="50"/>
      <c r="D618" s="49"/>
      <c r="E618" s="49"/>
      <c r="F618" s="50"/>
      <c r="G618" s="49"/>
      <c r="H618" s="51"/>
      <c r="I618" s="721"/>
      <c r="J618" s="532"/>
      <c r="K618" s="51"/>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175">
        <f t="shared" ref="AP618:AY618" si="837">AP617+AP611+AP599</f>
        <v>821316151</v>
      </c>
      <c r="AQ618" s="175">
        <f t="shared" ref="AQ618:AR618" si="838">AQ617+AQ611+AQ599</f>
        <v>106310000</v>
      </c>
      <c r="AR618" s="175">
        <f t="shared" si="838"/>
        <v>39820000</v>
      </c>
      <c r="AS618" s="52">
        <f t="shared" si="837"/>
        <v>762169320</v>
      </c>
      <c r="AT618" s="52">
        <f t="shared" ref="AT618:AU618" si="839">AT617+AT611+AT599</f>
        <v>179568924</v>
      </c>
      <c r="AU618" s="52">
        <f t="shared" si="839"/>
        <v>50493333</v>
      </c>
      <c r="AV618" s="52">
        <f t="shared" si="837"/>
        <v>0</v>
      </c>
      <c r="AW618" s="52"/>
      <c r="AX618" s="52"/>
      <c r="AY618" s="533">
        <f t="shared" si="837"/>
        <v>1583485471</v>
      </c>
      <c r="AZ618" s="533">
        <f t="shared" ref="AZ618:BA618" si="840">AZ617+AZ611+AZ599</f>
        <v>285878924</v>
      </c>
      <c r="BA618" s="533">
        <f t="shared" si="840"/>
        <v>90313333</v>
      </c>
    </row>
    <row r="619" spans="1:53" s="12" customFormat="1" ht="20.25" x14ac:dyDescent="0.25">
      <c r="A619" s="53"/>
      <c r="B619" s="53"/>
      <c r="C619" s="54"/>
      <c r="D619" s="53"/>
      <c r="E619" s="53"/>
      <c r="F619" s="54"/>
      <c r="G619" s="53"/>
      <c r="H619" s="55"/>
      <c r="I619" s="722"/>
      <c r="J619" s="463"/>
      <c r="K619" s="55"/>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176">
        <f t="shared" ref="AP619:AY619" si="841">AP618</f>
        <v>821316151</v>
      </c>
      <c r="AQ619" s="176">
        <f t="shared" ref="AQ619:AR619" si="842">AQ618</f>
        <v>106310000</v>
      </c>
      <c r="AR619" s="176">
        <f t="shared" si="842"/>
        <v>39820000</v>
      </c>
      <c r="AS619" s="56">
        <f t="shared" si="841"/>
        <v>762169320</v>
      </c>
      <c r="AT619" s="56">
        <f t="shared" ref="AT619:AU619" si="843">AT618</f>
        <v>179568924</v>
      </c>
      <c r="AU619" s="56">
        <f t="shared" si="843"/>
        <v>50493333</v>
      </c>
      <c r="AV619" s="56">
        <f t="shared" si="841"/>
        <v>0</v>
      </c>
      <c r="AW619" s="56"/>
      <c r="AX619" s="56"/>
      <c r="AY619" s="534">
        <f t="shared" si="841"/>
        <v>1583485471</v>
      </c>
      <c r="AZ619" s="534">
        <f t="shared" ref="AZ619:BA619" si="844">AZ618</f>
        <v>285878924</v>
      </c>
      <c r="BA619" s="534">
        <f t="shared" si="844"/>
        <v>90313333</v>
      </c>
    </row>
    <row r="620" spans="1:53" s="12" customFormat="1" ht="20.25" x14ac:dyDescent="0.25">
      <c r="A620" s="140"/>
      <c r="B620" s="141"/>
      <c r="C620" s="142"/>
      <c r="D620" s="141"/>
      <c r="E620" s="141"/>
      <c r="F620" s="142"/>
      <c r="G620" s="141"/>
      <c r="H620" s="143"/>
      <c r="I620" s="723"/>
      <c r="J620" s="535"/>
      <c r="K620" s="143"/>
      <c r="L620" s="536"/>
      <c r="M620" s="536"/>
      <c r="N620" s="536"/>
      <c r="O620" s="536"/>
      <c r="P620" s="536"/>
      <c r="Q620" s="536"/>
      <c r="R620" s="536"/>
      <c r="S620" s="536"/>
      <c r="T620" s="536"/>
      <c r="U620" s="536"/>
      <c r="V620" s="536"/>
      <c r="W620" s="536"/>
      <c r="X620" s="536"/>
      <c r="Y620" s="536"/>
      <c r="Z620" s="536"/>
      <c r="AA620" s="536"/>
      <c r="AB620" s="536"/>
      <c r="AC620" s="536"/>
      <c r="AD620" s="536"/>
      <c r="AE620" s="536"/>
      <c r="AF620" s="536"/>
      <c r="AG620" s="536"/>
      <c r="AH620" s="536"/>
      <c r="AI620" s="536"/>
      <c r="AJ620" s="536"/>
      <c r="AK620" s="536"/>
      <c r="AL620" s="536"/>
      <c r="AM620" s="536"/>
      <c r="AN620" s="536"/>
      <c r="AO620" s="536"/>
      <c r="AP620" s="536"/>
      <c r="AQ620" s="536"/>
      <c r="AR620" s="536"/>
      <c r="AS620" s="536"/>
      <c r="AT620" s="536"/>
      <c r="AU620" s="536"/>
      <c r="AV620" s="537"/>
      <c r="AW620" s="537"/>
      <c r="AX620" s="537"/>
      <c r="AY620" s="147"/>
      <c r="AZ620" s="147"/>
      <c r="BA620" s="147"/>
    </row>
    <row r="621" spans="1:53" ht="20.25" x14ac:dyDescent="0.25">
      <c r="A621" s="538" t="s">
        <v>428</v>
      </c>
      <c r="B621" s="538"/>
      <c r="C621" s="539"/>
      <c r="D621" s="538"/>
      <c r="E621" s="490"/>
      <c r="F621" s="491"/>
      <c r="G621" s="490"/>
      <c r="H621" s="490"/>
      <c r="I621" s="714"/>
      <c r="J621" s="490"/>
      <c r="K621" s="491"/>
      <c r="L621" s="540"/>
      <c r="M621" s="540"/>
      <c r="N621" s="540"/>
      <c r="O621" s="540"/>
      <c r="P621" s="540"/>
      <c r="Q621" s="540"/>
      <c r="R621" s="540"/>
      <c r="S621" s="540"/>
      <c r="T621" s="540"/>
      <c r="U621" s="540"/>
      <c r="V621" s="540"/>
      <c r="W621" s="540"/>
      <c r="X621" s="540"/>
      <c r="Y621" s="540"/>
      <c r="Z621" s="540"/>
      <c r="AA621" s="540"/>
      <c r="AB621" s="540"/>
      <c r="AC621" s="540"/>
      <c r="AD621" s="540"/>
      <c r="AE621" s="540"/>
      <c r="AF621" s="540"/>
      <c r="AG621" s="540"/>
      <c r="AH621" s="540"/>
      <c r="AI621" s="540"/>
      <c r="AJ621" s="540"/>
      <c r="AK621" s="540"/>
      <c r="AL621" s="540"/>
      <c r="AM621" s="540"/>
      <c r="AN621" s="540"/>
      <c r="AO621" s="540"/>
      <c r="AP621" s="541"/>
      <c r="AQ621" s="541"/>
      <c r="AR621" s="541"/>
      <c r="AS621" s="540"/>
      <c r="AT621" s="540"/>
      <c r="AU621" s="540"/>
      <c r="AV621" s="540"/>
      <c r="AW621" s="540"/>
      <c r="AX621" s="540"/>
      <c r="AY621" s="542"/>
      <c r="AZ621" s="542"/>
      <c r="BA621" s="542"/>
    </row>
    <row r="622" spans="1:53" x14ac:dyDescent="0.25">
      <c r="A622" s="658">
        <v>2</v>
      </c>
      <c r="B622" s="894" t="s">
        <v>481</v>
      </c>
      <c r="C622" s="894"/>
      <c r="D622" s="894"/>
      <c r="E622" s="543"/>
      <c r="F622" s="544"/>
      <c r="G622" s="543"/>
      <c r="H622" s="543"/>
      <c r="I622" s="724"/>
      <c r="J622" s="543"/>
      <c r="K622" s="543"/>
      <c r="L622" s="545"/>
      <c r="M622" s="545"/>
      <c r="N622" s="545"/>
      <c r="O622" s="545"/>
      <c r="P622" s="545"/>
      <c r="Q622" s="545"/>
      <c r="R622" s="545"/>
      <c r="S622" s="545"/>
      <c r="T622" s="545"/>
      <c r="U622" s="545"/>
      <c r="V622" s="545"/>
      <c r="W622" s="545"/>
      <c r="X622" s="545"/>
      <c r="Y622" s="545"/>
      <c r="Z622" s="545"/>
      <c r="AA622" s="545"/>
      <c r="AB622" s="545"/>
      <c r="AC622" s="545"/>
      <c r="AD622" s="545"/>
      <c r="AE622" s="545"/>
      <c r="AF622" s="545"/>
      <c r="AG622" s="545"/>
      <c r="AH622" s="545"/>
      <c r="AI622" s="545"/>
      <c r="AJ622" s="545"/>
      <c r="AK622" s="545"/>
      <c r="AL622" s="545"/>
      <c r="AM622" s="545"/>
      <c r="AN622" s="545"/>
      <c r="AO622" s="545"/>
      <c r="AP622" s="546"/>
      <c r="AQ622" s="546"/>
      <c r="AR622" s="546"/>
      <c r="AS622" s="545"/>
      <c r="AT622" s="545"/>
      <c r="AU622" s="545"/>
      <c r="AV622" s="545"/>
      <c r="AW622" s="545"/>
      <c r="AX622" s="545"/>
      <c r="AY622" s="547"/>
      <c r="AZ622" s="547"/>
      <c r="BA622" s="547"/>
    </row>
    <row r="623" spans="1:53" x14ac:dyDescent="0.25">
      <c r="A623" s="548"/>
      <c r="B623" s="111">
        <v>4</v>
      </c>
      <c r="C623" s="884" t="s">
        <v>482</v>
      </c>
      <c r="D623" s="884"/>
      <c r="E623" s="549"/>
      <c r="F623" s="267"/>
      <c r="G623" s="549"/>
      <c r="H623" s="549"/>
      <c r="I623" s="725"/>
      <c r="J623" s="549"/>
      <c r="K623" s="549"/>
      <c r="L623" s="550"/>
      <c r="M623" s="550"/>
      <c r="N623" s="550"/>
      <c r="O623" s="550"/>
      <c r="P623" s="550"/>
      <c r="Q623" s="550"/>
      <c r="R623" s="550"/>
      <c r="S623" s="550"/>
      <c r="T623" s="550"/>
      <c r="U623" s="550"/>
      <c r="V623" s="550"/>
      <c r="W623" s="550"/>
      <c r="X623" s="550"/>
      <c r="Y623" s="550"/>
      <c r="Z623" s="550"/>
      <c r="AA623" s="550"/>
      <c r="AB623" s="550"/>
      <c r="AC623" s="550"/>
      <c r="AD623" s="550"/>
      <c r="AE623" s="550"/>
      <c r="AF623" s="550"/>
      <c r="AG623" s="550"/>
      <c r="AH623" s="550"/>
      <c r="AI623" s="550"/>
      <c r="AJ623" s="550"/>
      <c r="AK623" s="550"/>
      <c r="AL623" s="550"/>
      <c r="AM623" s="550"/>
      <c r="AN623" s="550"/>
      <c r="AO623" s="550"/>
      <c r="AP623" s="551"/>
      <c r="AQ623" s="551"/>
      <c r="AR623" s="551"/>
      <c r="AS623" s="550"/>
      <c r="AT623" s="550"/>
      <c r="AU623" s="550"/>
      <c r="AV623" s="550"/>
      <c r="AW623" s="550"/>
      <c r="AX623" s="550"/>
      <c r="AY623" s="552"/>
      <c r="AZ623" s="552"/>
      <c r="BA623" s="552"/>
    </row>
    <row r="624" spans="1:53" x14ac:dyDescent="0.25">
      <c r="A624" s="439"/>
      <c r="B624" s="439"/>
      <c r="C624" s="656"/>
      <c r="D624" s="439"/>
      <c r="E624" s="287">
        <v>14</v>
      </c>
      <c r="F624" s="222" t="s">
        <v>483</v>
      </c>
      <c r="G624" s="78"/>
      <c r="H624" s="78"/>
      <c r="I624" s="690"/>
      <c r="J624" s="78"/>
      <c r="K624" s="78"/>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80"/>
      <c r="AQ624" s="80"/>
      <c r="AR624" s="80"/>
      <c r="AS624" s="79"/>
      <c r="AT624" s="79"/>
      <c r="AU624" s="79"/>
      <c r="AV624" s="79"/>
      <c r="AW624" s="79"/>
      <c r="AX624" s="79"/>
      <c r="AY624" s="81"/>
      <c r="AZ624" s="81"/>
      <c r="BA624" s="81"/>
    </row>
    <row r="625" spans="1:53" ht="66.75" customHeight="1" x14ac:dyDescent="0.25">
      <c r="A625" s="553"/>
      <c r="B625" s="553"/>
      <c r="C625" s="282">
        <v>9</v>
      </c>
      <c r="D625" s="283" t="s">
        <v>708</v>
      </c>
      <c r="E625" s="367"/>
      <c r="F625" s="181">
        <v>54</v>
      </c>
      <c r="G625" s="641" t="s">
        <v>54</v>
      </c>
      <c r="H625" s="182" t="s">
        <v>709</v>
      </c>
      <c r="I625" s="715" t="s">
        <v>429</v>
      </c>
      <c r="J625" s="554" t="s">
        <v>430</v>
      </c>
      <c r="K625" s="182" t="s">
        <v>466</v>
      </c>
      <c r="L625" s="183"/>
      <c r="M625" s="186"/>
      <c r="N625" s="186"/>
      <c r="O625" s="186"/>
      <c r="P625" s="186"/>
      <c r="Q625" s="186"/>
      <c r="R625" s="377"/>
      <c r="S625" s="377"/>
      <c r="T625" s="377"/>
      <c r="U625" s="183"/>
      <c r="V625" s="183"/>
      <c r="W625" s="183"/>
      <c r="X625" s="183"/>
      <c r="Y625" s="183"/>
      <c r="Z625" s="183"/>
      <c r="AA625" s="183"/>
      <c r="AB625" s="183"/>
      <c r="AC625" s="183"/>
      <c r="AD625" s="183"/>
      <c r="AE625" s="183"/>
      <c r="AF625" s="183"/>
      <c r="AG625" s="183"/>
      <c r="AH625" s="183"/>
      <c r="AI625" s="183"/>
      <c r="AJ625" s="183"/>
      <c r="AK625" s="183"/>
      <c r="AL625" s="183"/>
      <c r="AM625" s="183"/>
      <c r="AN625" s="344"/>
      <c r="AO625" s="344"/>
      <c r="AP625" s="555"/>
      <c r="AQ625" s="555"/>
      <c r="AR625" s="555"/>
      <c r="AS625" s="556">
        <v>218280000</v>
      </c>
      <c r="AT625" s="556">
        <v>29088500</v>
      </c>
      <c r="AU625" s="556">
        <v>12434550</v>
      </c>
      <c r="AV625" s="186"/>
      <c r="AW625" s="186"/>
      <c r="AX625" s="186"/>
      <c r="AY625" s="37">
        <f t="shared" ref="AY625" si="845">+L625+O625+R625+U625+X625+AA625+AD625+AG625+AJ625+AM625+AP625+AS625+AV625</f>
        <v>218280000</v>
      </c>
      <c r="AZ625" s="37">
        <f t="shared" ref="AZ625" si="846">+M625+P625+S625+V625+Y625+AB625+AE625+AH625+AK625+AN625+AQ625+AT625+AW625</f>
        <v>29088500</v>
      </c>
      <c r="BA625" s="37">
        <f t="shared" ref="BA625" si="847">+N625+Q625+T625+W625+Z625+AC625+AF625+AI625+AL625+AO625+AR625+AU625+AX625</f>
        <v>12434550</v>
      </c>
    </row>
    <row r="626" spans="1:53" ht="15" x14ac:dyDescent="0.25">
      <c r="A626" s="158"/>
      <c r="B626" s="158"/>
      <c r="C626" s="31"/>
      <c r="D626" s="158"/>
      <c r="E626" s="370"/>
      <c r="F626" s="557"/>
      <c r="G626" s="558"/>
      <c r="H626" s="558"/>
      <c r="I626" s="726"/>
      <c r="J626" s="558"/>
      <c r="K626" s="558"/>
      <c r="L626" s="559"/>
      <c r="M626" s="559"/>
      <c r="N626" s="559"/>
      <c r="O626" s="559"/>
      <c r="P626" s="559"/>
      <c r="Q626" s="559"/>
      <c r="R626" s="559"/>
      <c r="S626" s="559"/>
      <c r="T626" s="559"/>
      <c r="U626" s="559"/>
      <c r="V626" s="559"/>
      <c r="W626" s="559"/>
      <c r="X626" s="559"/>
      <c r="Y626" s="559"/>
      <c r="Z626" s="559"/>
      <c r="AA626" s="559"/>
      <c r="AB626" s="559"/>
      <c r="AC626" s="559"/>
      <c r="AD626" s="559"/>
      <c r="AE626" s="559"/>
      <c r="AF626" s="559"/>
      <c r="AG626" s="559"/>
      <c r="AH626" s="559"/>
      <c r="AI626" s="559"/>
      <c r="AJ626" s="559"/>
      <c r="AK626" s="559"/>
      <c r="AL626" s="559"/>
      <c r="AM626" s="559"/>
      <c r="AN626" s="559"/>
      <c r="AO626" s="559"/>
      <c r="AP626" s="560"/>
      <c r="AQ626" s="560"/>
      <c r="AR626" s="560"/>
      <c r="AS626" s="173">
        <f t="shared" ref="AS626" si="848">SUM(AS625)</f>
        <v>218280000</v>
      </c>
      <c r="AT626" s="173"/>
      <c r="AU626" s="173"/>
      <c r="AV626" s="173"/>
      <c r="AW626" s="173"/>
      <c r="AX626" s="173"/>
      <c r="AY626" s="561">
        <f t="shared" ref="AY626:BA626" si="849">SUM(AY625)</f>
        <v>218280000</v>
      </c>
      <c r="AZ626" s="561">
        <f t="shared" si="849"/>
        <v>29088500</v>
      </c>
      <c r="BA626" s="561">
        <f t="shared" si="849"/>
        <v>12434550</v>
      </c>
    </row>
    <row r="627" spans="1:53" x14ac:dyDescent="0.25">
      <c r="A627" s="439"/>
      <c r="B627" s="439"/>
      <c r="C627" s="31"/>
      <c r="D627" s="158"/>
      <c r="E627" s="562"/>
      <c r="F627" s="563"/>
      <c r="G627" s="22"/>
      <c r="H627" s="564"/>
      <c r="I627" s="727"/>
      <c r="J627" s="564"/>
      <c r="K627" s="22"/>
      <c r="L627" s="565"/>
      <c r="M627" s="565"/>
      <c r="N627" s="565"/>
      <c r="O627" s="565"/>
      <c r="P627" s="565"/>
      <c r="Q627" s="565"/>
      <c r="R627" s="565"/>
      <c r="S627" s="565"/>
      <c r="T627" s="565"/>
      <c r="U627" s="565"/>
      <c r="V627" s="565"/>
      <c r="W627" s="565"/>
      <c r="X627" s="565"/>
      <c r="Y627" s="565"/>
      <c r="Z627" s="565"/>
      <c r="AA627" s="565"/>
      <c r="AB627" s="565"/>
      <c r="AC627" s="565"/>
      <c r="AD627" s="565"/>
      <c r="AE627" s="565"/>
      <c r="AF627" s="565"/>
      <c r="AG627" s="565"/>
      <c r="AH627" s="565"/>
      <c r="AI627" s="565"/>
      <c r="AJ627" s="565"/>
      <c r="AK627" s="565"/>
      <c r="AL627" s="565"/>
      <c r="AM627" s="565"/>
      <c r="AN627" s="565"/>
      <c r="AO627" s="565"/>
      <c r="AP627" s="566"/>
      <c r="AQ627" s="566"/>
      <c r="AR627" s="566"/>
      <c r="AS627" s="567"/>
      <c r="AT627" s="566"/>
      <c r="AU627" s="566"/>
      <c r="AV627" s="566"/>
      <c r="AW627" s="679"/>
      <c r="AX627" s="679"/>
      <c r="AY627" s="64"/>
      <c r="AZ627" s="64"/>
      <c r="BA627" s="64"/>
    </row>
    <row r="628" spans="1:53" x14ac:dyDescent="0.25">
      <c r="A628" s="439"/>
      <c r="B628" s="439"/>
      <c r="C628" s="31"/>
      <c r="D628" s="158"/>
      <c r="E628" s="568">
        <v>15</v>
      </c>
      <c r="F628" s="221" t="s">
        <v>486</v>
      </c>
      <c r="G628" s="78"/>
      <c r="H628" s="217"/>
      <c r="I628" s="728"/>
      <c r="J628" s="217"/>
      <c r="K628" s="78"/>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80"/>
      <c r="AQ628" s="80"/>
      <c r="AR628" s="80"/>
      <c r="AS628" s="569"/>
      <c r="AT628" s="569"/>
      <c r="AU628" s="569"/>
      <c r="AV628" s="569"/>
      <c r="AW628" s="569"/>
      <c r="AX628" s="569"/>
      <c r="AY628" s="440"/>
      <c r="AZ628" s="440"/>
      <c r="BA628" s="440"/>
    </row>
    <row r="629" spans="1:53" ht="77.25" customHeight="1" x14ac:dyDescent="0.25">
      <c r="A629" s="553"/>
      <c r="B629" s="553"/>
      <c r="C629" s="199">
        <v>36</v>
      </c>
      <c r="D629" s="480" t="s">
        <v>710</v>
      </c>
      <c r="E629" s="367"/>
      <c r="F629" s="182">
        <v>59</v>
      </c>
      <c r="G629" s="641" t="s">
        <v>60</v>
      </c>
      <c r="H629" s="570" t="s">
        <v>490</v>
      </c>
      <c r="I629" s="870" t="s">
        <v>429</v>
      </c>
      <c r="J629" s="885" t="s">
        <v>430</v>
      </c>
      <c r="K629" s="182" t="s">
        <v>477</v>
      </c>
      <c r="L629" s="571">
        <v>413967000</v>
      </c>
      <c r="M629" s="571">
        <v>94392000</v>
      </c>
      <c r="N629" s="571">
        <v>45268000</v>
      </c>
      <c r="O629" s="183"/>
      <c r="P629" s="183"/>
      <c r="Q629" s="183"/>
      <c r="R629" s="183"/>
      <c r="S629" s="183"/>
      <c r="T629" s="183"/>
      <c r="U629" s="183"/>
      <c r="V629" s="183"/>
      <c r="W629" s="183"/>
      <c r="X629" s="183"/>
      <c r="Y629" s="183"/>
      <c r="Z629" s="183"/>
      <c r="AA629" s="183"/>
      <c r="AB629" s="183"/>
      <c r="AC629" s="183"/>
      <c r="AD629" s="183"/>
      <c r="AE629" s="183"/>
      <c r="AF629" s="183"/>
      <c r="AG629" s="183"/>
      <c r="AH629" s="183"/>
      <c r="AI629" s="183"/>
      <c r="AJ629" s="183"/>
      <c r="AK629" s="183"/>
      <c r="AL629" s="183"/>
      <c r="AM629" s="183"/>
      <c r="AN629" s="186"/>
      <c r="AO629" s="186"/>
      <c r="AP629" s="377"/>
      <c r="AQ629" s="377"/>
      <c r="AR629" s="377"/>
      <c r="AS629" s="572"/>
      <c r="AT629" s="572"/>
      <c r="AU629" s="572"/>
      <c r="AV629" s="186"/>
      <c r="AW629" s="186"/>
      <c r="AX629" s="186"/>
      <c r="AY629" s="37">
        <f t="shared" ref="AY629:AY632" si="850">+L629+O629+R629+U629+X629+AA629+AD629+AG629+AJ629+AM629+AP629+AS629+AV629</f>
        <v>413967000</v>
      </c>
      <c r="AZ629" s="37">
        <f t="shared" ref="AZ629:AZ632" si="851">+M629+P629+S629+V629+Y629+AB629+AE629+AH629+AK629+AN629+AQ629+AT629+AW629</f>
        <v>94392000</v>
      </c>
      <c r="BA629" s="37">
        <f t="shared" ref="BA629:BA632" si="852">+N629+Q629+T629+W629+Z629+AC629+AF629+AI629+AL629+AO629+AR629+AU629+AX629</f>
        <v>45268000</v>
      </c>
    </row>
    <row r="630" spans="1:53" ht="70.5" customHeight="1" x14ac:dyDescent="0.25">
      <c r="A630" s="553"/>
      <c r="B630" s="553"/>
      <c r="C630" s="278">
        <v>14</v>
      </c>
      <c r="D630" s="29" t="s">
        <v>487</v>
      </c>
      <c r="E630" s="367"/>
      <c r="F630" s="182">
        <v>57</v>
      </c>
      <c r="G630" s="641" t="s">
        <v>57</v>
      </c>
      <c r="H630" s="570" t="s">
        <v>488</v>
      </c>
      <c r="I630" s="874"/>
      <c r="J630" s="886"/>
      <c r="K630" s="182" t="s">
        <v>477</v>
      </c>
      <c r="L630" s="571">
        <v>413967000</v>
      </c>
      <c r="M630" s="571">
        <v>94392000</v>
      </c>
      <c r="N630" s="571">
        <v>45268000</v>
      </c>
      <c r="O630" s="183"/>
      <c r="P630" s="183"/>
      <c r="Q630" s="183"/>
      <c r="R630" s="183"/>
      <c r="S630" s="183"/>
      <c r="T630" s="183"/>
      <c r="U630" s="183"/>
      <c r="V630" s="183"/>
      <c r="W630" s="183"/>
      <c r="X630" s="183"/>
      <c r="Y630" s="183"/>
      <c r="Z630" s="183"/>
      <c r="AA630" s="183"/>
      <c r="AB630" s="183"/>
      <c r="AC630" s="183"/>
      <c r="AD630" s="183"/>
      <c r="AE630" s="183"/>
      <c r="AF630" s="183"/>
      <c r="AG630" s="183"/>
      <c r="AH630" s="183"/>
      <c r="AI630" s="183"/>
      <c r="AJ630" s="183"/>
      <c r="AK630" s="183"/>
      <c r="AL630" s="183"/>
      <c r="AM630" s="183"/>
      <c r="AN630" s="186"/>
      <c r="AO630" s="186"/>
      <c r="AP630" s="377"/>
      <c r="AQ630" s="377"/>
      <c r="AR630" s="377"/>
      <c r="AS630" s="186">
        <v>218280000</v>
      </c>
      <c r="AT630" s="186">
        <v>29088500</v>
      </c>
      <c r="AU630" s="186">
        <v>12434550</v>
      </c>
      <c r="AV630" s="196"/>
      <c r="AW630" s="196"/>
      <c r="AX630" s="196"/>
      <c r="AY630" s="37">
        <f t="shared" si="850"/>
        <v>632247000</v>
      </c>
      <c r="AZ630" s="37">
        <f t="shared" si="851"/>
        <v>123480500</v>
      </c>
      <c r="BA630" s="37">
        <f t="shared" si="852"/>
        <v>57702550</v>
      </c>
    </row>
    <row r="631" spans="1:53" ht="81" customHeight="1" x14ac:dyDescent="0.25">
      <c r="A631" s="553"/>
      <c r="B631" s="553"/>
      <c r="C631" s="199">
        <v>10</v>
      </c>
      <c r="D631" s="167" t="s">
        <v>645</v>
      </c>
      <c r="E631" s="367"/>
      <c r="F631" s="182">
        <v>60</v>
      </c>
      <c r="G631" s="641" t="s">
        <v>431</v>
      </c>
      <c r="H631" s="570" t="s">
        <v>490</v>
      </c>
      <c r="I631" s="874"/>
      <c r="J631" s="886"/>
      <c r="K631" s="182" t="s">
        <v>477</v>
      </c>
      <c r="L631" s="571"/>
      <c r="M631" s="571"/>
      <c r="N631" s="571"/>
      <c r="O631" s="183"/>
      <c r="P631" s="183"/>
      <c r="Q631" s="183"/>
      <c r="R631" s="183"/>
      <c r="S631" s="183"/>
      <c r="T631" s="183"/>
      <c r="U631" s="183"/>
      <c r="V631" s="183"/>
      <c r="W631" s="183"/>
      <c r="X631" s="183"/>
      <c r="Y631" s="183"/>
      <c r="Z631" s="183"/>
      <c r="AA631" s="183"/>
      <c r="AB631" s="183"/>
      <c r="AC631" s="183"/>
      <c r="AD631" s="183"/>
      <c r="AE631" s="183"/>
      <c r="AF631" s="183"/>
      <c r="AG631" s="183"/>
      <c r="AH631" s="183"/>
      <c r="AI631" s="183"/>
      <c r="AJ631" s="183"/>
      <c r="AK631" s="183"/>
      <c r="AL631" s="183"/>
      <c r="AM631" s="183"/>
      <c r="AN631" s="186"/>
      <c r="AO631" s="186"/>
      <c r="AP631" s="377"/>
      <c r="AQ631" s="377"/>
      <c r="AR631" s="377"/>
      <c r="AS631" s="573">
        <v>218280000</v>
      </c>
      <c r="AT631" s="573">
        <v>29088500</v>
      </c>
      <c r="AU631" s="573">
        <v>12434550</v>
      </c>
      <c r="AV631" s="186"/>
      <c r="AW631" s="186"/>
      <c r="AX631" s="186"/>
      <c r="AY631" s="37">
        <f t="shared" si="850"/>
        <v>218280000</v>
      </c>
      <c r="AZ631" s="37">
        <f t="shared" si="851"/>
        <v>29088500</v>
      </c>
      <c r="BA631" s="37">
        <f t="shared" si="852"/>
        <v>12434550</v>
      </c>
    </row>
    <row r="632" spans="1:53" ht="77.25" customHeight="1" x14ac:dyDescent="0.25">
      <c r="A632" s="553"/>
      <c r="B632" s="553"/>
      <c r="C632" s="199">
        <v>32</v>
      </c>
      <c r="D632" s="167" t="s">
        <v>492</v>
      </c>
      <c r="E632" s="367"/>
      <c r="F632" s="182">
        <v>63</v>
      </c>
      <c r="G632" s="641" t="s">
        <v>62</v>
      </c>
      <c r="H632" s="570" t="s">
        <v>493</v>
      </c>
      <c r="I632" s="871"/>
      <c r="J632" s="887"/>
      <c r="K632" s="182" t="s">
        <v>477</v>
      </c>
      <c r="L632" s="571">
        <f>413967000+115-1000</f>
        <v>413966115</v>
      </c>
      <c r="M632" s="571">
        <v>45331904</v>
      </c>
      <c r="N632" s="571">
        <v>14377954</v>
      </c>
      <c r="O632" s="183"/>
      <c r="P632" s="183"/>
      <c r="Q632" s="183"/>
      <c r="R632" s="183"/>
      <c r="S632" s="183"/>
      <c r="T632" s="183"/>
      <c r="U632" s="183"/>
      <c r="V632" s="183"/>
      <c r="W632" s="183"/>
      <c r="X632" s="183"/>
      <c r="Y632" s="183"/>
      <c r="Z632" s="183"/>
      <c r="AA632" s="183"/>
      <c r="AB632" s="183"/>
      <c r="AC632" s="183"/>
      <c r="AD632" s="183"/>
      <c r="AE632" s="183"/>
      <c r="AF632" s="183"/>
      <c r="AG632" s="183"/>
      <c r="AH632" s="343"/>
      <c r="AI632" s="343"/>
      <c r="AJ632" s="343"/>
      <c r="AK632" s="343"/>
      <c r="AL632" s="343"/>
      <c r="AM632" s="343"/>
      <c r="AN632" s="344"/>
      <c r="AO632" s="344"/>
      <c r="AP632" s="574"/>
      <c r="AQ632" s="574"/>
      <c r="AR632" s="574"/>
      <c r="AS632" s="573">
        <v>218280000</v>
      </c>
      <c r="AT632" s="573">
        <v>94392000</v>
      </c>
      <c r="AU632" s="573">
        <v>45268000</v>
      </c>
      <c r="AV632" s="186"/>
      <c r="AW632" s="186"/>
      <c r="AX632" s="186"/>
      <c r="AY632" s="37">
        <f t="shared" si="850"/>
        <v>632246115</v>
      </c>
      <c r="AZ632" s="37">
        <f t="shared" si="851"/>
        <v>139723904</v>
      </c>
      <c r="BA632" s="37">
        <f t="shared" si="852"/>
        <v>59645954</v>
      </c>
    </row>
    <row r="633" spans="1:53" ht="15" x14ac:dyDescent="0.25">
      <c r="A633" s="548"/>
      <c r="B633" s="439"/>
      <c r="C633" s="31"/>
      <c r="D633" s="29"/>
      <c r="E633" s="370"/>
      <c r="F633" s="41"/>
      <c r="G633" s="40"/>
      <c r="H633" s="41"/>
      <c r="I633" s="685"/>
      <c r="J633" s="40"/>
      <c r="K633" s="41"/>
      <c r="L633" s="43">
        <f t="shared" ref="L633" si="853">SUM(L629:L632)</f>
        <v>1241900115</v>
      </c>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c r="AM633" s="43"/>
      <c r="AN633" s="43"/>
      <c r="AO633" s="43"/>
      <c r="AP633" s="43"/>
      <c r="AQ633" s="43"/>
      <c r="AR633" s="43"/>
      <c r="AS633" s="43">
        <f t="shared" ref="AS633:AU633" si="854">SUM(AS629:AS632)</f>
        <v>654840000</v>
      </c>
      <c r="AT633" s="43">
        <f t="shared" si="854"/>
        <v>152569000</v>
      </c>
      <c r="AU633" s="43">
        <f t="shared" si="854"/>
        <v>70137100</v>
      </c>
      <c r="AV633" s="43"/>
      <c r="AW633" s="43"/>
      <c r="AX633" s="43"/>
      <c r="AY633" s="43">
        <f t="shared" ref="AY633:BA633" si="855">SUM(AY629:AY632)</f>
        <v>1896740115</v>
      </c>
      <c r="AZ633" s="43">
        <f t="shared" si="855"/>
        <v>386684904</v>
      </c>
      <c r="BA633" s="43">
        <f t="shared" si="855"/>
        <v>175051054</v>
      </c>
    </row>
    <row r="634" spans="1:53" ht="15" x14ac:dyDescent="0.25">
      <c r="A634" s="548"/>
      <c r="B634" s="45"/>
      <c r="C634" s="46"/>
      <c r="D634" s="45"/>
      <c r="E634" s="104"/>
      <c r="F634" s="46"/>
      <c r="G634" s="45"/>
      <c r="H634" s="46"/>
      <c r="I634" s="686"/>
      <c r="J634" s="45"/>
      <c r="K634" s="46"/>
      <c r="L634" s="48">
        <f t="shared" ref="L634:L636" si="856">L633</f>
        <v>1241900115</v>
      </c>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f t="shared" ref="AS634:AU634" si="857">AS633+AS626</f>
        <v>873120000</v>
      </c>
      <c r="AT634" s="48">
        <f t="shared" si="857"/>
        <v>152569000</v>
      </c>
      <c r="AU634" s="48">
        <f t="shared" si="857"/>
        <v>70137100</v>
      </c>
      <c r="AV634" s="48"/>
      <c r="AW634" s="48"/>
      <c r="AX634" s="48"/>
      <c r="AY634" s="48">
        <f t="shared" ref="AY634:BA634" si="858">AY633+AY626</f>
        <v>2115020115</v>
      </c>
      <c r="AZ634" s="48">
        <f t="shared" si="858"/>
        <v>415773404</v>
      </c>
      <c r="BA634" s="48">
        <f t="shared" si="858"/>
        <v>187485604</v>
      </c>
    </row>
    <row r="635" spans="1:53" ht="15" x14ac:dyDescent="0.25">
      <c r="A635" s="49"/>
      <c r="B635" s="49"/>
      <c r="C635" s="50"/>
      <c r="D635" s="49"/>
      <c r="E635" s="203"/>
      <c r="F635" s="50"/>
      <c r="G635" s="49"/>
      <c r="H635" s="50"/>
      <c r="I635" s="687"/>
      <c r="J635" s="49"/>
      <c r="K635" s="50"/>
      <c r="L635" s="52">
        <f t="shared" si="856"/>
        <v>1241900115</v>
      </c>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f t="shared" ref="AS635:AU636" si="859">AS634</f>
        <v>873120000</v>
      </c>
      <c r="AT635" s="52">
        <f t="shared" si="859"/>
        <v>152569000</v>
      </c>
      <c r="AU635" s="52">
        <f t="shared" si="859"/>
        <v>70137100</v>
      </c>
      <c r="AV635" s="52"/>
      <c r="AW635" s="52"/>
      <c r="AX635" s="52"/>
      <c r="AY635" s="52">
        <f t="shared" ref="AY635:BA636" si="860">AY634</f>
        <v>2115020115</v>
      </c>
      <c r="AZ635" s="52">
        <f t="shared" si="860"/>
        <v>415773404</v>
      </c>
      <c r="BA635" s="52">
        <f t="shared" si="860"/>
        <v>187485604</v>
      </c>
    </row>
    <row r="636" spans="1:53" ht="15" x14ac:dyDescent="0.25">
      <c r="A636" s="53"/>
      <c r="B636" s="53"/>
      <c r="C636" s="54"/>
      <c r="D636" s="53"/>
      <c r="E636" s="575"/>
      <c r="F636" s="54"/>
      <c r="G636" s="53"/>
      <c r="H636" s="54"/>
      <c r="I636" s="688"/>
      <c r="J636" s="53"/>
      <c r="K636" s="54"/>
      <c r="L636" s="56">
        <f t="shared" si="856"/>
        <v>1241900115</v>
      </c>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f t="shared" si="859"/>
        <v>873120000</v>
      </c>
      <c r="AT636" s="56">
        <f t="shared" si="859"/>
        <v>152569000</v>
      </c>
      <c r="AU636" s="56">
        <f t="shared" si="859"/>
        <v>70137100</v>
      </c>
      <c r="AV636" s="56"/>
      <c r="AW636" s="56"/>
      <c r="AX636" s="56"/>
      <c r="AY636" s="56">
        <f t="shared" si="860"/>
        <v>2115020115</v>
      </c>
      <c r="AZ636" s="56">
        <f t="shared" si="860"/>
        <v>415773404</v>
      </c>
      <c r="BA636" s="56">
        <f t="shared" si="860"/>
        <v>187485604</v>
      </c>
    </row>
    <row r="637" spans="1:53" ht="27.75" customHeight="1" x14ac:dyDescent="0.25">
      <c r="A637" s="167"/>
      <c r="B637" s="167"/>
      <c r="C637" s="122"/>
      <c r="D637" s="167"/>
      <c r="E637" s="576"/>
      <c r="F637" s="577"/>
      <c r="G637" s="576"/>
      <c r="H637" s="577"/>
      <c r="I637" s="729"/>
      <c r="J637" s="576"/>
      <c r="K637" s="577"/>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578"/>
      <c r="AQ637" s="578"/>
      <c r="AR637" s="578"/>
      <c r="AS637" s="63"/>
      <c r="AT637" s="63"/>
      <c r="AU637" s="63"/>
      <c r="AV637" s="63"/>
      <c r="AW637" s="63"/>
      <c r="AX637" s="63"/>
      <c r="AY637" s="64"/>
      <c r="AZ637" s="64"/>
      <c r="BA637" s="64"/>
    </row>
    <row r="638" spans="1:53" ht="36.75" customHeight="1" x14ac:dyDescent="0.25">
      <c r="A638" s="579" t="s">
        <v>432</v>
      </c>
      <c r="B638" s="579"/>
      <c r="C638" s="580"/>
      <c r="D638" s="579"/>
      <c r="E638" s="8"/>
      <c r="F638" s="9"/>
      <c r="G638" s="8"/>
      <c r="H638" s="8"/>
      <c r="I638" s="680"/>
      <c r="J638" s="8"/>
      <c r="K638" s="9"/>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6"/>
      <c r="AQ638" s="66"/>
      <c r="AR638" s="66"/>
      <c r="AS638" s="65"/>
      <c r="AT638" s="65"/>
      <c r="AU638" s="65"/>
      <c r="AV638" s="65"/>
      <c r="AW638" s="65"/>
      <c r="AX638" s="65"/>
      <c r="AY638" s="436"/>
      <c r="AZ638" s="436"/>
      <c r="BA638" s="436"/>
    </row>
    <row r="639" spans="1:53" ht="24.75" customHeight="1" x14ac:dyDescent="0.25">
      <c r="A639" s="658">
        <v>4</v>
      </c>
      <c r="B639" s="581" t="s">
        <v>711</v>
      </c>
      <c r="C639" s="582"/>
      <c r="D639" s="581"/>
      <c r="E639" s="543"/>
      <c r="F639" s="544"/>
      <c r="G639" s="543"/>
      <c r="H639" s="543"/>
      <c r="I639" s="724"/>
      <c r="J639" s="543"/>
      <c r="K639" s="543"/>
      <c r="L639" s="545"/>
      <c r="M639" s="545"/>
      <c r="N639" s="545"/>
      <c r="O639" s="545"/>
      <c r="P639" s="545"/>
      <c r="Q639" s="545"/>
      <c r="R639" s="545"/>
      <c r="S639" s="545"/>
      <c r="T639" s="545"/>
      <c r="U639" s="545"/>
      <c r="V639" s="545"/>
      <c r="W639" s="545"/>
      <c r="X639" s="545"/>
      <c r="Y639" s="545"/>
      <c r="Z639" s="545"/>
      <c r="AA639" s="545"/>
      <c r="AB639" s="545"/>
      <c r="AC639" s="545"/>
      <c r="AD639" s="545"/>
      <c r="AE639" s="545"/>
      <c r="AF639" s="545"/>
      <c r="AG639" s="545"/>
      <c r="AH639" s="545"/>
      <c r="AI639" s="545"/>
      <c r="AJ639" s="545"/>
      <c r="AK639" s="545"/>
      <c r="AL639" s="545"/>
      <c r="AM639" s="545"/>
      <c r="AN639" s="545"/>
      <c r="AO639" s="545"/>
      <c r="AP639" s="546"/>
      <c r="AQ639" s="546"/>
      <c r="AR639" s="546"/>
      <c r="AS639" s="545"/>
      <c r="AT639" s="545"/>
      <c r="AU639" s="545"/>
      <c r="AV639" s="545"/>
      <c r="AW639" s="545"/>
      <c r="AX639" s="545"/>
      <c r="AY639" s="547"/>
      <c r="AZ639" s="547"/>
      <c r="BA639" s="547"/>
    </row>
    <row r="640" spans="1:53" ht="24.75" customHeight="1" x14ac:dyDescent="0.25">
      <c r="A640" s="71"/>
      <c r="B640" s="111">
        <v>23</v>
      </c>
      <c r="C640" s="583" t="s">
        <v>502</v>
      </c>
      <c r="D640" s="584"/>
      <c r="E640" s="17"/>
      <c r="F640" s="640"/>
      <c r="G640" s="17"/>
      <c r="H640" s="549"/>
      <c r="I640" s="725"/>
      <c r="J640" s="549"/>
      <c r="K640" s="549"/>
      <c r="L640" s="550"/>
      <c r="M640" s="550"/>
      <c r="N640" s="550"/>
      <c r="O640" s="550"/>
      <c r="P640" s="550"/>
      <c r="Q640" s="550"/>
      <c r="R640" s="550"/>
      <c r="S640" s="550"/>
      <c r="T640" s="550"/>
      <c r="U640" s="550"/>
      <c r="V640" s="550"/>
      <c r="W640" s="550"/>
      <c r="X640" s="550"/>
      <c r="Y640" s="550"/>
      <c r="Z640" s="550"/>
      <c r="AA640" s="550"/>
      <c r="AB640" s="550"/>
      <c r="AC640" s="550"/>
      <c r="AD640" s="550"/>
      <c r="AE640" s="550"/>
      <c r="AF640" s="550"/>
      <c r="AG640" s="550"/>
      <c r="AH640" s="550"/>
      <c r="AI640" s="550"/>
      <c r="AJ640" s="550"/>
      <c r="AK640" s="550"/>
      <c r="AL640" s="550"/>
      <c r="AM640" s="550"/>
      <c r="AN640" s="550"/>
      <c r="AO640" s="550"/>
      <c r="AP640" s="551"/>
      <c r="AQ640" s="551"/>
      <c r="AR640" s="551"/>
      <c r="AS640" s="550"/>
      <c r="AT640" s="550"/>
      <c r="AU640" s="550"/>
      <c r="AV640" s="550"/>
      <c r="AW640" s="550"/>
      <c r="AX640" s="550"/>
      <c r="AY640" s="552"/>
      <c r="AZ640" s="552"/>
      <c r="BA640" s="552"/>
    </row>
    <row r="641" spans="1:53" ht="24.75" customHeight="1" x14ac:dyDescent="0.25">
      <c r="A641" s="27"/>
      <c r="B641" s="585"/>
      <c r="C641" s="31"/>
      <c r="D641" s="29"/>
      <c r="E641" s="287">
        <v>77</v>
      </c>
      <c r="F641" s="77" t="s">
        <v>712</v>
      </c>
      <c r="G641" s="78"/>
      <c r="H641" s="78"/>
      <c r="I641" s="690"/>
      <c r="J641" s="78"/>
      <c r="K641" s="78"/>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80"/>
      <c r="AQ641" s="80"/>
      <c r="AR641" s="80"/>
      <c r="AS641" s="79"/>
      <c r="AT641" s="79"/>
      <c r="AU641" s="79"/>
      <c r="AV641" s="79"/>
      <c r="AW641" s="79"/>
      <c r="AX641" s="79"/>
      <c r="AY641" s="440"/>
      <c r="AZ641" s="440"/>
      <c r="BA641" s="440"/>
    </row>
    <row r="642" spans="1:53" ht="54" customHeight="1" x14ac:dyDescent="0.25">
      <c r="A642" s="27"/>
      <c r="B642" s="586"/>
      <c r="C642" s="31">
        <v>11</v>
      </c>
      <c r="D642" s="158" t="s">
        <v>713</v>
      </c>
      <c r="E642" s="112"/>
      <c r="F642" s="31">
        <v>223</v>
      </c>
      <c r="G642" s="29" t="s">
        <v>433</v>
      </c>
      <c r="H642" s="278" t="s">
        <v>485</v>
      </c>
      <c r="I642" s="870" t="s">
        <v>434</v>
      </c>
      <c r="J642" s="828" t="s">
        <v>435</v>
      </c>
      <c r="K642" s="31" t="s">
        <v>466</v>
      </c>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6"/>
      <c r="AO642" s="36"/>
      <c r="AP642" s="189"/>
      <c r="AQ642" s="189"/>
      <c r="AR642" s="189"/>
      <c r="AS642" s="189">
        <v>87000000</v>
      </c>
      <c r="AT642" s="790">
        <v>13872000</v>
      </c>
      <c r="AU642" s="790">
        <v>4692000</v>
      </c>
      <c r="AV642" s="36"/>
      <c r="AW642" s="36"/>
      <c r="AX642" s="36"/>
      <c r="AY642" s="37">
        <f t="shared" ref="AY642:AY643" si="861">+L642+O642+R642+U642+X642+AA642+AD642+AG642+AJ642+AM642+AP642+AS642+AV642</f>
        <v>87000000</v>
      </c>
      <c r="AZ642" s="37">
        <f t="shared" ref="AZ642:AZ643" si="862">+M642+P642+S642+V642+Y642+AB642+AE642+AH642+AK642+AN642+AQ642+AT642+AW642</f>
        <v>13872000</v>
      </c>
      <c r="BA642" s="37">
        <f t="shared" ref="BA642:BA643" si="863">+N642+Q642+T642+W642+Z642+AC642+AF642+AI642+AL642+AO642+AR642+AU642+AX642</f>
        <v>4692000</v>
      </c>
    </row>
    <row r="643" spans="1:53" ht="45.75" customHeight="1" x14ac:dyDescent="0.25">
      <c r="A643" s="27"/>
      <c r="B643" s="586"/>
      <c r="C643" s="31">
        <v>11</v>
      </c>
      <c r="D643" s="158" t="s">
        <v>713</v>
      </c>
      <c r="E643" s="302"/>
      <c r="F643" s="31">
        <v>224</v>
      </c>
      <c r="G643" s="29" t="s">
        <v>436</v>
      </c>
      <c r="H643" s="278" t="s">
        <v>485</v>
      </c>
      <c r="I643" s="874"/>
      <c r="J643" s="824"/>
      <c r="K643" s="31" t="s">
        <v>466</v>
      </c>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6"/>
      <c r="AO643" s="36"/>
      <c r="AP643" s="189"/>
      <c r="AQ643" s="189"/>
      <c r="AR643" s="189"/>
      <c r="AS643" s="189">
        <v>20000000</v>
      </c>
      <c r="AT643" s="189"/>
      <c r="AU643" s="189"/>
      <c r="AV643" s="36"/>
      <c r="AW643" s="36"/>
      <c r="AX643" s="36"/>
      <c r="AY643" s="37">
        <f t="shared" si="861"/>
        <v>20000000</v>
      </c>
      <c r="AZ643" s="37">
        <f t="shared" si="862"/>
        <v>0</v>
      </c>
      <c r="BA643" s="37">
        <f t="shared" si="863"/>
        <v>0</v>
      </c>
    </row>
    <row r="644" spans="1:53" ht="21.75" customHeight="1" x14ac:dyDescent="0.25">
      <c r="A644" s="27"/>
      <c r="B644" s="548"/>
      <c r="C644" s="31"/>
      <c r="D644" s="29"/>
      <c r="E644" s="370"/>
      <c r="F644" s="41"/>
      <c r="G644" s="40"/>
      <c r="H644" s="42"/>
      <c r="I644" s="685"/>
      <c r="J644" s="40"/>
      <c r="K644" s="41"/>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c r="AN644" s="43"/>
      <c r="AO644" s="43"/>
      <c r="AP644" s="43">
        <f>SUM(AP642:AP643)</f>
        <v>0</v>
      </c>
      <c r="AQ644" s="43">
        <f t="shared" ref="AQ644:AR644" si="864">SUM(AQ642:AQ643)</f>
        <v>0</v>
      </c>
      <c r="AR644" s="43">
        <f t="shared" si="864"/>
        <v>0</v>
      </c>
      <c r="AS644" s="43">
        <f>SUM(AS642:AS643)</f>
        <v>107000000</v>
      </c>
      <c r="AT644" s="43">
        <f t="shared" ref="AT644:AU644" si="865">SUM(AT642:AT643)</f>
        <v>13872000</v>
      </c>
      <c r="AU644" s="43">
        <f t="shared" si="865"/>
        <v>4692000</v>
      </c>
      <c r="AV644" s="43"/>
      <c r="AW644" s="43"/>
      <c r="AX644" s="43"/>
      <c r="AY644" s="43">
        <f>SUM(AY642:AY643)</f>
        <v>107000000</v>
      </c>
      <c r="AZ644" s="43">
        <f t="shared" ref="AZ644:BA644" si="866">SUM(AZ642:AZ643)</f>
        <v>13872000</v>
      </c>
      <c r="BA644" s="43">
        <f t="shared" si="866"/>
        <v>4692000</v>
      </c>
    </row>
    <row r="645" spans="1:53" ht="21.75" customHeight="1" x14ac:dyDescent="0.25">
      <c r="A645" s="39"/>
      <c r="B645" s="587"/>
      <c r="C645" s="588"/>
      <c r="D645" s="587"/>
      <c r="E645" s="589"/>
      <c r="F645" s="588"/>
      <c r="G645" s="587"/>
      <c r="H645" s="590"/>
      <c r="I645" s="730"/>
      <c r="J645" s="587"/>
      <c r="K645" s="588"/>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1"/>
      <c r="AL645" s="591"/>
      <c r="AM645" s="591"/>
      <c r="AN645" s="591"/>
      <c r="AO645" s="591"/>
      <c r="AP645" s="591">
        <f t="shared" ref="AP645:AS647" si="867">+AP644</f>
        <v>0</v>
      </c>
      <c r="AQ645" s="591">
        <f t="shared" ref="AQ645:AR645" si="868">+AQ644</f>
        <v>0</v>
      </c>
      <c r="AR645" s="591">
        <f t="shared" si="868"/>
        <v>0</v>
      </c>
      <c r="AS645" s="591">
        <f t="shared" si="867"/>
        <v>107000000</v>
      </c>
      <c r="AT645" s="591">
        <f t="shared" ref="AT645:AU645" si="869">+AT644</f>
        <v>13872000</v>
      </c>
      <c r="AU645" s="591">
        <f t="shared" si="869"/>
        <v>4692000</v>
      </c>
      <c r="AV645" s="591"/>
      <c r="AW645" s="591"/>
      <c r="AX645" s="591"/>
      <c r="AY645" s="591">
        <f t="shared" ref="AY645:BA647" si="870">AY644</f>
        <v>107000000</v>
      </c>
      <c r="AZ645" s="591">
        <f t="shared" si="870"/>
        <v>13872000</v>
      </c>
      <c r="BA645" s="591">
        <f t="shared" si="870"/>
        <v>4692000</v>
      </c>
    </row>
    <row r="646" spans="1:53" ht="21.75" customHeight="1" x14ac:dyDescent="0.25">
      <c r="A646" s="49"/>
      <c r="B646" s="49"/>
      <c r="C646" s="50"/>
      <c r="D646" s="49"/>
      <c r="E646" s="203"/>
      <c r="F646" s="50"/>
      <c r="G646" s="49"/>
      <c r="H646" s="51"/>
      <c r="I646" s="687"/>
      <c r="J646" s="49"/>
      <c r="K646" s="50"/>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f t="shared" si="867"/>
        <v>0</v>
      </c>
      <c r="AQ646" s="52">
        <f t="shared" ref="AQ646:AR646" si="871">+AQ645</f>
        <v>0</v>
      </c>
      <c r="AR646" s="52">
        <f t="shared" si="871"/>
        <v>0</v>
      </c>
      <c r="AS646" s="52">
        <f t="shared" si="867"/>
        <v>107000000</v>
      </c>
      <c r="AT646" s="52">
        <f t="shared" ref="AT646:AU646" si="872">+AT645</f>
        <v>13872000</v>
      </c>
      <c r="AU646" s="52">
        <f t="shared" si="872"/>
        <v>4692000</v>
      </c>
      <c r="AV646" s="52"/>
      <c r="AW646" s="52"/>
      <c r="AX646" s="52"/>
      <c r="AY646" s="52">
        <f t="shared" si="870"/>
        <v>107000000</v>
      </c>
      <c r="AZ646" s="52">
        <f t="shared" si="870"/>
        <v>13872000</v>
      </c>
      <c r="BA646" s="52">
        <f t="shared" si="870"/>
        <v>4692000</v>
      </c>
    </row>
    <row r="647" spans="1:53" ht="21.75" customHeight="1" x14ac:dyDescent="0.25">
      <c r="A647" s="53"/>
      <c r="B647" s="53"/>
      <c r="C647" s="54"/>
      <c r="D647" s="53"/>
      <c r="E647" s="575"/>
      <c r="F647" s="54"/>
      <c r="G647" s="53"/>
      <c r="H647" s="55"/>
      <c r="I647" s="688"/>
      <c r="J647" s="53"/>
      <c r="K647" s="54"/>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f t="shared" si="867"/>
        <v>0</v>
      </c>
      <c r="AQ647" s="56">
        <f t="shared" ref="AQ647:AR647" si="873">+AQ646</f>
        <v>0</v>
      </c>
      <c r="AR647" s="56">
        <f t="shared" si="873"/>
        <v>0</v>
      </c>
      <c r="AS647" s="56">
        <f t="shared" si="867"/>
        <v>107000000</v>
      </c>
      <c r="AT647" s="56">
        <f t="shared" ref="AT647:AU647" si="874">+AT646</f>
        <v>13872000</v>
      </c>
      <c r="AU647" s="56">
        <f t="shared" si="874"/>
        <v>4692000</v>
      </c>
      <c r="AV647" s="56"/>
      <c r="AW647" s="56"/>
      <c r="AX647" s="56"/>
      <c r="AY647" s="56">
        <f t="shared" si="870"/>
        <v>107000000</v>
      </c>
      <c r="AZ647" s="56">
        <f t="shared" si="870"/>
        <v>13872000</v>
      </c>
      <c r="BA647" s="56">
        <f t="shared" si="870"/>
        <v>4692000</v>
      </c>
    </row>
    <row r="648" spans="1:53" s="12" customFormat="1" ht="29.25" customHeight="1" x14ac:dyDescent="0.25">
      <c r="A648" s="888" t="s">
        <v>714</v>
      </c>
      <c r="B648" s="889"/>
      <c r="C648" s="889"/>
      <c r="D648" s="889"/>
      <c r="E648" s="890"/>
      <c r="F648" s="498"/>
      <c r="G648" s="498"/>
      <c r="H648" s="498"/>
      <c r="I648" s="731"/>
      <c r="J648" s="498"/>
      <c r="K648" s="498"/>
      <c r="L648" s="498">
        <f t="shared" ref="L648:AY648" si="875">+L647+L636+L619</f>
        <v>1241900115</v>
      </c>
      <c r="M648" s="498">
        <f t="shared" ref="M648:N648" si="876">+M647+M636+M619</f>
        <v>0</v>
      </c>
      <c r="N648" s="498">
        <f t="shared" si="876"/>
        <v>0</v>
      </c>
      <c r="O648" s="498">
        <f t="shared" si="875"/>
        <v>0</v>
      </c>
      <c r="P648" s="498">
        <f t="shared" ref="P648:Q648" si="877">+P647+P636+P619</f>
        <v>0</v>
      </c>
      <c r="Q648" s="498">
        <f t="shared" si="877"/>
        <v>0</v>
      </c>
      <c r="R648" s="498">
        <f t="shared" si="875"/>
        <v>0</v>
      </c>
      <c r="S648" s="498">
        <f t="shared" ref="S648:T648" si="878">+S647+S636+S619</f>
        <v>0</v>
      </c>
      <c r="T648" s="498">
        <f t="shared" si="878"/>
        <v>0</v>
      </c>
      <c r="U648" s="498">
        <f t="shared" si="875"/>
        <v>0</v>
      </c>
      <c r="V648" s="498">
        <f t="shared" ref="V648:W648" si="879">+V647+V636+V619</f>
        <v>0</v>
      </c>
      <c r="W648" s="498">
        <f t="shared" si="879"/>
        <v>0</v>
      </c>
      <c r="X648" s="498">
        <f t="shared" si="875"/>
        <v>0</v>
      </c>
      <c r="Y648" s="498">
        <f t="shared" ref="Y648:Z648" si="880">+Y647+Y636+Y619</f>
        <v>0</v>
      </c>
      <c r="Z648" s="498">
        <f t="shared" si="880"/>
        <v>0</v>
      </c>
      <c r="AA648" s="498">
        <f t="shared" si="875"/>
        <v>0</v>
      </c>
      <c r="AB648" s="498">
        <f t="shared" ref="AB648:AC648" si="881">+AB647+AB636+AB619</f>
        <v>0</v>
      </c>
      <c r="AC648" s="498">
        <f t="shared" si="881"/>
        <v>0</v>
      </c>
      <c r="AD648" s="498">
        <f t="shared" si="875"/>
        <v>0</v>
      </c>
      <c r="AE648" s="498">
        <f t="shared" ref="AE648:AF648" si="882">+AE647+AE636+AE619</f>
        <v>0</v>
      </c>
      <c r="AF648" s="498">
        <f t="shared" si="882"/>
        <v>0</v>
      </c>
      <c r="AG648" s="498">
        <f t="shared" si="875"/>
        <v>0</v>
      </c>
      <c r="AH648" s="498">
        <f t="shared" ref="AH648:AI648" si="883">+AH647+AH636+AH619</f>
        <v>0</v>
      </c>
      <c r="AI648" s="498">
        <f t="shared" si="883"/>
        <v>0</v>
      </c>
      <c r="AJ648" s="498">
        <f t="shared" si="875"/>
        <v>0</v>
      </c>
      <c r="AK648" s="498">
        <f t="shared" ref="AK648:AL648" si="884">+AK647+AK636+AK619</f>
        <v>0</v>
      </c>
      <c r="AL648" s="498">
        <f t="shared" si="884"/>
        <v>0</v>
      </c>
      <c r="AM648" s="498">
        <f t="shared" si="875"/>
        <v>0</v>
      </c>
      <c r="AN648" s="498">
        <f t="shared" ref="AN648:AO648" si="885">+AN647+AN636+AN619</f>
        <v>0</v>
      </c>
      <c r="AO648" s="498">
        <f t="shared" si="885"/>
        <v>0</v>
      </c>
      <c r="AP648" s="498">
        <f t="shared" si="875"/>
        <v>821316151</v>
      </c>
      <c r="AQ648" s="498">
        <f t="shared" ref="AQ648:AR648" si="886">+AQ647+AQ636+AQ619</f>
        <v>106310000</v>
      </c>
      <c r="AR648" s="498">
        <f t="shared" si="886"/>
        <v>39820000</v>
      </c>
      <c r="AS648" s="498">
        <f t="shared" si="875"/>
        <v>1742289320</v>
      </c>
      <c r="AT648" s="498">
        <f t="shared" ref="AT648:AU648" si="887">+AT647+AT636+AT619</f>
        <v>346009924</v>
      </c>
      <c r="AU648" s="498">
        <f t="shared" si="887"/>
        <v>125322433</v>
      </c>
      <c r="AV648" s="498">
        <f t="shared" si="875"/>
        <v>0</v>
      </c>
      <c r="AW648" s="498">
        <f t="shared" ref="AW648:AX648" si="888">+AW647+AW636+AW619</f>
        <v>0</v>
      </c>
      <c r="AX648" s="498">
        <f t="shared" si="888"/>
        <v>0</v>
      </c>
      <c r="AY648" s="498">
        <f t="shared" si="875"/>
        <v>3805505586</v>
      </c>
      <c r="AZ648" s="498">
        <f t="shared" ref="AZ648:BA648" si="889">+AZ647+AZ636+AZ619</f>
        <v>715524328</v>
      </c>
      <c r="BA648" s="498">
        <f t="shared" si="889"/>
        <v>282490937</v>
      </c>
    </row>
    <row r="649" spans="1:53" s="597" customFormat="1" ht="36" customHeight="1" x14ac:dyDescent="0.25">
      <c r="A649" s="882" t="s">
        <v>715</v>
      </c>
      <c r="B649" s="883"/>
      <c r="C649" s="883"/>
      <c r="D649" s="883"/>
      <c r="E649" s="883"/>
      <c r="F649" s="883"/>
      <c r="G649" s="592"/>
      <c r="H649" s="593"/>
      <c r="I649" s="732"/>
      <c r="J649" s="594"/>
      <c r="K649" s="595"/>
      <c r="L649" s="596">
        <f t="shared" ref="L649:AV649" si="890">+L576+L648</f>
        <v>12025668480</v>
      </c>
      <c r="M649" s="596">
        <f t="shared" ref="M649:N649" si="891">+M576+M648</f>
        <v>280180333</v>
      </c>
      <c r="N649" s="596">
        <f t="shared" si="891"/>
        <v>91155000</v>
      </c>
      <c r="O649" s="596">
        <f t="shared" si="890"/>
        <v>1760000000</v>
      </c>
      <c r="P649" s="596">
        <f t="shared" ref="P649:Q649" si="892">+P576+P648</f>
        <v>18600000</v>
      </c>
      <c r="Q649" s="596">
        <f t="shared" si="892"/>
        <v>0</v>
      </c>
      <c r="R649" s="596">
        <f t="shared" si="890"/>
        <v>1158478847</v>
      </c>
      <c r="S649" s="596">
        <f t="shared" ref="S649:T649" si="893">+S576+S648</f>
        <v>0</v>
      </c>
      <c r="T649" s="596">
        <f t="shared" si="893"/>
        <v>0</v>
      </c>
      <c r="U649" s="596">
        <f t="shared" si="890"/>
        <v>2599543380</v>
      </c>
      <c r="V649" s="596">
        <f t="shared" ref="V649:W649" si="894">+V576+V648</f>
        <v>1277519050</v>
      </c>
      <c r="W649" s="596">
        <f t="shared" si="894"/>
        <v>0</v>
      </c>
      <c r="X649" s="596">
        <f t="shared" si="890"/>
        <v>13895526704</v>
      </c>
      <c r="Y649" s="596">
        <f t="shared" ref="Y649:Z649" si="895">+Y576+Y648</f>
        <v>339293660</v>
      </c>
      <c r="Z649" s="596">
        <f t="shared" si="895"/>
        <v>52192000</v>
      </c>
      <c r="AA649" s="596">
        <f t="shared" si="890"/>
        <v>25910485823</v>
      </c>
      <c r="AB649" s="596">
        <f t="shared" ref="AB649:AC649" si="896">+AB576+AB648</f>
        <v>70044229</v>
      </c>
      <c r="AC649" s="596">
        <f t="shared" si="896"/>
        <v>32577562</v>
      </c>
      <c r="AD649" s="596">
        <f t="shared" si="890"/>
        <v>134430000000</v>
      </c>
      <c r="AE649" s="596">
        <f t="shared" ref="AE649:AF649" si="897">+AE576+AE648</f>
        <v>28801978099</v>
      </c>
      <c r="AF649" s="596">
        <f t="shared" si="897"/>
        <v>27288668841</v>
      </c>
      <c r="AG649" s="596">
        <f t="shared" si="890"/>
        <v>23500000000</v>
      </c>
      <c r="AH649" s="596">
        <f t="shared" ref="AH649:AI649" si="898">+AH576+AH648</f>
        <v>6742325972</v>
      </c>
      <c r="AI649" s="596">
        <f t="shared" si="898"/>
        <v>6742325972</v>
      </c>
      <c r="AJ649" s="596">
        <f t="shared" si="890"/>
        <v>12150000000</v>
      </c>
      <c r="AK649" s="596">
        <f t="shared" ref="AK649:AL649" si="899">+AK576+AK648</f>
        <v>0</v>
      </c>
      <c r="AL649" s="596">
        <f t="shared" si="899"/>
        <v>0</v>
      </c>
      <c r="AM649" s="596">
        <f t="shared" si="890"/>
        <v>2673200000</v>
      </c>
      <c r="AN649" s="596">
        <f t="shared" ref="AN649:AO649" si="900">+AN576+AN648</f>
        <v>0</v>
      </c>
      <c r="AO649" s="596">
        <f t="shared" si="900"/>
        <v>0</v>
      </c>
      <c r="AP649" s="596">
        <f t="shared" si="890"/>
        <v>21982883645</v>
      </c>
      <c r="AQ649" s="596">
        <f t="shared" ref="AQ649:AR649" si="901">+AQ576+AQ648</f>
        <v>5252014034</v>
      </c>
      <c r="AR649" s="596">
        <f t="shared" si="901"/>
        <v>1447446381</v>
      </c>
      <c r="AS649" s="596">
        <f t="shared" si="890"/>
        <v>2506369320</v>
      </c>
      <c r="AT649" s="596">
        <f t="shared" ref="AT649:AU649" si="902">+AT576+AT648</f>
        <v>578036590</v>
      </c>
      <c r="AU649" s="596">
        <f t="shared" si="902"/>
        <v>198722433</v>
      </c>
      <c r="AV649" s="596">
        <f t="shared" si="890"/>
        <v>2219046767</v>
      </c>
      <c r="AW649" s="596">
        <f t="shared" ref="AW649:AX649" si="903">+AW576+AW648</f>
        <v>0</v>
      </c>
      <c r="AX649" s="596">
        <f t="shared" si="903"/>
        <v>0</v>
      </c>
      <c r="AY649" s="596">
        <f>+AY576+AY648</f>
        <v>256811202966</v>
      </c>
      <c r="AZ649" s="596">
        <f t="shared" ref="AZ649:BA649" si="904">+AZ576+AZ648</f>
        <v>53848328749</v>
      </c>
      <c r="BA649" s="596">
        <f t="shared" si="904"/>
        <v>36048420026</v>
      </c>
    </row>
    <row r="650" spans="1:53" s="605" customFormat="1" ht="33" customHeight="1" x14ac:dyDescent="0.25">
      <c r="A650" s="598"/>
      <c r="B650" s="598"/>
      <c r="C650" s="599"/>
      <c r="D650" s="598"/>
      <c r="E650" s="598"/>
      <c r="F650" s="600"/>
      <c r="G650" s="598"/>
      <c r="H650" s="598"/>
      <c r="I650" s="733"/>
      <c r="J650" s="598"/>
      <c r="K650" s="599"/>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1"/>
      <c r="AL650" s="601"/>
      <c r="AM650" s="601"/>
      <c r="AN650" s="601"/>
      <c r="AO650" s="601"/>
      <c r="AP650" s="602"/>
      <c r="AQ650" s="602"/>
      <c r="AR650" s="602"/>
      <c r="AS650" s="601"/>
      <c r="AT650" s="601"/>
      <c r="AU650" s="601"/>
      <c r="AV650" s="603"/>
      <c r="AW650" s="603"/>
      <c r="AX650" s="603"/>
      <c r="AY650" s="604"/>
      <c r="AZ650" s="604"/>
      <c r="BA650" s="604"/>
    </row>
    <row r="651" spans="1:53" s="611" customFormat="1" ht="30.75" customHeight="1" x14ac:dyDescent="0.25">
      <c r="A651" s="606"/>
      <c r="B651" s="606"/>
      <c r="C651" s="607"/>
      <c r="D651" s="606"/>
      <c r="E651" s="606"/>
      <c r="F651" s="607"/>
      <c r="G651" s="606"/>
      <c r="H651" s="606"/>
      <c r="I651" s="734"/>
      <c r="J651" s="606"/>
      <c r="K651" s="607"/>
      <c r="L651" s="608"/>
      <c r="M651" s="608"/>
      <c r="N651" s="608"/>
      <c r="O651" s="608"/>
      <c r="P651" s="608"/>
      <c r="Q651" s="608"/>
      <c r="R651" s="608"/>
      <c r="S651" s="608"/>
      <c r="T651" s="608"/>
      <c r="U651" s="608"/>
      <c r="V651" s="608"/>
      <c r="W651" s="608"/>
      <c r="X651" s="608"/>
      <c r="Y651" s="608"/>
      <c r="Z651" s="608"/>
      <c r="AA651" s="608"/>
      <c r="AB651" s="608"/>
      <c r="AC651" s="608"/>
      <c r="AD651" s="608"/>
      <c r="AE651" s="608"/>
      <c r="AF651" s="608"/>
      <c r="AG651" s="608"/>
      <c r="AH651" s="608"/>
      <c r="AI651" s="608"/>
      <c r="AJ651" s="608"/>
      <c r="AK651" s="608"/>
      <c r="AL651" s="608"/>
      <c r="AM651" s="608"/>
      <c r="AN651" s="608"/>
      <c r="AO651" s="608"/>
      <c r="AP651" s="609"/>
      <c r="AQ651" s="609"/>
      <c r="AR651" s="609"/>
      <c r="AS651" s="608"/>
      <c r="AT651" s="608"/>
      <c r="AU651" s="608"/>
      <c r="AV651" s="610"/>
      <c r="AW651" s="610"/>
      <c r="AX651" s="610"/>
      <c r="AY651" s="610"/>
      <c r="AZ651" s="610"/>
      <c r="BA651" s="610"/>
    </row>
    <row r="652" spans="1:53" ht="38.25" customHeight="1" x14ac:dyDescent="0.25">
      <c r="A652" s="612"/>
      <c r="B652" s="612"/>
      <c r="C652" s="613"/>
      <c r="D652" s="612"/>
      <c r="E652" s="612"/>
      <c r="F652" s="613"/>
      <c r="G652" s="612"/>
      <c r="H652" s="612"/>
      <c r="I652" s="735"/>
      <c r="J652" s="612"/>
      <c r="K652" s="613"/>
      <c r="L652" s="614"/>
      <c r="M652" s="614"/>
      <c r="N652" s="614"/>
      <c r="O652" s="614"/>
      <c r="P652" s="614"/>
      <c r="Q652" s="614"/>
      <c r="R652" s="614"/>
      <c r="S652" s="614"/>
      <c r="T652" s="614"/>
      <c r="U652" s="614"/>
      <c r="V652" s="614"/>
      <c r="W652" s="614"/>
      <c r="X652" s="614"/>
      <c r="Y652" s="614"/>
      <c r="Z652" s="614"/>
      <c r="AA652" s="615"/>
      <c r="AB652" s="615"/>
      <c r="AC652" s="615"/>
      <c r="AJ652" s="614"/>
      <c r="AK652" s="614"/>
      <c r="AL652" s="614"/>
      <c r="AM652" s="614"/>
      <c r="AN652" s="614"/>
      <c r="AO652" s="614"/>
      <c r="AP652" s="616"/>
      <c r="AQ652" s="616"/>
      <c r="AR652" s="616"/>
      <c r="AS652" s="614"/>
      <c r="AT652" s="614"/>
      <c r="AU652" s="614"/>
      <c r="AV652" s="614"/>
      <c r="AW652" s="614"/>
      <c r="AX652" s="614"/>
      <c r="AY652" s="617"/>
      <c r="AZ652" s="617"/>
      <c r="BA652" s="617"/>
    </row>
    <row r="653" spans="1:53" x14ac:dyDescent="0.25">
      <c r="A653" s="612"/>
      <c r="B653" s="612"/>
      <c r="C653" s="613"/>
      <c r="D653" s="612"/>
      <c r="E653" s="612"/>
      <c r="F653" s="613"/>
      <c r="G653" s="612"/>
      <c r="H653" s="612"/>
      <c r="I653" s="735"/>
      <c r="J653" s="612"/>
      <c r="K653" s="613"/>
      <c r="L653" s="614"/>
      <c r="M653" s="614"/>
      <c r="N653" s="614"/>
      <c r="O653" s="614"/>
      <c r="P653" s="614"/>
      <c r="Q653" s="614"/>
      <c r="R653" s="614"/>
      <c r="S653" s="614"/>
      <c r="T653" s="614"/>
      <c r="U653" s="614"/>
      <c r="V653" s="614"/>
      <c r="W653" s="614"/>
      <c r="X653" s="614"/>
      <c r="Y653" s="614"/>
      <c r="Z653" s="614"/>
      <c r="AA653" s="618"/>
      <c r="AB653" s="618"/>
      <c r="AC653" s="618"/>
      <c r="AJ653" s="614"/>
      <c r="AK653" s="614"/>
      <c r="AL653" s="614"/>
      <c r="AM653" s="614"/>
      <c r="AN653" s="614"/>
      <c r="AO653" s="614"/>
      <c r="AP653" s="616"/>
      <c r="AQ653" s="616"/>
      <c r="AR653" s="616"/>
      <c r="AS653" s="614"/>
      <c r="AT653" s="614"/>
      <c r="AU653" s="614"/>
      <c r="AV653" s="614"/>
      <c r="AW653" s="614"/>
      <c r="AX653" s="614"/>
      <c r="AY653" s="608"/>
      <c r="AZ653" s="608"/>
      <c r="BA653" s="608"/>
    </row>
    <row r="654" spans="1:53" x14ac:dyDescent="0.25">
      <c r="A654" s="612"/>
      <c r="B654" s="612"/>
      <c r="C654" s="613"/>
      <c r="D654" s="612"/>
      <c r="E654" s="612"/>
      <c r="F654" s="613"/>
      <c r="G654" s="612"/>
      <c r="H654" s="612"/>
      <c r="I654" s="735"/>
      <c r="J654" s="612"/>
      <c r="K654" s="613"/>
      <c r="L654" s="614"/>
      <c r="M654" s="614"/>
      <c r="N654" s="614"/>
      <c r="O654" s="614"/>
      <c r="P654" s="614"/>
      <c r="Q654" s="614"/>
      <c r="R654" s="614"/>
      <c r="S654" s="614"/>
      <c r="T654" s="614"/>
      <c r="U654" s="614"/>
      <c r="V654" s="614"/>
      <c r="W654" s="614"/>
      <c r="X654" s="614"/>
      <c r="Y654" s="614"/>
      <c r="Z654" s="614"/>
      <c r="AA654" s="614"/>
      <c r="AB654" s="614"/>
      <c r="AC654" s="614"/>
      <c r="AJ654" s="614"/>
      <c r="AK654" s="614"/>
      <c r="AL654" s="614"/>
      <c r="AM654" s="614"/>
      <c r="AN654" s="614"/>
      <c r="AO654" s="614"/>
      <c r="AP654" s="616"/>
      <c r="AQ654" s="616"/>
      <c r="AR654" s="616"/>
      <c r="AS654" s="614"/>
      <c r="AT654" s="614"/>
      <c r="AU654" s="614"/>
      <c r="AV654" s="614"/>
      <c r="AW654" s="614"/>
      <c r="AX654" s="614"/>
      <c r="AY654" s="619"/>
      <c r="AZ654" s="619"/>
      <c r="BA654" s="619"/>
    </row>
    <row r="655" spans="1:53" ht="30.75" customHeight="1" x14ac:dyDescent="0.25">
      <c r="A655" s="612"/>
      <c r="B655" s="612"/>
      <c r="C655" s="613"/>
      <c r="D655" s="612"/>
      <c r="E655" s="612"/>
      <c r="F655" s="613"/>
      <c r="G655" s="612"/>
      <c r="H655" s="612"/>
      <c r="I655" s="735"/>
      <c r="J655" s="612"/>
      <c r="K655" s="613"/>
      <c r="L655" s="614"/>
      <c r="M655" s="614"/>
      <c r="N655" s="614"/>
      <c r="O655" s="614"/>
      <c r="P655" s="614"/>
      <c r="Q655" s="614"/>
      <c r="R655" s="614"/>
      <c r="S655" s="614"/>
      <c r="T655" s="614"/>
      <c r="U655" s="614"/>
      <c r="V655" s="614"/>
      <c r="W655" s="614"/>
      <c r="X655" s="614"/>
      <c r="Y655" s="614"/>
      <c r="Z655" s="614"/>
      <c r="AA655" s="620"/>
      <c r="AB655" s="620"/>
      <c r="AC655" s="620"/>
      <c r="AJ655" s="614"/>
      <c r="AK655" s="614"/>
      <c r="AL655" s="614"/>
      <c r="AM655" s="614"/>
      <c r="AN655" s="614"/>
      <c r="AO655" s="614"/>
      <c r="AP655" s="621"/>
      <c r="AQ655" s="621"/>
      <c r="AR655" s="621"/>
      <c r="AS655" s="614"/>
      <c r="AT655" s="614"/>
      <c r="AU655" s="614"/>
      <c r="AV655" s="614"/>
      <c r="AW655" s="614"/>
      <c r="AX655" s="614"/>
    </row>
    <row r="656" spans="1:53" x14ac:dyDescent="0.25">
      <c r="A656" s="612"/>
      <c r="B656" s="612"/>
      <c r="C656" s="613"/>
      <c r="D656" s="612"/>
      <c r="E656" s="612"/>
      <c r="F656" s="613"/>
      <c r="G656" s="612"/>
      <c r="H656" s="612"/>
      <c r="I656" s="735"/>
      <c r="J656" s="612"/>
      <c r="K656" s="613"/>
      <c r="L656" s="614"/>
      <c r="M656" s="614"/>
      <c r="N656" s="614"/>
      <c r="O656" s="614"/>
      <c r="P656" s="614"/>
      <c r="Q656" s="614"/>
      <c r="R656" s="614"/>
      <c r="S656" s="614"/>
      <c r="T656" s="614"/>
      <c r="U656" s="614"/>
      <c r="V656" s="614"/>
      <c r="W656" s="614"/>
      <c r="X656" s="614"/>
      <c r="Y656" s="614"/>
      <c r="Z656" s="614"/>
      <c r="AA656" s="614"/>
      <c r="AB656" s="614"/>
      <c r="AC656" s="614"/>
      <c r="AJ656" s="614"/>
      <c r="AK656" s="614"/>
      <c r="AL656" s="614"/>
      <c r="AM656" s="614"/>
      <c r="AN656" s="614"/>
      <c r="AO656" s="614"/>
      <c r="AP656" s="616"/>
      <c r="AQ656" s="616"/>
      <c r="AR656" s="616"/>
      <c r="AS656" s="614"/>
      <c r="AT656" s="614"/>
      <c r="AU656" s="614"/>
      <c r="AV656" s="614"/>
      <c r="AW656" s="614"/>
      <c r="AX656" s="614"/>
    </row>
    <row r="657" spans="1:50" x14ac:dyDescent="0.25">
      <c r="A657" s="612"/>
      <c r="B657" s="612"/>
      <c r="C657" s="613"/>
      <c r="D657" s="612"/>
      <c r="E657" s="612"/>
      <c r="F657" s="613"/>
      <c r="G657" s="612"/>
      <c r="H657" s="612"/>
      <c r="I657" s="735"/>
      <c r="J657" s="612"/>
      <c r="K657" s="613"/>
      <c r="L657" s="614"/>
      <c r="M657" s="614"/>
      <c r="N657" s="614"/>
      <c r="O657" s="614"/>
      <c r="P657" s="614"/>
      <c r="Q657" s="614"/>
      <c r="R657" s="614"/>
      <c r="S657" s="614"/>
      <c r="T657" s="614"/>
      <c r="U657" s="614"/>
      <c r="V657" s="614"/>
      <c r="W657" s="614"/>
      <c r="X657" s="614"/>
      <c r="Y657" s="614"/>
      <c r="Z657" s="614"/>
      <c r="AA657" s="614"/>
      <c r="AB657" s="614"/>
      <c r="AC657" s="614"/>
      <c r="AJ657" s="614"/>
      <c r="AK657" s="614"/>
      <c r="AL657" s="614"/>
      <c r="AM657" s="614"/>
      <c r="AN657" s="614"/>
      <c r="AO657" s="614"/>
      <c r="AP657" s="616"/>
      <c r="AQ657" s="616"/>
      <c r="AR657" s="616"/>
      <c r="AS657" s="614"/>
      <c r="AT657" s="614"/>
      <c r="AU657" s="614"/>
      <c r="AV657" s="614"/>
      <c r="AW657" s="614"/>
      <c r="AX657" s="614"/>
    </row>
    <row r="658" spans="1:50" x14ac:dyDescent="0.25">
      <c r="A658" s="612"/>
      <c r="B658" s="612"/>
      <c r="C658" s="613"/>
      <c r="D658" s="612"/>
      <c r="E658" s="612"/>
      <c r="F658" s="613"/>
      <c r="G658" s="612"/>
      <c r="H658" s="612"/>
      <c r="I658" s="735"/>
      <c r="J658" s="612"/>
      <c r="K658" s="613"/>
      <c r="L658" s="614"/>
      <c r="M658" s="614"/>
      <c r="N658" s="614"/>
      <c r="O658" s="614"/>
      <c r="P658" s="614"/>
      <c r="Q658" s="614"/>
      <c r="R658" s="614"/>
      <c r="S658" s="614"/>
      <c r="T658" s="614"/>
      <c r="U658" s="614"/>
      <c r="V658" s="614"/>
      <c r="W658" s="614"/>
      <c r="X658" s="614"/>
      <c r="Y658" s="614"/>
      <c r="Z658" s="614"/>
      <c r="AA658" s="614"/>
      <c r="AB658" s="614"/>
      <c r="AC658" s="614"/>
      <c r="AJ658" s="614"/>
      <c r="AK658" s="614"/>
      <c r="AL658" s="614"/>
      <c r="AM658" s="614"/>
      <c r="AN658" s="614"/>
      <c r="AO658" s="614"/>
      <c r="AP658" s="616"/>
      <c r="AQ658" s="616"/>
      <c r="AR658" s="616"/>
      <c r="AS658" s="614"/>
      <c r="AT658" s="614"/>
      <c r="AU658" s="614"/>
      <c r="AV658" s="614"/>
      <c r="AW658" s="614"/>
      <c r="AX658" s="614"/>
    </row>
    <row r="659" spans="1:50" x14ac:dyDescent="0.25">
      <c r="A659" s="612"/>
      <c r="B659" s="612"/>
      <c r="C659" s="613"/>
      <c r="D659" s="612"/>
      <c r="E659" s="612"/>
      <c r="F659" s="613"/>
      <c r="G659" s="612"/>
      <c r="H659" s="612"/>
      <c r="I659" s="735"/>
      <c r="J659" s="612"/>
      <c r="K659" s="613"/>
      <c r="L659" s="614"/>
      <c r="M659" s="614"/>
      <c r="N659" s="614"/>
      <c r="O659" s="614"/>
      <c r="P659" s="614"/>
      <c r="Q659" s="614"/>
      <c r="R659" s="614"/>
      <c r="S659" s="614"/>
      <c r="T659" s="614"/>
      <c r="U659" s="614"/>
      <c r="V659" s="614"/>
      <c r="W659" s="614"/>
      <c r="X659" s="614"/>
      <c r="Y659" s="614"/>
      <c r="Z659" s="614"/>
      <c r="AA659" s="614"/>
      <c r="AB659" s="614"/>
      <c r="AC659" s="614"/>
      <c r="AJ659" s="614"/>
      <c r="AK659" s="614"/>
      <c r="AL659" s="614"/>
      <c r="AM659" s="614"/>
      <c r="AN659" s="614"/>
      <c r="AO659" s="614"/>
      <c r="AP659" s="616"/>
      <c r="AQ659" s="616"/>
      <c r="AR659" s="616"/>
      <c r="AS659" s="614"/>
      <c r="AT659" s="614"/>
      <c r="AU659" s="614"/>
      <c r="AV659" s="614"/>
      <c r="AW659" s="614"/>
      <c r="AX659" s="614"/>
    </row>
    <row r="660" spans="1:50" x14ac:dyDescent="0.25">
      <c r="A660" s="612"/>
      <c r="B660" s="612"/>
      <c r="C660" s="613"/>
      <c r="D660" s="612"/>
      <c r="E660" s="612"/>
      <c r="F660" s="613"/>
      <c r="G660" s="612"/>
      <c r="H660" s="612"/>
      <c r="I660" s="735"/>
      <c r="J660" s="612"/>
      <c r="K660" s="613"/>
      <c r="L660" s="614"/>
      <c r="M660" s="614"/>
      <c r="N660" s="614"/>
      <c r="O660" s="614"/>
      <c r="P660" s="614"/>
      <c r="Q660" s="614"/>
      <c r="R660" s="614"/>
      <c r="S660" s="614"/>
      <c r="T660" s="614"/>
      <c r="U660" s="614"/>
      <c r="V660" s="614"/>
      <c r="W660" s="614"/>
      <c r="X660" s="614"/>
      <c r="Y660" s="614"/>
      <c r="Z660" s="614"/>
      <c r="AA660" s="614"/>
      <c r="AB660" s="614"/>
      <c r="AC660" s="614"/>
      <c r="AJ660" s="614"/>
      <c r="AK660" s="614"/>
      <c r="AL660" s="614"/>
      <c r="AM660" s="614"/>
      <c r="AN660" s="614"/>
      <c r="AO660" s="614"/>
      <c r="AP660" s="616"/>
      <c r="AQ660" s="616"/>
      <c r="AR660" s="616"/>
      <c r="AS660" s="614"/>
      <c r="AT660" s="614"/>
      <c r="AU660" s="614"/>
      <c r="AV660" s="614"/>
      <c r="AW660" s="614"/>
      <c r="AX660" s="614"/>
    </row>
    <row r="661" spans="1:50" x14ac:dyDescent="0.25">
      <c r="A661" s="612"/>
      <c r="B661" s="612"/>
      <c r="C661" s="613"/>
      <c r="D661" s="612"/>
      <c r="E661" s="612"/>
      <c r="F661" s="613"/>
      <c r="G661" s="612"/>
      <c r="H661" s="612"/>
      <c r="I661" s="735"/>
      <c r="J661" s="612"/>
      <c r="K661" s="613"/>
      <c r="L661" s="614"/>
      <c r="M661" s="614"/>
      <c r="N661" s="614"/>
      <c r="O661" s="614"/>
      <c r="P661" s="614"/>
      <c r="Q661" s="614"/>
      <c r="R661" s="614"/>
      <c r="S661" s="614"/>
      <c r="T661" s="614"/>
      <c r="U661" s="614"/>
      <c r="V661" s="614"/>
      <c r="W661" s="614"/>
      <c r="X661" s="614"/>
      <c r="Y661" s="614"/>
      <c r="Z661" s="614"/>
      <c r="AA661" s="614"/>
      <c r="AB661" s="614"/>
      <c r="AC661" s="614"/>
      <c r="AJ661" s="614"/>
      <c r="AK661" s="614"/>
      <c r="AL661" s="614"/>
      <c r="AM661" s="614"/>
      <c r="AN661" s="614"/>
      <c r="AO661" s="614"/>
      <c r="AP661" s="616"/>
      <c r="AQ661" s="616"/>
      <c r="AR661" s="616"/>
      <c r="AS661" s="614"/>
      <c r="AT661" s="614"/>
      <c r="AU661" s="614"/>
      <c r="AV661" s="614"/>
      <c r="AW661" s="614"/>
      <c r="AX661" s="614"/>
    </row>
    <row r="662" spans="1:50" x14ac:dyDescent="0.25">
      <c r="A662" s="612"/>
      <c r="B662" s="612"/>
      <c r="C662" s="613"/>
      <c r="D662" s="612"/>
      <c r="E662" s="612"/>
      <c r="F662" s="613"/>
      <c r="G662" s="612"/>
      <c r="H662" s="612"/>
      <c r="I662" s="735"/>
      <c r="J662" s="612"/>
      <c r="K662" s="613"/>
      <c r="L662" s="614"/>
      <c r="M662" s="614"/>
      <c r="N662" s="614"/>
      <c r="O662" s="614"/>
      <c r="P662" s="614"/>
      <c r="Q662" s="614"/>
      <c r="R662" s="614"/>
      <c r="S662" s="614"/>
      <c r="T662" s="614"/>
      <c r="U662" s="614"/>
      <c r="V662" s="614"/>
      <c r="W662" s="614"/>
      <c r="X662" s="614"/>
      <c r="Y662" s="614"/>
      <c r="Z662" s="614"/>
      <c r="AA662" s="614"/>
      <c r="AB662" s="614"/>
      <c r="AC662" s="614"/>
      <c r="AJ662" s="614"/>
      <c r="AK662" s="614"/>
      <c r="AL662" s="614"/>
      <c r="AM662" s="614"/>
      <c r="AN662" s="614"/>
      <c r="AO662" s="614"/>
      <c r="AP662" s="616"/>
      <c r="AQ662" s="616"/>
      <c r="AR662" s="616"/>
      <c r="AS662" s="614"/>
      <c r="AT662" s="614"/>
      <c r="AU662" s="614"/>
      <c r="AV662" s="614"/>
      <c r="AW662" s="614"/>
      <c r="AX662" s="614"/>
    </row>
    <row r="663" spans="1:50" x14ac:dyDescent="0.25">
      <c r="A663" s="612"/>
      <c r="B663" s="612"/>
      <c r="C663" s="613"/>
      <c r="D663" s="612"/>
      <c r="E663" s="612"/>
      <c r="F663" s="613"/>
      <c r="G663" s="612"/>
      <c r="H663" s="612"/>
      <c r="I663" s="735"/>
      <c r="J663" s="612"/>
      <c r="K663" s="613"/>
      <c r="L663" s="614"/>
      <c r="M663" s="614"/>
      <c r="N663" s="614"/>
      <c r="O663" s="614"/>
      <c r="P663" s="614"/>
      <c r="Q663" s="614"/>
      <c r="R663" s="614"/>
      <c r="S663" s="614"/>
      <c r="T663" s="614"/>
      <c r="U663" s="614"/>
      <c r="V663" s="614"/>
      <c r="W663" s="614"/>
      <c r="X663" s="614"/>
      <c r="Y663" s="614"/>
      <c r="Z663" s="614"/>
      <c r="AA663" s="614"/>
      <c r="AB663" s="614"/>
      <c r="AC663" s="614"/>
      <c r="AJ663" s="614"/>
      <c r="AK663" s="614"/>
      <c r="AL663" s="614"/>
      <c r="AM663" s="614"/>
      <c r="AN663" s="614"/>
      <c r="AO663" s="614"/>
      <c r="AP663" s="616"/>
      <c r="AQ663" s="616"/>
      <c r="AR663" s="616"/>
      <c r="AS663" s="614"/>
      <c r="AT663" s="614"/>
      <c r="AU663" s="614"/>
      <c r="AV663" s="614"/>
      <c r="AW663" s="614"/>
      <c r="AX663" s="614"/>
    </row>
    <row r="664" spans="1:50" x14ac:dyDescent="0.25">
      <c r="A664" s="612"/>
      <c r="B664" s="612"/>
      <c r="C664" s="613"/>
      <c r="D664" s="612"/>
      <c r="E664" s="612"/>
      <c r="F664" s="613"/>
      <c r="G664" s="612"/>
      <c r="H664" s="612"/>
      <c r="I664" s="735"/>
      <c r="J664" s="612"/>
      <c r="K664" s="613"/>
      <c r="L664" s="614"/>
      <c r="M664" s="614"/>
      <c r="N664" s="614"/>
      <c r="O664" s="614"/>
      <c r="P664" s="614"/>
      <c r="Q664" s="614"/>
      <c r="R664" s="614"/>
      <c r="S664" s="614"/>
      <c r="T664" s="614"/>
      <c r="U664" s="614"/>
      <c r="V664" s="614"/>
      <c r="W664" s="614"/>
      <c r="X664" s="614"/>
      <c r="Y664" s="614"/>
      <c r="Z664" s="614"/>
      <c r="AA664" s="614"/>
      <c r="AB664" s="614"/>
      <c r="AC664" s="614"/>
      <c r="AJ664" s="614"/>
      <c r="AK664" s="614"/>
      <c r="AL664" s="614"/>
      <c r="AM664" s="614"/>
      <c r="AN664" s="614"/>
      <c r="AO664" s="614"/>
      <c r="AP664" s="616"/>
      <c r="AQ664" s="616"/>
      <c r="AR664" s="616"/>
      <c r="AS664" s="614"/>
      <c r="AT664" s="614"/>
      <c r="AU664" s="614"/>
      <c r="AV664" s="614"/>
      <c r="AW664" s="614"/>
      <c r="AX664" s="614"/>
    </row>
    <row r="665" spans="1:50" x14ac:dyDescent="0.25">
      <c r="A665" s="612"/>
      <c r="B665" s="612"/>
      <c r="C665" s="613"/>
      <c r="D665" s="612"/>
      <c r="E665" s="612"/>
      <c r="F665" s="613"/>
      <c r="G665" s="612"/>
      <c r="H665" s="612"/>
      <c r="I665" s="735"/>
      <c r="J665" s="612"/>
      <c r="K665" s="613"/>
      <c r="L665" s="614"/>
      <c r="M665" s="614"/>
      <c r="N665" s="614"/>
      <c r="O665" s="614"/>
      <c r="P665" s="614"/>
      <c r="Q665" s="614"/>
      <c r="R665" s="614"/>
      <c r="S665" s="614"/>
      <c r="T665" s="614"/>
      <c r="U665" s="614"/>
      <c r="V665" s="614"/>
      <c r="W665" s="614"/>
      <c r="X665" s="614"/>
      <c r="Y665" s="614"/>
      <c r="Z665" s="614"/>
      <c r="AA665" s="614"/>
      <c r="AB665" s="614"/>
      <c r="AC665" s="614"/>
      <c r="AJ665" s="614"/>
      <c r="AK665" s="614"/>
      <c r="AL665" s="614"/>
      <c r="AM665" s="614"/>
      <c r="AN665" s="614"/>
      <c r="AO665" s="614"/>
      <c r="AP665" s="616"/>
      <c r="AQ665" s="616"/>
      <c r="AR665" s="616"/>
      <c r="AS665" s="614"/>
      <c r="AT665" s="614"/>
      <c r="AU665" s="614"/>
      <c r="AV665" s="614"/>
      <c r="AW665" s="614"/>
      <c r="AX665" s="614"/>
    </row>
    <row r="666" spans="1:50" x14ac:dyDescent="0.25">
      <c r="A666" s="612"/>
      <c r="B666" s="612"/>
      <c r="C666" s="613"/>
      <c r="D666" s="612"/>
      <c r="E666" s="612"/>
      <c r="F666" s="613"/>
      <c r="G666" s="612"/>
      <c r="H666" s="612"/>
      <c r="I666" s="735"/>
      <c r="J666" s="612"/>
      <c r="K666" s="613"/>
      <c r="L666" s="614"/>
      <c r="M666" s="614"/>
      <c r="N666" s="614"/>
      <c r="O666" s="614"/>
      <c r="P666" s="614"/>
      <c r="Q666" s="614"/>
      <c r="R666" s="614"/>
      <c r="S666" s="614"/>
      <c r="T666" s="614"/>
      <c r="U666" s="614"/>
      <c r="V666" s="614"/>
      <c r="W666" s="614"/>
      <c r="X666" s="614"/>
      <c r="Y666" s="614"/>
      <c r="Z666" s="614"/>
      <c r="AA666" s="614"/>
      <c r="AB666" s="614"/>
      <c r="AC666" s="614"/>
      <c r="AJ666" s="614"/>
      <c r="AK666" s="614"/>
      <c r="AL666" s="614"/>
      <c r="AM666" s="614"/>
      <c r="AN666" s="614"/>
      <c r="AO666" s="614"/>
      <c r="AP666" s="616"/>
      <c r="AQ666" s="616"/>
      <c r="AR666" s="616"/>
      <c r="AS666" s="614"/>
      <c r="AT666" s="614"/>
      <c r="AU666" s="614"/>
      <c r="AV666" s="614"/>
      <c r="AW666" s="614"/>
      <c r="AX666" s="614"/>
    </row>
    <row r="667" spans="1:50" x14ac:dyDescent="0.25">
      <c r="A667" s="612"/>
      <c r="B667" s="612"/>
      <c r="C667" s="613"/>
      <c r="D667" s="612"/>
      <c r="E667" s="612"/>
      <c r="F667" s="613"/>
      <c r="G667" s="612"/>
      <c r="H667" s="612"/>
      <c r="I667" s="735"/>
      <c r="J667" s="612"/>
      <c r="K667" s="613"/>
      <c r="L667" s="614"/>
      <c r="M667" s="614"/>
      <c r="N667" s="614"/>
      <c r="O667" s="614"/>
      <c r="P667" s="614"/>
      <c r="Q667" s="614"/>
      <c r="R667" s="614"/>
      <c r="S667" s="614"/>
      <c r="T667" s="614"/>
      <c r="U667" s="614"/>
      <c r="V667" s="614"/>
      <c r="W667" s="614"/>
      <c r="X667" s="614"/>
      <c r="Y667" s="614"/>
      <c r="Z667" s="614"/>
      <c r="AA667" s="614"/>
      <c r="AB667" s="614"/>
      <c r="AC667" s="614"/>
      <c r="AJ667" s="614"/>
      <c r="AK667" s="614"/>
      <c r="AL667" s="614"/>
      <c r="AM667" s="614"/>
      <c r="AN667" s="614"/>
      <c r="AO667" s="614"/>
      <c r="AP667" s="616"/>
      <c r="AQ667" s="616"/>
      <c r="AR667" s="616"/>
      <c r="AS667" s="614"/>
      <c r="AT667" s="614"/>
      <c r="AU667" s="614"/>
      <c r="AV667" s="614"/>
      <c r="AW667" s="614"/>
      <c r="AX667" s="614"/>
    </row>
    <row r="668" spans="1:50" x14ac:dyDescent="0.25">
      <c r="A668" s="612"/>
      <c r="B668" s="612"/>
      <c r="C668" s="613"/>
      <c r="D668" s="612"/>
      <c r="E668" s="612"/>
      <c r="F668" s="613"/>
      <c r="G668" s="612"/>
      <c r="H668" s="612"/>
      <c r="I668" s="735"/>
      <c r="J668" s="612"/>
      <c r="K668" s="613"/>
      <c r="L668" s="614"/>
      <c r="M668" s="614"/>
      <c r="N668" s="614"/>
      <c r="O668" s="614"/>
      <c r="P668" s="614"/>
      <c r="Q668" s="614"/>
      <c r="R668" s="614"/>
      <c r="S668" s="614"/>
      <c r="T668" s="614"/>
      <c r="U668" s="614"/>
      <c r="V668" s="614"/>
      <c r="W668" s="614"/>
      <c r="X668" s="614"/>
      <c r="Y668" s="614"/>
      <c r="Z668" s="614"/>
      <c r="AA668" s="614"/>
      <c r="AB668" s="614"/>
      <c r="AC668" s="614"/>
      <c r="AJ668" s="614"/>
      <c r="AK668" s="614"/>
      <c r="AL668" s="614"/>
      <c r="AM668" s="614"/>
      <c r="AN668" s="614"/>
      <c r="AO668" s="614"/>
      <c r="AP668" s="616"/>
      <c r="AQ668" s="616"/>
      <c r="AR668" s="616"/>
      <c r="AS668" s="614"/>
      <c r="AT668" s="614"/>
      <c r="AU668" s="614"/>
      <c r="AV668" s="614"/>
      <c r="AW668" s="614"/>
      <c r="AX668" s="614"/>
    </row>
    <row r="669" spans="1:50" x14ac:dyDescent="0.25">
      <c r="A669" s="612"/>
      <c r="B669" s="612"/>
      <c r="C669" s="613"/>
      <c r="D669" s="612"/>
      <c r="E669" s="612"/>
      <c r="F669" s="613"/>
      <c r="G669" s="612"/>
      <c r="H669" s="612"/>
      <c r="I669" s="735"/>
      <c r="J669" s="612"/>
      <c r="K669" s="613"/>
      <c r="L669" s="614"/>
      <c r="M669" s="614"/>
      <c r="N669" s="614"/>
      <c r="O669" s="614"/>
      <c r="P669" s="614"/>
      <c r="Q669" s="614"/>
      <c r="R669" s="614"/>
      <c r="S669" s="614"/>
      <c r="T669" s="614"/>
      <c r="U669" s="614"/>
      <c r="V669" s="614"/>
      <c r="W669" s="614"/>
      <c r="X669" s="614"/>
      <c r="Y669" s="614"/>
      <c r="Z669" s="614"/>
      <c r="AA669" s="614"/>
      <c r="AB669" s="614"/>
      <c r="AC669" s="614"/>
      <c r="AJ669" s="614"/>
      <c r="AK669" s="614"/>
      <c r="AL669" s="614"/>
      <c r="AM669" s="614"/>
      <c r="AN669" s="614"/>
      <c r="AO669" s="614"/>
      <c r="AP669" s="616"/>
      <c r="AQ669" s="616"/>
      <c r="AR669" s="616"/>
      <c r="AS669" s="614"/>
      <c r="AT669" s="614"/>
      <c r="AU669" s="614"/>
      <c r="AV669" s="614"/>
      <c r="AW669" s="614"/>
      <c r="AX669" s="614"/>
    </row>
    <row r="670" spans="1:50" x14ac:dyDescent="0.25">
      <c r="A670" s="612"/>
      <c r="B670" s="612"/>
      <c r="C670" s="613"/>
      <c r="D670" s="612"/>
      <c r="E670" s="612"/>
      <c r="F670" s="613"/>
      <c r="G670" s="612"/>
      <c r="H670" s="612"/>
      <c r="I670" s="735"/>
      <c r="J670" s="612"/>
      <c r="K670" s="613"/>
      <c r="L670" s="614"/>
      <c r="M670" s="614"/>
      <c r="N670" s="614"/>
      <c r="O670" s="614"/>
      <c r="P670" s="614"/>
      <c r="Q670" s="614"/>
      <c r="R670" s="614"/>
      <c r="S670" s="614"/>
      <c r="T670" s="614"/>
      <c r="U670" s="614"/>
      <c r="V670" s="614"/>
      <c r="W670" s="614"/>
      <c r="X670" s="614"/>
      <c r="Y670" s="614"/>
      <c r="Z670" s="614"/>
      <c r="AA670" s="614"/>
      <c r="AB670" s="614"/>
      <c r="AC670" s="614"/>
      <c r="AJ670" s="614"/>
      <c r="AK670" s="614"/>
      <c r="AL670" s="614"/>
      <c r="AM670" s="614"/>
      <c r="AN670" s="614"/>
      <c r="AO670" s="614"/>
      <c r="AP670" s="616"/>
      <c r="AQ670" s="616"/>
      <c r="AR670" s="616"/>
      <c r="AS670" s="614"/>
      <c r="AT670" s="614"/>
      <c r="AU670" s="614"/>
      <c r="AV670" s="614"/>
      <c r="AW670" s="614"/>
      <c r="AX670" s="614"/>
    </row>
    <row r="671" spans="1:50" x14ac:dyDescent="0.25">
      <c r="A671" s="612"/>
      <c r="B671" s="612"/>
      <c r="C671" s="613"/>
      <c r="D671" s="612"/>
      <c r="E671" s="612"/>
      <c r="F671" s="613"/>
      <c r="G671" s="612"/>
      <c r="H671" s="612"/>
      <c r="I671" s="735"/>
      <c r="J671" s="612"/>
      <c r="K671" s="613"/>
      <c r="L671" s="614"/>
      <c r="M671" s="614"/>
      <c r="N671" s="614"/>
      <c r="O671" s="614"/>
      <c r="P671" s="614"/>
      <c r="Q671" s="614"/>
      <c r="R671" s="614"/>
      <c r="S671" s="614"/>
      <c r="T671" s="614"/>
      <c r="U671" s="614"/>
      <c r="V671" s="614"/>
      <c r="W671" s="614"/>
      <c r="X671" s="614"/>
      <c r="Y671" s="614"/>
      <c r="Z671" s="614"/>
      <c r="AA671" s="614"/>
      <c r="AB671" s="614"/>
      <c r="AC671" s="614"/>
      <c r="AJ671" s="614"/>
      <c r="AK671" s="614"/>
      <c r="AL671" s="614"/>
      <c r="AM671" s="614"/>
      <c r="AN671" s="614"/>
      <c r="AO671" s="614"/>
      <c r="AP671" s="616"/>
      <c r="AQ671" s="616"/>
      <c r="AR671" s="616"/>
      <c r="AS671" s="614"/>
      <c r="AT671" s="614"/>
      <c r="AU671" s="614"/>
      <c r="AV671" s="614"/>
      <c r="AW671" s="614"/>
      <c r="AX671" s="614"/>
    </row>
    <row r="672" spans="1:50" x14ac:dyDescent="0.25">
      <c r="A672" s="612"/>
      <c r="B672" s="612"/>
      <c r="C672" s="613"/>
      <c r="D672" s="612"/>
      <c r="E672" s="612"/>
      <c r="F672" s="613"/>
      <c r="G672" s="612"/>
      <c r="H672" s="612"/>
      <c r="I672" s="735"/>
      <c r="J672" s="612"/>
      <c r="K672" s="613"/>
      <c r="L672" s="614"/>
      <c r="M672" s="614"/>
      <c r="N672" s="614"/>
      <c r="O672" s="614"/>
      <c r="P672" s="614"/>
      <c r="Q672" s="614"/>
      <c r="R672" s="614"/>
      <c r="S672" s="614"/>
      <c r="T672" s="614"/>
      <c r="U672" s="614"/>
      <c r="V672" s="614"/>
      <c r="W672" s="614"/>
      <c r="X672" s="614"/>
      <c r="Y672" s="614"/>
      <c r="Z672" s="614"/>
      <c r="AA672" s="614"/>
      <c r="AB672" s="614"/>
      <c r="AC672" s="614"/>
      <c r="AJ672" s="614"/>
      <c r="AK672" s="614"/>
      <c r="AL672" s="614"/>
      <c r="AM672" s="614"/>
      <c r="AN672" s="614"/>
      <c r="AO672" s="614"/>
      <c r="AP672" s="616"/>
      <c r="AQ672" s="616"/>
      <c r="AR672" s="616"/>
      <c r="AS672" s="614"/>
      <c r="AT672" s="614"/>
      <c r="AU672" s="614"/>
      <c r="AV672" s="614"/>
      <c r="AW672" s="614"/>
      <c r="AX672" s="614"/>
    </row>
    <row r="673" spans="1:50" x14ac:dyDescent="0.25">
      <c r="A673" s="612"/>
      <c r="B673" s="612"/>
      <c r="C673" s="613"/>
      <c r="D673" s="612"/>
      <c r="E673" s="612"/>
      <c r="F673" s="613"/>
      <c r="G673" s="612"/>
      <c r="H673" s="612"/>
      <c r="I673" s="735"/>
      <c r="J673" s="612"/>
      <c r="K673" s="613"/>
      <c r="L673" s="614"/>
      <c r="M673" s="614"/>
      <c r="N673" s="614"/>
      <c r="O673" s="614"/>
      <c r="P673" s="614"/>
      <c r="Q673" s="614"/>
      <c r="R673" s="614"/>
      <c r="S673" s="614"/>
      <c r="T673" s="614"/>
      <c r="U673" s="614"/>
      <c r="V673" s="614"/>
      <c r="W673" s="614"/>
      <c r="X673" s="614"/>
      <c r="Y673" s="614"/>
      <c r="Z673" s="614"/>
      <c r="AA673" s="614"/>
      <c r="AB673" s="614"/>
      <c r="AC673" s="614"/>
      <c r="AJ673" s="614"/>
      <c r="AK673" s="614"/>
      <c r="AL673" s="614"/>
      <c r="AM673" s="614"/>
      <c r="AN673" s="614"/>
      <c r="AO673" s="614"/>
      <c r="AP673" s="616"/>
      <c r="AQ673" s="616"/>
      <c r="AR673" s="616"/>
      <c r="AS673" s="614"/>
      <c r="AT673" s="614"/>
      <c r="AU673" s="614"/>
      <c r="AV673" s="614"/>
      <c r="AW673" s="614"/>
      <c r="AX673" s="614"/>
    </row>
    <row r="674" spans="1:50" x14ac:dyDescent="0.25">
      <c r="A674" s="612"/>
      <c r="B674" s="612"/>
      <c r="C674" s="613"/>
      <c r="D674" s="612"/>
      <c r="E674" s="612"/>
      <c r="F674" s="613"/>
      <c r="G674" s="612"/>
      <c r="H674" s="612"/>
      <c r="I674" s="735"/>
      <c r="J674" s="612"/>
      <c r="K674" s="613"/>
      <c r="L674" s="614"/>
      <c r="M674" s="614"/>
      <c r="N674" s="614"/>
      <c r="O674" s="614"/>
      <c r="P674" s="614"/>
      <c r="Q674" s="614"/>
      <c r="R674" s="614"/>
      <c r="S674" s="614"/>
      <c r="T674" s="614"/>
      <c r="U674" s="614"/>
      <c r="V674" s="614"/>
      <c r="W674" s="614"/>
      <c r="X674" s="614"/>
      <c r="Y674" s="614"/>
      <c r="Z674" s="614"/>
      <c r="AA674" s="614"/>
      <c r="AB674" s="614"/>
      <c r="AC674" s="614"/>
      <c r="AJ674" s="614"/>
      <c r="AK674" s="614"/>
      <c r="AL674" s="614"/>
      <c r="AM674" s="614"/>
      <c r="AN674" s="614"/>
      <c r="AO674" s="614"/>
      <c r="AP674" s="616"/>
      <c r="AQ674" s="616"/>
      <c r="AR674" s="616"/>
      <c r="AS674" s="614"/>
      <c r="AT674" s="614"/>
      <c r="AU674" s="614"/>
      <c r="AV674" s="614"/>
      <c r="AW674" s="614"/>
      <c r="AX674" s="614"/>
    </row>
    <row r="675" spans="1:50" x14ac:dyDescent="0.25">
      <c r="A675" s="612"/>
      <c r="B675" s="612"/>
      <c r="C675" s="613"/>
      <c r="D675" s="612"/>
      <c r="E675" s="612"/>
      <c r="F675" s="613"/>
      <c r="G675" s="612"/>
      <c r="H675" s="612"/>
      <c r="I675" s="735"/>
      <c r="J675" s="612"/>
      <c r="K675" s="613"/>
      <c r="L675" s="614"/>
      <c r="M675" s="614"/>
      <c r="N675" s="614"/>
      <c r="O675" s="614"/>
      <c r="P675" s="614"/>
      <c r="Q675" s="614"/>
      <c r="R675" s="614"/>
      <c r="S675" s="614"/>
      <c r="T675" s="614"/>
      <c r="U675" s="614"/>
      <c r="V675" s="614"/>
      <c r="W675" s="614"/>
      <c r="X675" s="614"/>
      <c r="Y675" s="614"/>
      <c r="Z675" s="614"/>
      <c r="AA675" s="614"/>
      <c r="AB675" s="614"/>
      <c r="AC675" s="614"/>
      <c r="AJ675" s="614"/>
      <c r="AK675" s="614"/>
      <c r="AL675" s="614"/>
      <c r="AM675" s="614"/>
      <c r="AN675" s="614"/>
      <c r="AO675" s="614"/>
      <c r="AP675" s="616"/>
      <c r="AQ675" s="616"/>
      <c r="AR675" s="616"/>
      <c r="AS675" s="614"/>
      <c r="AT675" s="614"/>
      <c r="AU675" s="614"/>
      <c r="AV675" s="614"/>
      <c r="AW675" s="614"/>
      <c r="AX675" s="614"/>
    </row>
    <row r="676" spans="1:50" x14ac:dyDescent="0.25">
      <c r="A676" s="612"/>
      <c r="B676" s="612"/>
      <c r="C676" s="613"/>
      <c r="D676" s="612"/>
      <c r="E676" s="612"/>
      <c r="F676" s="613"/>
      <c r="G676" s="612"/>
      <c r="H676" s="612"/>
      <c r="I676" s="735"/>
      <c r="J676" s="612"/>
      <c r="K676" s="613"/>
      <c r="L676" s="614"/>
      <c r="M676" s="614"/>
      <c r="N676" s="614"/>
      <c r="O676" s="614"/>
      <c r="P676" s="614"/>
      <c r="Q676" s="614"/>
      <c r="R676" s="614"/>
      <c r="S676" s="614"/>
      <c r="T676" s="614"/>
      <c r="U676" s="614"/>
      <c r="V676" s="614"/>
      <c r="W676" s="614"/>
      <c r="X676" s="614"/>
      <c r="Y676" s="614"/>
      <c r="Z676" s="614"/>
      <c r="AA676" s="614"/>
      <c r="AB676" s="614"/>
      <c r="AC676" s="614"/>
      <c r="AJ676" s="614"/>
      <c r="AK676" s="614"/>
      <c r="AL676" s="614"/>
      <c r="AM676" s="614"/>
      <c r="AN676" s="614"/>
      <c r="AO676" s="614"/>
      <c r="AP676" s="616"/>
      <c r="AQ676" s="616"/>
      <c r="AR676" s="616"/>
      <c r="AS676" s="614"/>
      <c r="AT676" s="614"/>
      <c r="AU676" s="614"/>
      <c r="AV676" s="614"/>
      <c r="AW676" s="614"/>
      <c r="AX676" s="614"/>
    </row>
    <row r="677" spans="1:50" x14ac:dyDescent="0.25">
      <c r="A677" s="612"/>
      <c r="B677" s="612"/>
      <c r="C677" s="613"/>
      <c r="D677" s="612"/>
      <c r="E677" s="612"/>
      <c r="F677" s="613"/>
      <c r="G677" s="612"/>
      <c r="H677" s="612"/>
      <c r="I677" s="735"/>
      <c r="J677" s="612"/>
      <c r="K677" s="613"/>
      <c r="L677" s="614"/>
      <c r="M677" s="614"/>
      <c r="N677" s="614"/>
      <c r="O677" s="614"/>
      <c r="P677" s="614"/>
      <c r="Q677" s="614"/>
      <c r="R677" s="614"/>
      <c r="S677" s="614"/>
      <c r="T677" s="614"/>
      <c r="U677" s="614"/>
      <c r="V677" s="614"/>
      <c r="W677" s="614"/>
      <c r="X677" s="614"/>
      <c r="Y677" s="614"/>
      <c r="Z677" s="614"/>
      <c r="AA677" s="614"/>
      <c r="AB677" s="614"/>
      <c r="AC677" s="614"/>
      <c r="AJ677" s="614"/>
      <c r="AK677" s="614"/>
      <c r="AL677" s="614"/>
      <c r="AM677" s="614"/>
      <c r="AN677" s="614"/>
      <c r="AO677" s="614"/>
      <c r="AP677" s="616"/>
      <c r="AQ677" s="616"/>
      <c r="AR677" s="616"/>
      <c r="AS677" s="614"/>
      <c r="AT677" s="614"/>
      <c r="AU677" s="614"/>
      <c r="AV677" s="614"/>
      <c r="AW677" s="614"/>
      <c r="AX677" s="614"/>
    </row>
    <row r="678" spans="1:50" x14ac:dyDescent="0.25">
      <c r="A678" s="612"/>
      <c r="B678" s="612"/>
      <c r="C678" s="613"/>
      <c r="D678" s="612"/>
      <c r="E678" s="612"/>
      <c r="F678" s="613"/>
      <c r="G678" s="612"/>
      <c r="H678" s="612"/>
      <c r="I678" s="735"/>
      <c r="J678" s="612"/>
      <c r="K678" s="613"/>
      <c r="L678" s="614"/>
      <c r="M678" s="614"/>
      <c r="N678" s="614"/>
      <c r="O678" s="614"/>
      <c r="P678" s="614"/>
      <c r="Q678" s="614"/>
      <c r="R678" s="614"/>
      <c r="S678" s="614"/>
      <c r="T678" s="614"/>
      <c r="U678" s="614"/>
      <c r="V678" s="614"/>
      <c r="W678" s="614"/>
      <c r="X678" s="614"/>
      <c r="Y678" s="614"/>
      <c r="Z678" s="614"/>
      <c r="AA678" s="614"/>
      <c r="AB678" s="614"/>
      <c r="AC678" s="614"/>
      <c r="AJ678" s="614"/>
      <c r="AK678" s="614"/>
      <c r="AL678" s="614"/>
      <c r="AM678" s="614"/>
      <c r="AN678" s="614"/>
      <c r="AO678" s="614"/>
      <c r="AP678" s="616"/>
      <c r="AQ678" s="616"/>
      <c r="AR678" s="616"/>
      <c r="AS678" s="614"/>
      <c r="AT678" s="614"/>
      <c r="AU678" s="614"/>
      <c r="AV678" s="614"/>
      <c r="AW678" s="614"/>
      <c r="AX678" s="614"/>
    </row>
    <row r="679" spans="1:50" x14ac:dyDescent="0.25">
      <c r="A679" s="612"/>
      <c r="B679" s="612"/>
      <c r="C679" s="613"/>
      <c r="D679" s="612"/>
      <c r="E679" s="612"/>
      <c r="F679" s="613"/>
      <c r="G679" s="612"/>
      <c r="H679" s="612"/>
      <c r="I679" s="735"/>
      <c r="J679" s="612"/>
      <c r="K679" s="613"/>
      <c r="L679" s="614"/>
      <c r="M679" s="614"/>
      <c r="N679" s="614"/>
      <c r="O679" s="614"/>
      <c r="P679" s="614"/>
      <c r="Q679" s="614"/>
      <c r="R679" s="614"/>
      <c r="S679" s="614"/>
      <c r="T679" s="614"/>
      <c r="U679" s="614"/>
      <c r="V679" s="614"/>
      <c r="W679" s="614"/>
      <c r="X679" s="614"/>
      <c r="Y679" s="614"/>
      <c r="Z679" s="614"/>
      <c r="AA679" s="614"/>
      <c r="AB679" s="614"/>
      <c r="AC679" s="614"/>
      <c r="AJ679" s="614"/>
      <c r="AK679" s="614"/>
      <c r="AL679" s="614"/>
      <c r="AM679" s="614"/>
      <c r="AN679" s="614"/>
      <c r="AO679" s="614"/>
      <c r="AP679" s="616"/>
      <c r="AQ679" s="616"/>
      <c r="AR679" s="616"/>
      <c r="AS679" s="614"/>
      <c r="AT679" s="614"/>
      <c r="AU679" s="614"/>
      <c r="AV679" s="614"/>
      <c r="AW679" s="614"/>
      <c r="AX679" s="614"/>
    </row>
    <row r="680" spans="1:50" x14ac:dyDescent="0.25">
      <c r="A680" s="612"/>
      <c r="B680" s="612"/>
      <c r="C680" s="613"/>
      <c r="D680" s="612"/>
      <c r="E680" s="612"/>
      <c r="F680" s="613"/>
      <c r="G680" s="612"/>
      <c r="H680" s="612"/>
      <c r="I680" s="735"/>
      <c r="J680" s="612"/>
      <c r="K680" s="613"/>
      <c r="L680" s="614"/>
      <c r="M680" s="614"/>
      <c r="N680" s="614"/>
      <c r="O680" s="614"/>
      <c r="P680" s="614"/>
      <c r="Q680" s="614"/>
      <c r="R680" s="614"/>
      <c r="S680" s="614"/>
      <c r="T680" s="614"/>
      <c r="U680" s="614"/>
      <c r="V680" s="614"/>
      <c r="W680" s="614"/>
      <c r="X680" s="614"/>
      <c r="Y680" s="614"/>
      <c r="Z680" s="614"/>
      <c r="AA680" s="614"/>
      <c r="AB680" s="614"/>
      <c r="AC680" s="614"/>
      <c r="AJ680" s="614"/>
      <c r="AK680" s="614"/>
      <c r="AL680" s="614"/>
      <c r="AM680" s="614"/>
      <c r="AN680" s="614"/>
      <c r="AO680" s="614"/>
      <c r="AP680" s="616"/>
      <c r="AQ680" s="616"/>
      <c r="AR680" s="616"/>
      <c r="AS680" s="614"/>
      <c r="AT680" s="614"/>
      <c r="AU680" s="614"/>
      <c r="AV680" s="614"/>
      <c r="AW680" s="614"/>
      <c r="AX680" s="614"/>
    </row>
    <row r="681" spans="1:50" x14ac:dyDescent="0.25">
      <c r="A681" s="612"/>
      <c r="B681" s="612"/>
      <c r="C681" s="613"/>
      <c r="D681" s="612"/>
      <c r="E681" s="612"/>
      <c r="F681" s="613"/>
      <c r="G681" s="612"/>
      <c r="H681" s="612"/>
      <c r="I681" s="735"/>
      <c r="J681" s="612"/>
      <c r="K681" s="613"/>
      <c r="L681" s="614"/>
      <c r="M681" s="614"/>
      <c r="N681" s="614"/>
      <c r="O681" s="614"/>
      <c r="P681" s="614"/>
      <c r="Q681" s="614"/>
      <c r="R681" s="614"/>
      <c r="S681" s="614"/>
      <c r="T681" s="614"/>
      <c r="U681" s="614"/>
      <c r="V681" s="614"/>
      <c r="W681" s="614"/>
      <c r="X681" s="614"/>
      <c r="Y681" s="614"/>
      <c r="Z681" s="614"/>
      <c r="AA681" s="614"/>
      <c r="AB681" s="614"/>
      <c r="AC681" s="614"/>
      <c r="AJ681" s="614"/>
      <c r="AK681" s="614"/>
      <c r="AL681" s="614"/>
      <c r="AM681" s="614"/>
      <c r="AN681" s="614"/>
      <c r="AO681" s="614"/>
      <c r="AP681" s="616"/>
      <c r="AQ681" s="616"/>
      <c r="AR681" s="616"/>
      <c r="AS681" s="614"/>
      <c r="AT681" s="614"/>
      <c r="AU681" s="614"/>
      <c r="AV681" s="614"/>
      <c r="AW681" s="614"/>
      <c r="AX681" s="614"/>
    </row>
    <row r="682" spans="1:50" x14ac:dyDescent="0.25">
      <c r="A682" s="612"/>
      <c r="B682" s="612"/>
      <c r="C682" s="613"/>
      <c r="D682" s="612"/>
      <c r="E682" s="612"/>
      <c r="F682" s="613"/>
      <c r="G682" s="612"/>
      <c r="H682" s="612"/>
      <c r="I682" s="735"/>
      <c r="J682" s="612"/>
      <c r="K682" s="613"/>
      <c r="L682" s="614"/>
      <c r="M682" s="614"/>
      <c r="N682" s="614"/>
      <c r="O682" s="614"/>
      <c r="P682" s="614"/>
      <c r="Q682" s="614"/>
      <c r="R682" s="614"/>
      <c r="S682" s="614"/>
      <c r="T682" s="614"/>
      <c r="U682" s="614"/>
      <c r="V682" s="614"/>
      <c r="W682" s="614"/>
      <c r="X682" s="614"/>
      <c r="Y682" s="614"/>
      <c r="Z682" s="614"/>
      <c r="AA682" s="614"/>
      <c r="AB682" s="614"/>
      <c r="AC682" s="614"/>
      <c r="AJ682" s="614"/>
      <c r="AK682" s="614"/>
      <c r="AL682" s="614"/>
      <c r="AM682" s="614"/>
      <c r="AN682" s="614"/>
      <c r="AO682" s="614"/>
      <c r="AP682" s="616"/>
      <c r="AQ682" s="616"/>
      <c r="AR682" s="616"/>
      <c r="AS682" s="614"/>
      <c r="AT682" s="614"/>
      <c r="AU682" s="614"/>
      <c r="AV682" s="614"/>
      <c r="AW682" s="614"/>
      <c r="AX682" s="614"/>
    </row>
    <row r="683" spans="1:50" x14ac:dyDescent="0.25">
      <c r="A683" s="612"/>
      <c r="B683" s="612"/>
      <c r="C683" s="613"/>
      <c r="D683" s="612"/>
      <c r="E683" s="612"/>
      <c r="F683" s="613"/>
      <c r="G683" s="612"/>
      <c r="H683" s="612"/>
      <c r="I683" s="735"/>
      <c r="J683" s="612"/>
      <c r="K683" s="613"/>
      <c r="L683" s="614"/>
      <c r="M683" s="614"/>
      <c r="N683" s="614"/>
      <c r="O683" s="614"/>
      <c r="P683" s="614"/>
      <c r="Q683" s="614"/>
      <c r="R683" s="614"/>
      <c r="S683" s="614"/>
      <c r="T683" s="614"/>
      <c r="U683" s="614"/>
      <c r="V683" s="614"/>
      <c r="W683" s="614"/>
      <c r="X683" s="614"/>
      <c r="Y683" s="614"/>
      <c r="Z683" s="614"/>
      <c r="AA683" s="614"/>
      <c r="AB683" s="614"/>
      <c r="AC683" s="614"/>
      <c r="AJ683" s="614"/>
      <c r="AK683" s="614"/>
      <c r="AL683" s="614"/>
      <c r="AM683" s="614"/>
      <c r="AN683" s="614"/>
      <c r="AO683" s="614"/>
      <c r="AP683" s="616"/>
      <c r="AQ683" s="616"/>
      <c r="AR683" s="616"/>
      <c r="AS683" s="614"/>
      <c r="AT683" s="614"/>
      <c r="AU683" s="614"/>
      <c r="AV683" s="614"/>
      <c r="AW683" s="614"/>
      <c r="AX683" s="614"/>
    </row>
    <row r="684" spans="1:50" x14ac:dyDescent="0.25">
      <c r="A684" s="612"/>
      <c r="B684" s="612"/>
      <c r="C684" s="613"/>
      <c r="D684" s="612"/>
      <c r="E684" s="612"/>
      <c r="F684" s="613"/>
      <c r="G684" s="612"/>
      <c r="H684" s="612"/>
      <c r="I684" s="735"/>
      <c r="J684" s="612"/>
      <c r="K684" s="613"/>
      <c r="L684" s="614"/>
      <c r="M684" s="614"/>
      <c r="N684" s="614"/>
      <c r="O684" s="614"/>
      <c r="P684" s="614"/>
      <c r="Q684" s="614"/>
      <c r="R684" s="614"/>
      <c r="S684" s="614"/>
      <c r="T684" s="614"/>
      <c r="U684" s="614"/>
      <c r="V684" s="614"/>
      <c r="W684" s="614"/>
      <c r="X684" s="614"/>
      <c r="Y684" s="614"/>
      <c r="Z684" s="614"/>
      <c r="AA684" s="614"/>
      <c r="AB684" s="614"/>
      <c r="AC684" s="614"/>
      <c r="AJ684" s="614"/>
      <c r="AK684" s="614"/>
      <c r="AL684" s="614"/>
      <c r="AM684" s="614"/>
      <c r="AN684" s="614"/>
      <c r="AO684" s="614"/>
      <c r="AP684" s="616"/>
      <c r="AQ684" s="616"/>
      <c r="AR684" s="616"/>
      <c r="AS684" s="614"/>
      <c r="AT684" s="614"/>
      <c r="AU684" s="614"/>
      <c r="AV684" s="614"/>
      <c r="AW684" s="614"/>
      <c r="AX684" s="614"/>
    </row>
    <row r="685" spans="1:50" x14ac:dyDescent="0.25">
      <c r="A685" s="612"/>
      <c r="B685" s="612"/>
      <c r="C685" s="613"/>
      <c r="D685" s="612"/>
      <c r="E685" s="612"/>
      <c r="F685" s="613"/>
      <c r="G685" s="612"/>
      <c r="H685" s="612"/>
      <c r="I685" s="735"/>
      <c r="J685" s="612"/>
      <c r="K685" s="613"/>
      <c r="L685" s="614"/>
      <c r="M685" s="614"/>
      <c r="N685" s="614"/>
      <c r="O685" s="614"/>
      <c r="P685" s="614"/>
      <c r="Q685" s="614"/>
      <c r="R685" s="614"/>
      <c r="S685" s="614"/>
      <c r="T685" s="614"/>
      <c r="U685" s="614"/>
      <c r="V685" s="614"/>
      <c r="W685" s="614"/>
      <c r="X685" s="614"/>
      <c r="Y685" s="614"/>
      <c r="Z685" s="614"/>
      <c r="AA685" s="614"/>
      <c r="AB685" s="614"/>
      <c r="AC685" s="614"/>
      <c r="AJ685" s="614"/>
      <c r="AK685" s="614"/>
      <c r="AL685" s="614"/>
      <c r="AM685" s="614"/>
      <c r="AN685" s="614"/>
      <c r="AO685" s="614"/>
      <c r="AP685" s="616"/>
      <c r="AQ685" s="616"/>
      <c r="AR685" s="616"/>
      <c r="AS685" s="614"/>
      <c r="AT685" s="614"/>
      <c r="AU685" s="614"/>
      <c r="AV685" s="614"/>
      <c r="AW685" s="614"/>
      <c r="AX685" s="614"/>
    </row>
    <row r="686" spans="1:50" x14ac:dyDescent="0.25">
      <c r="A686" s="612"/>
      <c r="B686" s="612"/>
      <c r="C686" s="613"/>
      <c r="D686" s="612"/>
      <c r="E686" s="612"/>
      <c r="F686" s="613"/>
      <c r="G686" s="612"/>
      <c r="H686" s="612"/>
      <c r="I686" s="735"/>
      <c r="J686" s="612"/>
      <c r="K686" s="613"/>
      <c r="L686" s="614"/>
      <c r="M686" s="614"/>
      <c r="N686" s="614"/>
      <c r="O686" s="614"/>
      <c r="P686" s="614"/>
      <c r="Q686" s="614"/>
      <c r="R686" s="614"/>
      <c r="S686" s="614"/>
      <c r="T686" s="614"/>
      <c r="U686" s="614"/>
      <c r="V686" s="614"/>
      <c r="W686" s="614"/>
      <c r="X686" s="614"/>
      <c r="Y686" s="614"/>
      <c r="Z686" s="614"/>
      <c r="AA686" s="614"/>
      <c r="AB686" s="614"/>
      <c r="AC686" s="614"/>
      <c r="AJ686" s="614"/>
      <c r="AK686" s="614"/>
      <c r="AL686" s="614"/>
      <c r="AM686" s="614"/>
      <c r="AN686" s="614"/>
      <c r="AO686" s="614"/>
      <c r="AP686" s="616"/>
      <c r="AQ686" s="616"/>
      <c r="AR686" s="616"/>
      <c r="AS686" s="614"/>
      <c r="AT686" s="614"/>
      <c r="AU686" s="614"/>
      <c r="AV686" s="614"/>
      <c r="AW686" s="614"/>
      <c r="AX686" s="614"/>
    </row>
    <row r="687" spans="1:50" x14ac:dyDescent="0.25">
      <c r="A687" s="612"/>
      <c r="B687" s="612"/>
      <c r="C687" s="613"/>
      <c r="D687" s="612"/>
      <c r="E687" s="612"/>
      <c r="F687" s="613"/>
      <c r="G687" s="612"/>
      <c r="H687" s="612"/>
      <c r="I687" s="735"/>
      <c r="J687" s="612"/>
      <c r="K687" s="613"/>
      <c r="L687" s="614"/>
      <c r="M687" s="614"/>
      <c r="N687" s="614"/>
      <c r="O687" s="614"/>
      <c r="P687" s="614"/>
      <c r="Q687" s="614"/>
      <c r="R687" s="614"/>
      <c r="S687" s="614"/>
      <c r="T687" s="614"/>
      <c r="U687" s="614"/>
      <c r="V687" s="614"/>
      <c r="W687" s="614"/>
      <c r="X687" s="614"/>
      <c r="Y687" s="614"/>
      <c r="Z687" s="614"/>
      <c r="AA687" s="614"/>
      <c r="AB687" s="614"/>
      <c r="AC687" s="614"/>
      <c r="AJ687" s="614"/>
      <c r="AK687" s="614"/>
      <c r="AL687" s="614"/>
      <c r="AM687" s="614"/>
      <c r="AN687" s="614"/>
      <c r="AO687" s="614"/>
      <c r="AP687" s="616"/>
      <c r="AQ687" s="616"/>
      <c r="AR687" s="616"/>
      <c r="AS687" s="614"/>
      <c r="AT687" s="614"/>
      <c r="AU687" s="614"/>
      <c r="AV687" s="614"/>
      <c r="AW687" s="614"/>
      <c r="AX687" s="614"/>
    </row>
    <row r="688" spans="1:50" x14ac:dyDescent="0.25">
      <c r="A688" s="612"/>
      <c r="B688" s="612"/>
      <c r="C688" s="613"/>
      <c r="D688" s="612"/>
      <c r="E688" s="612"/>
      <c r="F688" s="613"/>
      <c r="G688" s="612"/>
      <c r="H688" s="612"/>
      <c r="I688" s="735"/>
      <c r="J688" s="612"/>
      <c r="K688" s="613"/>
      <c r="L688" s="614"/>
      <c r="M688" s="614"/>
      <c r="N688" s="614"/>
      <c r="O688" s="614"/>
      <c r="P688" s="614"/>
      <c r="Q688" s="614"/>
      <c r="R688" s="614"/>
      <c r="S688" s="614"/>
      <c r="T688" s="614"/>
      <c r="U688" s="614"/>
      <c r="V688" s="614"/>
      <c r="W688" s="614"/>
      <c r="X688" s="614"/>
      <c r="Y688" s="614"/>
      <c r="Z688" s="614"/>
      <c r="AA688" s="614"/>
      <c r="AB688" s="614"/>
      <c r="AC688" s="614"/>
      <c r="AJ688" s="614"/>
      <c r="AK688" s="614"/>
      <c r="AL688" s="614"/>
      <c r="AM688" s="614"/>
      <c r="AN688" s="614"/>
      <c r="AO688" s="614"/>
      <c r="AP688" s="616"/>
      <c r="AQ688" s="616"/>
      <c r="AR688" s="616"/>
      <c r="AS688" s="614"/>
      <c r="AT688" s="614"/>
      <c r="AU688" s="614"/>
      <c r="AV688" s="614"/>
      <c r="AW688" s="614"/>
      <c r="AX688" s="614"/>
    </row>
    <row r="689" spans="1:50" x14ac:dyDescent="0.25">
      <c r="A689" s="612"/>
      <c r="B689" s="612"/>
      <c r="C689" s="613"/>
      <c r="D689" s="612"/>
      <c r="E689" s="612"/>
      <c r="F689" s="613"/>
      <c r="G689" s="612"/>
      <c r="H689" s="612"/>
      <c r="I689" s="735"/>
      <c r="J689" s="612"/>
      <c r="K689" s="613"/>
      <c r="L689" s="614"/>
      <c r="M689" s="614"/>
      <c r="N689" s="614"/>
      <c r="O689" s="614"/>
      <c r="P689" s="614"/>
      <c r="Q689" s="614"/>
      <c r="R689" s="614"/>
      <c r="S689" s="614"/>
      <c r="T689" s="614"/>
      <c r="U689" s="614"/>
      <c r="V689" s="614"/>
      <c r="W689" s="614"/>
      <c r="X689" s="614"/>
      <c r="Y689" s="614"/>
      <c r="Z689" s="614"/>
      <c r="AA689" s="614"/>
      <c r="AB689" s="614"/>
      <c r="AC689" s="614"/>
      <c r="AJ689" s="614"/>
      <c r="AK689" s="614"/>
      <c r="AL689" s="614"/>
      <c r="AM689" s="614"/>
      <c r="AN689" s="614"/>
      <c r="AO689" s="614"/>
      <c r="AP689" s="616"/>
      <c r="AQ689" s="616"/>
      <c r="AR689" s="616"/>
      <c r="AS689" s="614"/>
      <c r="AT689" s="614"/>
      <c r="AU689" s="614"/>
      <c r="AV689" s="614"/>
      <c r="AW689" s="614"/>
      <c r="AX689" s="614"/>
    </row>
    <row r="690" spans="1:50" x14ac:dyDescent="0.25">
      <c r="A690" s="612"/>
      <c r="B690" s="612"/>
      <c r="C690" s="613"/>
      <c r="D690" s="612"/>
      <c r="E690" s="612"/>
      <c r="F690" s="613"/>
      <c r="G690" s="612"/>
      <c r="H690" s="612"/>
      <c r="I690" s="735"/>
      <c r="J690" s="612"/>
      <c r="K690" s="613"/>
      <c r="L690" s="614"/>
      <c r="M690" s="614"/>
      <c r="N690" s="614"/>
      <c r="O690" s="614"/>
      <c r="P690" s="614"/>
      <c r="Q690" s="614"/>
      <c r="R690" s="614"/>
      <c r="S690" s="614"/>
      <c r="T690" s="614"/>
      <c r="U690" s="614"/>
      <c r="V690" s="614"/>
      <c r="W690" s="614"/>
      <c r="X690" s="614"/>
      <c r="Y690" s="614"/>
      <c r="Z690" s="614"/>
      <c r="AA690" s="614"/>
      <c r="AB690" s="614"/>
      <c r="AC690" s="614"/>
      <c r="AJ690" s="614"/>
      <c r="AK690" s="614"/>
      <c r="AL690" s="614"/>
      <c r="AM690" s="614"/>
      <c r="AN690" s="614"/>
      <c r="AO690" s="614"/>
      <c r="AP690" s="616"/>
      <c r="AQ690" s="616"/>
      <c r="AR690" s="616"/>
      <c r="AS690" s="614"/>
      <c r="AT690" s="614"/>
      <c r="AU690" s="614"/>
      <c r="AV690" s="614"/>
      <c r="AW690" s="614"/>
      <c r="AX690" s="614"/>
    </row>
    <row r="691" spans="1:50" x14ac:dyDescent="0.25">
      <c r="A691" s="612"/>
      <c r="B691" s="612"/>
      <c r="C691" s="613"/>
      <c r="D691" s="612"/>
      <c r="E691" s="612"/>
      <c r="F691" s="613"/>
      <c r="G691" s="612"/>
      <c r="H691" s="612"/>
      <c r="I691" s="735"/>
      <c r="J691" s="612"/>
      <c r="K691" s="613"/>
      <c r="L691" s="614"/>
      <c r="M691" s="614"/>
      <c r="N691" s="614"/>
      <c r="O691" s="614"/>
      <c r="P691" s="614"/>
      <c r="Q691" s="614"/>
      <c r="R691" s="614"/>
      <c r="S691" s="614"/>
      <c r="T691" s="614"/>
      <c r="U691" s="614"/>
      <c r="V691" s="614"/>
      <c r="W691" s="614"/>
      <c r="X691" s="614"/>
      <c r="Y691" s="614"/>
      <c r="Z691" s="614"/>
      <c r="AA691" s="614"/>
      <c r="AB691" s="614"/>
      <c r="AC691" s="614"/>
      <c r="AJ691" s="614"/>
      <c r="AK691" s="614"/>
      <c r="AL691" s="614"/>
      <c r="AM691" s="614"/>
      <c r="AN691" s="614"/>
      <c r="AO691" s="614"/>
      <c r="AP691" s="616"/>
      <c r="AQ691" s="616"/>
      <c r="AR691" s="616"/>
      <c r="AS691" s="614"/>
      <c r="AT691" s="614"/>
      <c r="AU691" s="614"/>
      <c r="AV691" s="614"/>
      <c r="AW691" s="614"/>
      <c r="AX691" s="614"/>
    </row>
    <row r="692" spans="1:50" x14ac:dyDescent="0.25">
      <c r="A692" s="612"/>
      <c r="B692" s="612"/>
      <c r="C692" s="613"/>
      <c r="D692" s="612"/>
      <c r="E692" s="612"/>
      <c r="F692" s="613"/>
      <c r="G692" s="612"/>
      <c r="H692" s="612"/>
      <c r="I692" s="735"/>
      <c r="J692" s="612"/>
      <c r="K692" s="613"/>
      <c r="L692" s="614"/>
      <c r="M692" s="614"/>
      <c r="N692" s="614"/>
      <c r="O692" s="614"/>
      <c r="P692" s="614"/>
      <c r="Q692" s="614"/>
      <c r="R692" s="614"/>
      <c r="S692" s="614"/>
      <c r="T692" s="614"/>
      <c r="U692" s="614"/>
      <c r="V692" s="614"/>
      <c r="W692" s="614"/>
      <c r="X692" s="614"/>
      <c r="Y692" s="614"/>
      <c r="Z692" s="614"/>
      <c r="AA692" s="614"/>
      <c r="AB692" s="614"/>
      <c r="AC692" s="614"/>
      <c r="AJ692" s="614"/>
      <c r="AK692" s="614"/>
      <c r="AL692" s="614"/>
      <c r="AM692" s="614"/>
      <c r="AN692" s="614"/>
      <c r="AO692" s="614"/>
      <c r="AP692" s="616"/>
      <c r="AQ692" s="616"/>
      <c r="AR692" s="616"/>
      <c r="AS692" s="614"/>
      <c r="AT692" s="614"/>
      <c r="AU692" s="614"/>
      <c r="AV692" s="614"/>
      <c r="AW692" s="614"/>
      <c r="AX692" s="614"/>
    </row>
    <row r="693" spans="1:50" x14ac:dyDescent="0.25">
      <c r="A693" s="612"/>
      <c r="B693" s="612"/>
      <c r="C693" s="613"/>
      <c r="D693" s="612"/>
      <c r="E693" s="612"/>
      <c r="F693" s="613"/>
      <c r="G693" s="612"/>
      <c r="H693" s="612"/>
      <c r="I693" s="735"/>
      <c r="J693" s="612"/>
      <c r="K693" s="613"/>
      <c r="L693" s="614"/>
      <c r="M693" s="614"/>
      <c r="N693" s="614"/>
      <c r="O693" s="614"/>
      <c r="P693" s="614"/>
      <c r="Q693" s="614"/>
      <c r="R693" s="614"/>
      <c r="S693" s="614"/>
      <c r="T693" s="614"/>
      <c r="U693" s="614"/>
      <c r="V693" s="614"/>
      <c r="W693" s="614"/>
      <c r="X693" s="614"/>
      <c r="Y693" s="614"/>
      <c r="Z693" s="614"/>
      <c r="AA693" s="614"/>
      <c r="AB693" s="614"/>
      <c r="AC693" s="614"/>
      <c r="AJ693" s="614"/>
      <c r="AK693" s="614"/>
      <c r="AL693" s="614"/>
      <c r="AM693" s="614"/>
      <c r="AN693" s="614"/>
      <c r="AO693" s="614"/>
      <c r="AP693" s="616"/>
      <c r="AQ693" s="616"/>
      <c r="AR693" s="616"/>
      <c r="AS693" s="614"/>
      <c r="AT693" s="614"/>
      <c r="AU693" s="614"/>
      <c r="AV693" s="614"/>
      <c r="AW693" s="614"/>
      <c r="AX693" s="614"/>
    </row>
    <row r="694" spans="1:50" x14ac:dyDescent="0.25">
      <c r="A694" s="612"/>
      <c r="B694" s="612"/>
      <c r="C694" s="613"/>
      <c r="D694" s="612"/>
      <c r="E694" s="612"/>
      <c r="F694" s="613"/>
      <c r="G694" s="612"/>
      <c r="H694" s="612"/>
      <c r="I694" s="735"/>
      <c r="J694" s="612"/>
      <c r="K694" s="613"/>
      <c r="L694" s="614"/>
      <c r="M694" s="614"/>
      <c r="N694" s="614"/>
      <c r="O694" s="614"/>
      <c r="P694" s="614"/>
      <c r="Q694" s="614"/>
      <c r="R694" s="614"/>
      <c r="S694" s="614"/>
      <c r="T694" s="614"/>
      <c r="U694" s="614"/>
      <c r="V694" s="614"/>
      <c r="W694" s="614"/>
      <c r="X694" s="614"/>
      <c r="Y694" s="614"/>
      <c r="Z694" s="614"/>
      <c r="AA694" s="614"/>
      <c r="AB694" s="614"/>
      <c r="AC694" s="614"/>
      <c r="AJ694" s="614"/>
      <c r="AK694" s="614"/>
      <c r="AL694" s="614"/>
      <c r="AM694" s="614"/>
      <c r="AN694" s="614"/>
      <c r="AO694" s="614"/>
      <c r="AP694" s="616"/>
      <c r="AQ694" s="616"/>
      <c r="AR694" s="616"/>
      <c r="AS694" s="614"/>
      <c r="AT694" s="614"/>
      <c r="AU694" s="614"/>
      <c r="AV694" s="614"/>
      <c r="AW694" s="614"/>
      <c r="AX694" s="614"/>
    </row>
    <row r="695" spans="1:50" x14ac:dyDescent="0.25">
      <c r="A695" s="612"/>
      <c r="B695" s="612"/>
      <c r="C695" s="613"/>
      <c r="D695" s="612"/>
      <c r="E695" s="612"/>
      <c r="F695" s="613"/>
      <c r="G695" s="612"/>
      <c r="H695" s="612"/>
      <c r="I695" s="735"/>
      <c r="J695" s="612"/>
      <c r="K695" s="613"/>
      <c r="L695" s="614"/>
      <c r="M695" s="614"/>
      <c r="N695" s="614"/>
      <c r="O695" s="614"/>
      <c r="P695" s="614"/>
      <c r="Q695" s="614"/>
      <c r="R695" s="614"/>
      <c r="S695" s="614"/>
      <c r="T695" s="614"/>
      <c r="U695" s="614"/>
      <c r="V695" s="614"/>
      <c r="W695" s="614"/>
      <c r="X695" s="614"/>
      <c r="Y695" s="614"/>
      <c r="Z695" s="614"/>
      <c r="AA695" s="614"/>
      <c r="AB695" s="614"/>
      <c r="AC695" s="614"/>
      <c r="AJ695" s="614"/>
      <c r="AK695" s="614"/>
      <c r="AL695" s="614"/>
      <c r="AM695" s="614"/>
      <c r="AN695" s="614"/>
      <c r="AO695" s="614"/>
      <c r="AP695" s="616"/>
      <c r="AQ695" s="616"/>
      <c r="AR695" s="616"/>
      <c r="AS695" s="614"/>
      <c r="AT695" s="614"/>
      <c r="AU695" s="614"/>
      <c r="AV695" s="614"/>
      <c r="AW695" s="614"/>
      <c r="AX695" s="614"/>
    </row>
    <row r="696" spans="1:50" x14ac:dyDescent="0.25">
      <c r="A696" s="612"/>
      <c r="B696" s="612"/>
      <c r="C696" s="613"/>
      <c r="D696" s="612"/>
      <c r="E696" s="612"/>
      <c r="F696" s="613"/>
      <c r="G696" s="612"/>
      <c r="H696" s="612"/>
      <c r="I696" s="735"/>
      <c r="J696" s="612"/>
      <c r="K696" s="613"/>
      <c r="L696" s="614"/>
      <c r="M696" s="614"/>
      <c r="N696" s="614"/>
      <c r="O696" s="614"/>
      <c r="P696" s="614"/>
      <c r="Q696" s="614"/>
      <c r="R696" s="614"/>
      <c r="S696" s="614"/>
      <c r="T696" s="614"/>
      <c r="U696" s="614"/>
      <c r="V696" s="614"/>
      <c r="W696" s="614"/>
      <c r="X696" s="614"/>
      <c r="Y696" s="614"/>
      <c r="Z696" s="614"/>
      <c r="AA696" s="614"/>
      <c r="AB696" s="614"/>
      <c r="AC696" s="614"/>
      <c r="AJ696" s="614"/>
      <c r="AK696" s="614"/>
      <c r="AL696" s="614"/>
      <c r="AM696" s="614"/>
      <c r="AN696" s="614"/>
      <c r="AO696" s="614"/>
      <c r="AP696" s="616"/>
      <c r="AQ696" s="616"/>
      <c r="AR696" s="616"/>
      <c r="AS696" s="614"/>
      <c r="AT696" s="614"/>
      <c r="AU696" s="614"/>
      <c r="AV696" s="614"/>
      <c r="AW696" s="614"/>
      <c r="AX696" s="614"/>
    </row>
    <row r="697" spans="1:50" x14ac:dyDescent="0.25">
      <c r="A697" s="612"/>
      <c r="B697" s="612"/>
      <c r="C697" s="613"/>
      <c r="D697" s="612"/>
      <c r="E697" s="612"/>
      <c r="F697" s="613"/>
      <c r="G697" s="612"/>
      <c r="H697" s="612"/>
      <c r="I697" s="735"/>
      <c r="J697" s="612"/>
      <c r="K697" s="613"/>
      <c r="L697" s="614"/>
      <c r="M697" s="614"/>
      <c r="N697" s="614"/>
      <c r="O697" s="614"/>
      <c r="P697" s="614"/>
      <c r="Q697" s="614"/>
      <c r="R697" s="614"/>
      <c r="S697" s="614"/>
      <c r="T697" s="614"/>
      <c r="U697" s="614"/>
      <c r="V697" s="614"/>
      <c r="W697" s="614"/>
      <c r="X697" s="614"/>
      <c r="Y697" s="614"/>
      <c r="Z697" s="614"/>
      <c r="AA697" s="614"/>
      <c r="AB697" s="614"/>
      <c r="AC697" s="614"/>
      <c r="AJ697" s="614"/>
      <c r="AK697" s="614"/>
      <c r="AL697" s="614"/>
      <c r="AM697" s="614"/>
      <c r="AN697" s="614"/>
      <c r="AO697" s="614"/>
      <c r="AP697" s="616"/>
      <c r="AQ697" s="616"/>
      <c r="AR697" s="616"/>
      <c r="AS697" s="614"/>
      <c r="AT697" s="614"/>
      <c r="AU697" s="614"/>
      <c r="AV697" s="614"/>
      <c r="AW697" s="614"/>
      <c r="AX697" s="614"/>
    </row>
    <row r="698" spans="1:50" x14ac:dyDescent="0.25">
      <c r="A698" s="612"/>
      <c r="B698" s="612"/>
      <c r="C698" s="613"/>
      <c r="D698" s="612"/>
      <c r="E698" s="612"/>
      <c r="F698" s="613"/>
      <c r="G698" s="612"/>
      <c r="H698" s="612"/>
      <c r="I698" s="735"/>
      <c r="J698" s="612"/>
      <c r="K698" s="613"/>
      <c r="L698" s="614"/>
      <c r="M698" s="614"/>
      <c r="N698" s="614"/>
      <c r="O698" s="614"/>
      <c r="P698" s="614"/>
      <c r="Q698" s="614"/>
      <c r="R698" s="614"/>
      <c r="S698" s="614"/>
      <c r="T698" s="614"/>
      <c r="U698" s="614"/>
      <c r="V698" s="614"/>
      <c r="W698" s="614"/>
      <c r="X698" s="614"/>
      <c r="Y698" s="614"/>
      <c r="Z698" s="614"/>
      <c r="AA698" s="614"/>
      <c r="AB698" s="614"/>
      <c r="AC698" s="614"/>
      <c r="AJ698" s="614"/>
      <c r="AK698" s="614"/>
      <c r="AL698" s="614"/>
      <c r="AM698" s="614"/>
      <c r="AN698" s="614"/>
      <c r="AO698" s="614"/>
      <c r="AP698" s="616"/>
      <c r="AQ698" s="616"/>
      <c r="AR698" s="616"/>
      <c r="AS698" s="614"/>
      <c r="AT698" s="614"/>
      <c r="AU698" s="614"/>
      <c r="AV698" s="614"/>
      <c r="AW698" s="614"/>
      <c r="AX698" s="614"/>
    </row>
    <row r="699" spans="1:50" x14ac:dyDescent="0.25">
      <c r="A699" s="612"/>
      <c r="B699" s="612"/>
      <c r="C699" s="613"/>
      <c r="D699" s="612"/>
      <c r="E699" s="612"/>
      <c r="F699" s="613"/>
      <c r="G699" s="612"/>
      <c r="H699" s="612"/>
      <c r="I699" s="735"/>
      <c r="J699" s="612"/>
      <c r="K699" s="613"/>
      <c r="L699" s="614"/>
      <c r="M699" s="614"/>
      <c r="N699" s="614"/>
      <c r="O699" s="614"/>
      <c r="P699" s="614"/>
      <c r="Q699" s="614"/>
      <c r="R699" s="614"/>
      <c r="S699" s="614"/>
      <c r="T699" s="614"/>
      <c r="U699" s="614"/>
      <c r="V699" s="614"/>
      <c r="W699" s="614"/>
      <c r="X699" s="614"/>
      <c r="Y699" s="614"/>
      <c r="Z699" s="614"/>
      <c r="AA699" s="614"/>
      <c r="AB699" s="614"/>
      <c r="AC699" s="614"/>
      <c r="AJ699" s="614"/>
      <c r="AK699" s="614"/>
      <c r="AL699" s="614"/>
      <c r="AM699" s="614"/>
      <c r="AN699" s="614"/>
      <c r="AO699" s="614"/>
      <c r="AP699" s="616"/>
      <c r="AQ699" s="616"/>
      <c r="AR699" s="616"/>
      <c r="AS699" s="614"/>
      <c r="AT699" s="614"/>
      <c r="AU699" s="614"/>
      <c r="AV699" s="614"/>
      <c r="AW699" s="614"/>
      <c r="AX699" s="614"/>
    </row>
    <row r="700" spans="1:50" x14ac:dyDescent="0.25">
      <c r="A700" s="612"/>
      <c r="B700" s="612"/>
      <c r="C700" s="613"/>
      <c r="D700" s="612"/>
      <c r="E700" s="612"/>
      <c r="F700" s="613"/>
      <c r="G700" s="612"/>
      <c r="H700" s="612"/>
      <c r="I700" s="735"/>
      <c r="J700" s="612"/>
      <c r="K700" s="613"/>
      <c r="L700" s="614"/>
      <c r="M700" s="614"/>
      <c r="N700" s="614"/>
      <c r="O700" s="614"/>
      <c r="P700" s="614"/>
      <c r="Q700" s="614"/>
      <c r="R700" s="614"/>
      <c r="S700" s="614"/>
      <c r="T700" s="614"/>
      <c r="U700" s="614"/>
      <c r="V700" s="614"/>
      <c r="W700" s="614"/>
      <c r="X700" s="614"/>
      <c r="Y700" s="614"/>
      <c r="Z700" s="614"/>
      <c r="AA700" s="614"/>
      <c r="AB700" s="614"/>
      <c r="AC700" s="614"/>
      <c r="AJ700" s="614"/>
      <c r="AK700" s="614"/>
      <c r="AL700" s="614"/>
      <c r="AM700" s="614"/>
      <c r="AN700" s="614"/>
      <c r="AO700" s="614"/>
      <c r="AP700" s="616"/>
      <c r="AQ700" s="616"/>
      <c r="AR700" s="616"/>
      <c r="AS700" s="614"/>
      <c r="AT700" s="614"/>
      <c r="AU700" s="614"/>
      <c r="AV700" s="614"/>
      <c r="AW700" s="614"/>
      <c r="AX700" s="614"/>
    </row>
    <row r="701" spans="1:50" x14ac:dyDescent="0.25">
      <c r="A701" s="612"/>
      <c r="B701" s="612"/>
      <c r="C701" s="613"/>
      <c r="D701" s="612"/>
      <c r="E701" s="612"/>
      <c r="F701" s="613"/>
      <c r="G701" s="612"/>
      <c r="H701" s="612"/>
      <c r="I701" s="735"/>
      <c r="J701" s="612"/>
      <c r="K701" s="613"/>
      <c r="L701" s="614"/>
      <c r="M701" s="614"/>
      <c r="N701" s="614"/>
      <c r="O701" s="614"/>
      <c r="P701" s="614"/>
      <c r="Q701" s="614"/>
      <c r="R701" s="614"/>
      <c r="S701" s="614"/>
      <c r="T701" s="614"/>
      <c r="U701" s="614"/>
      <c r="V701" s="614"/>
      <c r="W701" s="614"/>
      <c r="X701" s="614"/>
      <c r="Y701" s="614"/>
      <c r="Z701" s="614"/>
      <c r="AA701" s="614"/>
      <c r="AB701" s="614"/>
      <c r="AC701" s="614"/>
      <c r="AJ701" s="614"/>
      <c r="AK701" s="614"/>
      <c r="AL701" s="614"/>
      <c r="AM701" s="614"/>
      <c r="AN701" s="614"/>
      <c r="AO701" s="614"/>
      <c r="AP701" s="616"/>
      <c r="AQ701" s="616"/>
      <c r="AR701" s="616"/>
      <c r="AS701" s="614"/>
      <c r="AT701" s="614"/>
      <c r="AU701" s="614"/>
      <c r="AV701" s="614"/>
      <c r="AW701" s="614"/>
      <c r="AX701" s="614"/>
    </row>
    <row r="702" spans="1:50" x14ac:dyDescent="0.25">
      <c r="A702" s="612"/>
      <c r="B702" s="612"/>
      <c r="C702" s="613"/>
      <c r="D702" s="612"/>
      <c r="E702" s="612"/>
      <c r="F702" s="613"/>
      <c r="G702" s="612"/>
      <c r="H702" s="612"/>
      <c r="I702" s="735"/>
      <c r="J702" s="612"/>
      <c r="K702" s="613"/>
      <c r="L702" s="614"/>
      <c r="M702" s="614"/>
      <c r="N702" s="614"/>
      <c r="O702" s="614"/>
      <c r="P702" s="614"/>
      <c r="Q702" s="614"/>
      <c r="R702" s="614"/>
      <c r="S702" s="614"/>
      <c r="T702" s="614"/>
      <c r="U702" s="614"/>
      <c r="V702" s="614"/>
      <c r="W702" s="614"/>
      <c r="X702" s="614"/>
      <c r="Y702" s="614"/>
      <c r="Z702" s="614"/>
      <c r="AA702" s="614"/>
      <c r="AB702" s="614"/>
      <c r="AC702" s="614"/>
      <c r="AJ702" s="614"/>
      <c r="AK702" s="614"/>
      <c r="AL702" s="614"/>
      <c r="AM702" s="614"/>
      <c r="AN702" s="614"/>
      <c r="AO702" s="614"/>
      <c r="AP702" s="616"/>
      <c r="AQ702" s="616"/>
      <c r="AR702" s="616"/>
      <c r="AS702" s="614"/>
      <c r="AT702" s="614"/>
      <c r="AU702" s="614"/>
      <c r="AV702" s="614"/>
      <c r="AW702" s="614"/>
      <c r="AX702" s="614"/>
    </row>
    <row r="703" spans="1:50" x14ac:dyDescent="0.25">
      <c r="A703" s="612"/>
      <c r="B703" s="612"/>
      <c r="C703" s="613"/>
      <c r="D703" s="612"/>
      <c r="E703" s="612"/>
      <c r="F703" s="613"/>
      <c r="G703" s="612"/>
      <c r="H703" s="612"/>
      <c r="I703" s="735"/>
      <c r="J703" s="612"/>
      <c r="K703" s="613"/>
      <c r="L703" s="614"/>
      <c r="M703" s="614"/>
      <c r="N703" s="614"/>
      <c r="O703" s="614"/>
      <c r="P703" s="614"/>
      <c r="Q703" s="614"/>
      <c r="R703" s="614"/>
      <c r="S703" s="614"/>
      <c r="T703" s="614"/>
      <c r="U703" s="614"/>
      <c r="V703" s="614"/>
      <c r="W703" s="614"/>
      <c r="X703" s="614"/>
      <c r="Y703" s="614"/>
      <c r="Z703" s="614"/>
      <c r="AA703" s="614"/>
      <c r="AB703" s="614"/>
      <c r="AC703" s="614"/>
      <c r="AJ703" s="614"/>
      <c r="AK703" s="614"/>
      <c r="AL703" s="614"/>
      <c r="AM703" s="614"/>
      <c r="AN703" s="614"/>
      <c r="AO703" s="614"/>
      <c r="AP703" s="616"/>
      <c r="AQ703" s="616"/>
      <c r="AR703" s="616"/>
      <c r="AS703" s="614"/>
      <c r="AT703" s="614"/>
      <c r="AU703" s="614"/>
      <c r="AV703" s="614"/>
      <c r="AW703" s="614"/>
      <c r="AX703" s="614"/>
    </row>
    <row r="704" spans="1:50" x14ac:dyDescent="0.25">
      <c r="A704" s="612"/>
      <c r="B704" s="612"/>
      <c r="C704" s="613"/>
      <c r="D704" s="612"/>
      <c r="E704" s="612"/>
      <c r="F704" s="613"/>
      <c r="G704" s="612"/>
      <c r="H704" s="612"/>
      <c r="I704" s="735"/>
      <c r="J704" s="612"/>
      <c r="K704" s="613"/>
      <c r="L704" s="614"/>
      <c r="M704" s="614"/>
      <c r="N704" s="614"/>
      <c r="O704" s="614"/>
      <c r="P704" s="614"/>
      <c r="Q704" s="614"/>
      <c r="R704" s="614"/>
      <c r="S704" s="614"/>
      <c r="T704" s="614"/>
      <c r="U704" s="614"/>
      <c r="V704" s="614"/>
      <c r="W704" s="614"/>
      <c r="X704" s="614"/>
      <c r="Y704" s="614"/>
      <c r="Z704" s="614"/>
      <c r="AA704" s="614"/>
      <c r="AB704" s="614"/>
      <c r="AC704" s="614"/>
      <c r="AJ704" s="614"/>
      <c r="AK704" s="614"/>
      <c r="AL704" s="614"/>
      <c r="AM704" s="614"/>
      <c r="AN704" s="614"/>
      <c r="AO704" s="614"/>
      <c r="AP704" s="616"/>
      <c r="AQ704" s="616"/>
      <c r="AR704" s="616"/>
      <c r="AS704" s="614"/>
      <c r="AT704" s="614"/>
      <c r="AU704" s="614"/>
      <c r="AV704" s="614"/>
      <c r="AW704" s="614"/>
      <c r="AX704" s="614"/>
    </row>
    <row r="705" spans="1:50" x14ac:dyDescent="0.25">
      <c r="A705" s="612"/>
      <c r="B705" s="612"/>
      <c r="C705" s="613"/>
      <c r="D705" s="612"/>
      <c r="E705" s="612"/>
      <c r="F705" s="613"/>
      <c r="G705" s="612"/>
      <c r="H705" s="612"/>
      <c r="I705" s="735"/>
      <c r="J705" s="612"/>
      <c r="K705" s="613"/>
      <c r="L705" s="614"/>
      <c r="M705" s="614"/>
      <c r="N705" s="614"/>
      <c r="O705" s="614"/>
      <c r="P705" s="614"/>
      <c r="Q705" s="614"/>
      <c r="R705" s="614"/>
      <c r="S705" s="614"/>
      <c r="T705" s="614"/>
      <c r="U705" s="614"/>
      <c r="V705" s="614"/>
      <c r="W705" s="614"/>
      <c r="X705" s="614"/>
      <c r="Y705" s="614"/>
      <c r="Z705" s="614"/>
      <c r="AA705" s="614"/>
      <c r="AB705" s="614"/>
      <c r="AC705" s="614"/>
      <c r="AJ705" s="614"/>
      <c r="AK705" s="614"/>
      <c r="AL705" s="614"/>
      <c r="AM705" s="614"/>
      <c r="AN705" s="614"/>
      <c r="AO705" s="614"/>
      <c r="AP705" s="616"/>
      <c r="AQ705" s="616"/>
      <c r="AR705" s="616"/>
      <c r="AS705" s="614"/>
      <c r="AT705" s="614"/>
      <c r="AU705" s="614"/>
      <c r="AV705" s="614"/>
      <c r="AW705" s="614"/>
      <c r="AX705" s="614"/>
    </row>
    <row r="706" spans="1:50" x14ac:dyDescent="0.25">
      <c r="A706" s="612"/>
      <c r="B706" s="612"/>
      <c r="C706" s="613"/>
      <c r="D706" s="612"/>
      <c r="E706" s="612"/>
      <c r="F706" s="613"/>
      <c r="G706" s="612"/>
      <c r="H706" s="612"/>
      <c r="I706" s="735"/>
      <c r="J706" s="612"/>
      <c r="K706" s="613"/>
      <c r="L706" s="614"/>
      <c r="M706" s="614"/>
      <c r="N706" s="614"/>
      <c r="O706" s="614"/>
      <c r="P706" s="614"/>
      <c r="Q706" s="614"/>
      <c r="R706" s="614"/>
      <c r="S706" s="614"/>
      <c r="T706" s="614"/>
      <c r="U706" s="614"/>
      <c r="V706" s="614"/>
      <c r="W706" s="614"/>
      <c r="X706" s="614"/>
      <c r="Y706" s="614"/>
      <c r="Z706" s="614"/>
      <c r="AA706" s="614"/>
      <c r="AB706" s="614"/>
      <c r="AC706" s="614"/>
      <c r="AJ706" s="614"/>
      <c r="AK706" s="614"/>
      <c r="AL706" s="614"/>
      <c r="AM706" s="614"/>
      <c r="AN706" s="614"/>
      <c r="AO706" s="614"/>
      <c r="AP706" s="616"/>
      <c r="AQ706" s="616"/>
      <c r="AR706" s="616"/>
      <c r="AS706" s="614"/>
      <c r="AT706" s="614"/>
      <c r="AU706" s="614"/>
      <c r="AV706" s="614"/>
      <c r="AW706" s="614"/>
      <c r="AX706" s="614"/>
    </row>
    <row r="707" spans="1:50" x14ac:dyDescent="0.25">
      <c r="A707" s="612"/>
      <c r="B707" s="612"/>
      <c r="C707" s="613"/>
      <c r="D707" s="612"/>
      <c r="E707" s="612"/>
      <c r="F707" s="613"/>
      <c r="G707" s="612"/>
      <c r="H707" s="612"/>
      <c r="I707" s="735"/>
      <c r="J707" s="612"/>
      <c r="K707" s="613"/>
      <c r="L707" s="614"/>
      <c r="M707" s="614"/>
      <c r="N707" s="614"/>
      <c r="O707" s="614"/>
      <c r="P707" s="614"/>
      <c r="Q707" s="614"/>
      <c r="R707" s="614"/>
      <c r="S707" s="614"/>
      <c r="T707" s="614"/>
      <c r="U707" s="614"/>
      <c r="V707" s="614"/>
      <c r="W707" s="614"/>
      <c r="X707" s="614"/>
      <c r="Y707" s="614"/>
      <c r="Z707" s="614"/>
      <c r="AA707" s="614"/>
      <c r="AB707" s="614"/>
      <c r="AC707" s="614"/>
      <c r="AJ707" s="614"/>
      <c r="AK707" s="614"/>
      <c r="AL707" s="614"/>
      <c r="AM707" s="614"/>
      <c r="AN707" s="614"/>
      <c r="AO707" s="614"/>
      <c r="AP707" s="616"/>
      <c r="AQ707" s="616"/>
      <c r="AR707" s="616"/>
      <c r="AS707" s="614"/>
      <c r="AT707" s="614"/>
      <c r="AU707" s="614"/>
      <c r="AV707" s="614"/>
      <c r="AW707" s="614"/>
      <c r="AX707" s="614"/>
    </row>
    <row r="708" spans="1:50" x14ac:dyDescent="0.25">
      <c r="A708" s="612"/>
      <c r="B708" s="612"/>
      <c r="C708" s="613"/>
      <c r="D708" s="612"/>
      <c r="E708" s="612"/>
      <c r="F708" s="613"/>
      <c r="G708" s="612"/>
      <c r="H708" s="612"/>
      <c r="I708" s="735"/>
      <c r="J708" s="612"/>
      <c r="K708" s="613"/>
      <c r="L708" s="614"/>
      <c r="M708" s="614"/>
      <c r="N708" s="614"/>
      <c r="O708" s="614"/>
      <c r="P708" s="614"/>
      <c r="Q708" s="614"/>
      <c r="R708" s="614"/>
      <c r="S708" s="614"/>
      <c r="T708" s="614"/>
      <c r="U708" s="614"/>
      <c r="V708" s="614"/>
      <c r="W708" s="614"/>
      <c r="X708" s="614"/>
      <c r="Y708" s="614"/>
      <c r="Z708" s="614"/>
      <c r="AA708" s="614"/>
      <c r="AB708" s="614"/>
      <c r="AC708" s="614"/>
      <c r="AJ708" s="614"/>
      <c r="AK708" s="614"/>
      <c r="AL708" s="614"/>
      <c r="AM708" s="614"/>
      <c r="AN708" s="614"/>
      <c r="AO708" s="614"/>
      <c r="AP708" s="616"/>
      <c r="AQ708" s="616"/>
      <c r="AR708" s="616"/>
      <c r="AS708" s="614"/>
      <c r="AT708" s="614"/>
      <c r="AU708" s="614"/>
      <c r="AV708" s="614"/>
      <c r="AW708" s="614"/>
      <c r="AX708" s="614"/>
    </row>
    <row r="709" spans="1:50" x14ac:dyDescent="0.25">
      <c r="A709" s="612"/>
      <c r="B709" s="612"/>
      <c r="C709" s="613"/>
      <c r="D709" s="612"/>
      <c r="E709" s="612"/>
      <c r="F709" s="613"/>
      <c r="G709" s="612"/>
      <c r="H709" s="612"/>
      <c r="I709" s="735"/>
      <c r="J709" s="612"/>
      <c r="K709" s="613"/>
      <c r="L709" s="614"/>
      <c r="M709" s="614"/>
      <c r="N709" s="614"/>
      <c r="O709" s="614"/>
      <c r="P709" s="614"/>
      <c r="Q709" s="614"/>
      <c r="R709" s="614"/>
      <c r="S709" s="614"/>
      <c r="T709" s="614"/>
      <c r="U709" s="614"/>
      <c r="V709" s="614"/>
      <c r="W709" s="614"/>
      <c r="X709" s="614"/>
      <c r="Y709" s="614"/>
      <c r="Z709" s="614"/>
      <c r="AA709" s="614"/>
      <c r="AB709" s="614"/>
      <c r="AC709" s="614"/>
      <c r="AJ709" s="614"/>
      <c r="AK709" s="614"/>
      <c r="AL709" s="614"/>
      <c r="AM709" s="614"/>
      <c r="AN709" s="614"/>
      <c r="AO709" s="614"/>
      <c r="AP709" s="616"/>
      <c r="AQ709" s="616"/>
      <c r="AR709" s="616"/>
      <c r="AS709" s="614"/>
      <c r="AT709" s="614"/>
      <c r="AU709" s="614"/>
      <c r="AV709" s="614"/>
      <c r="AW709" s="614"/>
      <c r="AX709" s="614"/>
    </row>
    <row r="710" spans="1:50" x14ac:dyDescent="0.25">
      <c r="A710" s="612"/>
      <c r="B710" s="612"/>
      <c r="C710" s="613"/>
      <c r="D710" s="612"/>
      <c r="E710" s="612"/>
      <c r="F710" s="613"/>
      <c r="G710" s="612"/>
      <c r="H710" s="612"/>
      <c r="I710" s="735"/>
      <c r="J710" s="612"/>
      <c r="K710" s="613"/>
      <c r="L710" s="614"/>
      <c r="M710" s="614"/>
      <c r="N710" s="614"/>
      <c r="O710" s="614"/>
      <c r="P710" s="614"/>
      <c r="Q710" s="614"/>
      <c r="R710" s="614"/>
      <c r="S710" s="614"/>
      <c r="T710" s="614"/>
      <c r="U710" s="614"/>
      <c r="V710" s="614"/>
      <c r="W710" s="614"/>
      <c r="X710" s="614"/>
      <c r="Y710" s="614"/>
      <c r="Z710" s="614"/>
      <c r="AA710" s="614"/>
      <c r="AB710" s="614"/>
      <c r="AC710" s="614"/>
      <c r="AJ710" s="614"/>
      <c r="AK710" s="614"/>
      <c r="AL710" s="614"/>
      <c r="AM710" s="614"/>
      <c r="AN710" s="614"/>
      <c r="AO710" s="614"/>
      <c r="AP710" s="616"/>
      <c r="AQ710" s="616"/>
      <c r="AR710" s="616"/>
      <c r="AS710" s="614"/>
      <c r="AT710" s="614"/>
      <c r="AU710" s="614"/>
      <c r="AV710" s="614"/>
      <c r="AW710" s="614"/>
      <c r="AX710" s="614"/>
    </row>
    <row r="711" spans="1:50" x14ac:dyDescent="0.25">
      <c r="A711" s="612"/>
      <c r="B711" s="612"/>
      <c r="C711" s="613"/>
      <c r="D711" s="612"/>
      <c r="E711" s="612"/>
      <c r="F711" s="613"/>
      <c r="G711" s="612"/>
      <c r="H711" s="612"/>
      <c r="I711" s="735"/>
      <c r="J711" s="612"/>
      <c r="K711" s="613"/>
      <c r="L711" s="614"/>
      <c r="M711" s="614"/>
      <c r="N711" s="614"/>
      <c r="O711" s="614"/>
      <c r="P711" s="614"/>
      <c r="Q711" s="614"/>
      <c r="R711" s="614"/>
      <c r="S711" s="614"/>
      <c r="T711" s="614"/>
      <c r="U711" s="614"/>
      <c r="V711" s="614"/>
      <c r="W711" s="614"/>
      <c r="X711" s="614"/>
      <c r="Y711" s="614"/>
      <c r="Z711" s="614"/>
      <c r="AA711" s="614"/>
      <c r="AB711" s="614"/>
      <c r="AC711" s="614"/>
      <c r="AJ711" s="614"/>
      <c r="AK711" s="614"/>
      <c r="AL711" s="614"/>
      <c r="AM711" s="614"/>
      <c r="AN711" s="614"/>
      <c r="AO711" s="614"/>
      <c r="AP711" s="616"/>
      <c r="AQ711" s="616"/>
      <c r="AR711" s="616"/>
      <c r="AS711" s="614"/>
      <c r="AT711" s="614"/>
      <c r="AU711" s="614"/>
      <c r="AV711" s="614"/>
      <c r="AW711" s="614"/>
      <c r="AX711" s="614"/>
    </row>
    <row r="712" spans="1:50" x14ac:dyDescent="0.25">
      <c r="A712" s="612"/>
      <c r="B712" s="612"/>
      <c r="C712" s="613"/>
      <c r="D712" s="612"/>
      <c r="E712" s="612"/>
      <c r="F712" s="613"/>
      <c r="G712" s="612"/>
      <c r="H712" s="612"/>
      <c r="I712" s="735"/>
      <c r="J712" s="612"/>
      <c r="K712" s="613"/>
      <c r="L712" s="614"/>
      <c r="M712" s="614"/>
      <c r="N712" s="614"/>
      <c r="O712" s="614"/>
      <c r="P712" s="614"/>
      <c r="Q712" s="614"/>
      <c r="R712" s="614"/>
      <c r="S712" s="614"/>
      <c r="T712" s="614"/>
      <c r="U712" s="614"/>
      <c r="V712" s="614"/>
      <c r="W712" s="614"/>
      <c r="X712" s="614"/>
      <c r="Y712" s="614"/>
      <c r="Z712" s="614"/>
      <c r="AA712" s="614"/>
      <c r="AB712" s="614"/>
      <c r="AC712" s="614"/>
      <c r="AJ712" s="614"/>
      <c r="AK712" s="614"/>
      <c r="AL712" s="614"/>
      <c r="AM712" s="614"/>
      <c r="AN712" s="614"/>
      <c r="AO712" s="614"/>
      <c r="AP712" s="616"/>
      <c r="AQ712" s="616"/>
      <c r="AR712" s="616"/>
      <c r="AS712" s="614"/>
      <c r="AT712" s="614"/>
      <c r="AU712" s="614"/>
      <c r="AV712" s="614"/>
      <c r="AW712" s="614"/>
      <c r="AX712" s="614"/>
    </row>
    <row r="713" spans="1:50" x14ac:dyDescent="0.25">
      <c r="A713" s="612"/>
      <c r="B713" s="612"/>
      <c r="C713" s="613"/>
      <c r="D713" s="612"/>
      <c r="E713" s="612"/>
      <c r="F713" s="613"/>
      <c r="G713" s="612"/>
      <c r="H713" s="612"/>
      <c r="I713" s="735"/>
      <c r="J713" s="612"/>
      <c r="K713" s="613"/>
      <c r="L713" s="614"/>
      <c r="M713" s="614"/>
      <c r="N713" s="614"/>
      <c r="O713" s="614"/>
      <c r="P713" s="614"/>
      <c r="Q713" s="614"/>
      <c r="R713" s="614"/>
      <c r="S713" s="614"/>
      <c r="T713" s="614"/>
      <c r="U713" s="614"/>
      <c r="V713" s="614"/>
      <c r="W713" s="614"/>
      <c r="X713" s="614"/>
      <c r="Y713" s="614"/>
      <c r="Z713" s="614"/>
      <c r="AA713" s="614"/>
      <c r="AB713" s="614"/>
      <c r="AC713" s="614"/>
      <c r="AJ713" s="614"/>
      <c r="AK713" s="614"/>
      <c r="AL713" s="614"/>
      <c r="AM713" s="614"/>
      <c r="AN713" s="614"/>
      <c r="AO713" s="614"/>
      <c r="AP713" s="616"/>
      <c r="AQ713" s="616"/>
      <c r="AR713" s="616"/>
      <c r="AS713" s="614"/>
      <c r="AT713" s="614"/>
      <c r="AU713" s="614"/>
      <c r="AV713" s="614"/>
      <c r="AW713" s="614"/>
      <c r="AX713" s="614"/>
    </row>
    <row r="714" spans="1:50" x14ac:dyDescent="0.25">
      <c r="A714" s="612"/>
      <c r="B714" s="612"/>
      <c r="C714" s="613"/>
      <c r="D714" s="612"/>
      <c r="E714" s="612"/>
      <c r="F714" s="613"/>
      <c r="G714" s="612"/>
      <c r="H714" s="612"/>
      <c r="I714" s="735"/>
      <c r="J714" s="612"/>
      <c r="K714" s="613"/>
      <c r="L714" s="614"/>
      <c r="M714" s="614"/>
      <c r="N714" s="614"/>
      <c r="O714" s="614"/>
      <c r="P714" s="614"/>
      <c r="Q714" s="614"/>
      <c r="R714" s="614"/>
      <c r="S714" s="614"/>
      <c r="T714" s="614"/>
      <c r="U714" s="614"/>
      <c r="V714" s="614"/>
      <c r="W714" s="614"/>
      <c r="X714" s="614"/>
      <c r="Y714" s="614"/>
      <c r="Z714" s="614"/>
      <c r="AA714" s="614"/>
      <c r="AB714" s="614"/>
      <c r="AC714" s="614"/>
      <c r="AJ714" s="614"/>
      <c r="AK714" s="614"/>
      <c r="AL714" s="614"/>
      <c r="AM714" s="614"/>
      <c r="AN714" s="614"/>
      <c r="AO714" s="614"/>
      <c r="AP714" s="616"/>
      <c r="AQ714" s="616"/>
      <c r="AR714" s="616"/>
      <c r="AS714" s="614"/>
      <c r="AT714" s="614"/>
      <c r="AU714" s="614"/>
      <c r="AV714" s="614"/>
      <c r="AW714" s="614"/>
      <c r="AX714" s="614"/>
    </row>
    <row r="715" spans="1:50" x14ac:dyDescent="0.25">
      <c r="A715" s="612"/>
      <c r="B715" s="612"/>
      <c r="C715" s="613"/>
      <c r="D715" s="612"/>
      <c r="E715" s="612"/>
      <c r="F715" s="613"/>
      <c r="G715" s="612"/>
      <c r="H715" s="612"/>
      <c r="I715" s="735"/>
      <c r="J715" s="612"/>
      <c r="K715" s="613"/>
      <c r="L715" s="614"/>
      <c r="M715" s="614"/>
      <c r="N715" s="614"/>
      <c r="O715" s="614"/>
      <c r="P715" s="614"/>
      <c r="Q715" s="614"/>
      <c r="R715" s="614"/>
      <c r="S715" s="614"/>
      <c r="T715" s="614"/>
      <c r="U715" s="614"/>
      <c r="V715" s="614"/>
      <c r="W715" s="614"/>
      <c r="X715" s="614"/>
      <c r="Y715" s="614"/>
      <c r="Z715" s="614"/>
      <c r="AA715" s="614"/>
      <c r="AB715" s="614"/>
      <c r="AC715" s="614"/>
      <c r="AJ715" s="614"/>
      <c r="AK715" s="614"/>
      <c r="AL715" s="614"/>
      <c r="AM715" s="614"/>
      <c r="AN715" s="614"/>
      <c r="AO715" s="614"/>
      <c r="AP715" s="616"/>
      <c r="AQ715" s="616"/>
      <c r="AR715" s="616"/>
      <c r="AS715" s="614"/>
      <c r="AT715" s="614"/>
      <c r="AU715" s="614"/>
      <c r="AV715" s="614"/>
      <c r="AW715" s="614"/>
      <c r="AX715" s="614"/>
    </row>
    <row r="716" spans="1:50" x14ac:dyDescent="0.25">
      <c r="A716" s="612"/>
      <c r="B716" s="612"/>
      <c r="C716" s="613"/>
      <c r="D716" s="612"/>
      <c r="E716" s="612"/>
      <c r="F716" s="613"/>
      <c r="G716" s="612"/>
      <c r="H716" s="612"/>
      <c r="I716" s="735"/>
      <c r="J716" s="612"/>
      <c r="K716" s="613"/>
      <c r="L716" s="614"/>
      <c r="M716" s="614"/>
      <c r="N716" s="614"/>
      <c r="O716" s="614"/>
      <c r="P716" s="614"/>
      <c r="Q716" s="614"/>
      <c r="R716" s="614"/>
      <c r="S716" s="614"/>
      <c r="T716" s="614"/>
      <c r="U716" s="614"/>
      <c r="V716" s="614"/>
      <c r="W716" s="614"/>
      <c r="X716" s="614"/>
      <c r="Y716" s="614"/>
      <c r="Z716" s="614"/>
      <c r="AA716" s="614"/>
      <c r="AB716" s="614"/>
      <c r="AC716" s="614"/>
      <c r="AJ716" s="614"/>
      <c r="AK716" s="614"/>
      <c r="AL716" s="614"/>
      <c r="AM716" s="614"/>
      <c r="AN716" s="614"/>
      <c r="AO716" s="614"/>
      <c r="AP716" s="616"/>
      <c r="AQ716" s="616"/>
      <c r="AR716" s="616"/>
      <c r="AS716" s="614"/>
      <c r="AT716" s="614"/>
      <c r="AU716" s="614"/>
      <c r="AV716" s="614"/>
      <c r="AW716" s="614"/>
      <c r="AX716" s="614"/>
    </row>
    <row r="717" spans="1:50" x14ac:dyDescent="0.25">
      <c r="A717" s="612"/>
      <c r="B717" s="612"/>
      <c r="C717" s="613"/>
      <c r="D717" s="612"/>
      <c r="E717" s="612"/>
      <c r="F717" s="613"/>
      <c r="G717" s="612"/>
      <c r="H717" s="612"/>
      <c r="I717" s="735"/>
      <c r="J717" s="612"/>
      <c r="K717" s="613"/>
      <c r="L717" s="614"/>
      <c r="M717" s="614"/>
      <c r="N717" s="614"/>
      <c r="O717" s="614"/>
      <c r="P717" s="614"/>
      <c r="Q717" s="614"/>
      <c r="R717" s="614"/>
      <c r="S717" s="614"/>
      <c r="T717" s="614"/>
      <c r="U717" s="614"/>
      <c r="V717" s="614"/>
      <c r="W717" s="614"/>
      <c r="X717" s="614"/>
      <c r="Y717" s="614"/>
      <c r="Z717" s="614"/>
      <c r="AA717" s="614"/>
      <c r="AB717" s="614"/>
      <c r="AC717" s="614"/>
      <c r="AJ717" s="614"/>
      <c r="AK717" s="614"/>
      <c r="AL717" s="614"/>
      <c r="AM717" s="614"/>
      <c r="AN717" s="614"/>
      <c r="AO717" s="614"/>
      <c r="AP717" s="616"/>
      <c r="AQ717" s="616"/>
      <c r="AR717" s="616"/>
      <c r="AS717" s="614"/>
      <c r="AT717" s="614"/>
      <c r="AU717" s="614"/>
      <c r="AV717" s="614"/>
      <c r="AW717" s="614"/>
      <c r="AX717" s="614"/>
    </row>
    <row r="718" spans="1:50" x14ac:dyDescent="0.25">
      <c r="A718" s="612"/>
      <c r="B718" s="612"/>
      <c r="C718" s="613"/>
      <c r="D718" s="612"/>
      <c r="E718" s="612"/>
      <c r="F718" s="613"/>
      <c r="G718" s="612"/>
      <c r="H718" s="612"/>
      <c r="I718" s="735"/>
      <c r="J718" s="612"/>
      <c r="K718" s="613"/>
      <c r="L718" s="614"/>
      <c r="M718" s="614"/>
      <c r="N718" s="614"/>
      <c r="O718" s="614"/>
      <c r="P718" s="614"/>
      <c r="Q718" s="614"/>
      <c r="R718" s="614"/>
      <c r="S718" s="614"/>
      <c r="T718" s="614"/>
      <c r="U718" s="614"/>
      <c r="V718" s="614"/>
      <c r="W718" s="614"/>
      <c r="X718" s="614"/>
      <c r="Y718" s="614"/>
      <c r="Z718" s="614"/>
      <c r="AA718" s="614"/>
      <c r="AB718" s="614"/>
      <c r="AC718" s="614"/>
      <c r="AJ718" s="614"/>
      <c r="AK718" s="614"/>
      <c r="AL718" s="614"/>
      <c r="AM718" s="614"/>
      <c r="AN718" s="614"/>
      <c r="AO718" s="614"/>
      <c r="AP718" s="616"/>
      <c r="AQ718" s="616"/>
      <c r="AR718" s="616"/>
      <c r="AS718" s="614"/>
      <c r="AT718" s="614"/>
      <c r="AU718" s="614"/>
      <c r="AV718" s="614"/>
      <c r="AW718" s="614"/>
      <c r="AX718" s="614"/>
    </row>
    <row r="719" spans="1:50" x14ac:dyDescent="0.25">
      <c r="A719" s="612"/>
      <c r="B719" s="612"/>
      <c r="C719" s="613"/>
      <c r="D719" s="612"/>
      <c r="E719" s="612"/>
      <c r="F719" s="613"/>
      <c r="G719" s="612"/>
      <c r="H719" s="612"/>
      <c r="I719" s="735"/>
      <c r="J719" s="612"/>
      <c r="K719" s="613"/>
      <c r="L719" s="614"/>
      <c r="M719" s="614"/>
      <c r="N719" s="614"/>
      <c r="O719" s="614"/>
      <c r="P719" s="614"/>
      <c r="Q719" s="614"/>
      <c r="R719" s="614"/>
      <c r="S719" s="614"/>
      <c r="T719" s="614"/>
      <c r="U719" s="614"/>
      <c r="V719" s="614"/>
      <c r="W719" s="614"/>
      <c r="X719" s="614"/>
      <c r="Y719" s="614"/>
      <c r="Z719" s="614"/>
      <c r="AA719" s="614"/>
      <c r="AB719" s="614"/>
      <c r="AC719" s="614"/>
      <c r="AJ719" s="614"/>
      <c r="AK719" s="614"/>
      <c r="AL719" s="614"/>
      <c r="AM719" s="614"/>
      <c r="AN719" s="614"/>
      <c r="AO719" s="614"/>
      <c r="AP719" s="616"/>
      <c r="AQ719" s="616"/>
      <c r="AR719" s="616"/>
      <c r="AS719" s="614"/>
      <c r="AT719" s="614"/>
      <c r="AU719" s="614"/>
      <c r="AV719" s="614"/>
      <c r="AW719" s="614"/>
      <c r="AX719" s="614"/>
    </row>
    <row r="720" spans="1:50" x14ac:dyDescent="0.25">
      <c r="A720" s="612"/>
      <c r="B720" s="612"/>
      <c r="C720" s="613"/>
      <c r="D720" s="612"/>
      <c r="E720" s="612"/>
      <c r="F720" s="613"/>
      <c r="G720" s="612"/>
      <c r="H720" s="612"/>
      <c r="I720" s="735"/>
      <c r="J720" s="612"/>
      <c r="K720" s="613"/>
      <c r="L720" s="614"/>
      <c r="M720" s="614"/>
      <c r="N720" s="614"/>
      <c r="O720" s="614"/>
      <c r="P720" s="614"/>
      <c r="Q720" s="614"/>
      <c r="R720" s="614"/>
      <c r="S720" s="614"/>
      <c r="T720" s="614"/>
      <c r="U720" s="614"/>
      <c r="V720" s="614"/>
      <c r="W720" s="614"/>
      <c r="X720" s="614"/>
      <c r="Y720" s="614"/>
      <c r="Z720" s="614"/>
      <c r="AA720" s="614"/>
      <c r="AB720" s="614"/>
      <c r="AC720" s="614"/>
      <c r="AJ720" s="614"/>
      <c r="AK720" s="614"/>
      <c r="AL720" s="614"/>
      <c r="AM720" s="614"/>
      <c r="AN720" s="614"/>
      <c r="AO720" s="614"/>
      <c r="AP720" s="616"/>
      <c r="AQ720" s="616"/>
      <c r="AR720" s="616"/>
      <c r="AS720" s="614"/>
      <c r="AT720" s="614"/>
      <c r="AU720" s="614"/>
      <c r="AV720" s="614"/>
      <c r="AW720" s="614"/>
      <c r="AX720" s="614"/>
    </row>
    <row r="721" spans="1:50" x14ac:dyDescent="0.25">
      <c r="A721" s="612"/>
      <c r="B721" s="612"/>
      <c r="C721" s="613"/>
      <c r="D721" s="612"/>
      <c r="E721" s="612"/>
      <c r="F721" s="613"/>
      <c r="G721" s="612"/>
      <c r="H721" s="612"/>
      <c r="I721" s="735"/>
      <c r="J721" s="612"/>
      <c r="K721" s="613"/>
      <c r="L721" s="614"/>
      <c r="M721" s="614"/>
      <c r="N721" s="614"/>
      <c r="O721" s="614"/>
      <c r="P721" s="614"/>
      <c r="Q721" s="614"/>
      <c r="R721" s="614"/>
      <c r="S721" s="614"/>
      <c r="T721" s="614"/>
      <c r="U721" s="614"/>
      <c r="V721" s="614"/>
      <c r="W721" s="614"/>
      <c r="X721" s="614"/>
      <c r="Y721" s="614"/>
      <c r="Z721" s="614"/>
      <c r="AA721" s="614"/>
      <c r="AB721" s="614"/>
      <c r="AC721" s="614"/>
      <c r="AJ721" s="614"/>
      <c r="AK721" s="614"/>
      <c r="AL721" s="614"/>
      <c r="AM721" s="614"/>
      <c r="AN721" s="614"/>
      <c r="AO721" s="614"/>
      <c r="AP721" s="616"/>
      <c r="AQ721" s="616"/>
      <c r="AR721" s="616"/>
      <c r="AS721" s="614"/>
      <c r="AT721" s="614"/>
      <c r="AU721" s="614"/>
      <c r="AV721" s="614"/>
      <c r="AW721" s="614"/>
      <c r="AX721" s="614"/>
    </row>
    <row r="722" spans="1:50" x14ac:dyDescent="0.25">
      <c r="A722" s="612"/>
      <c r="B722" s="612"/>
      <c r="C722" s="613"/>
      <c r="D722" s="612"/>
      <c r="E722" s="612"/>
      <c r="F722" s="613"/>
      <c r="G722" s="612"/>
      <c r="H722" s="612"/>
      <c r="I722" s="735"/>
      <c r="J722" s="612"/>
      <c r="K722" s="613"/>
      <c r="L722" s="614"/>
      <c r="M722" s="614"/>
      <c r="N722" s="614"/>
      <c r="O722" s="614"/>
      <c r="P722" s="614"/>
      <c r="Q722" s="614"/>
      <c r="R722" s="614"/>
      <c r="S722" s="614"/>
      <c r="T722" s="614"/>
      <c r="U722" s="614"/>
      <c r="V722" s="614"/>
      <c r="W722" s="614"/>
      <c r="X722" s="614"/>
      <c r="Y722" s="614"/>
      <c r="Z722" s="614"/>
      <c r="AA722" s="614"/>
      <c r="AB722" s="614"/>
      <c r="AC722" s="614"/>
      <c r="AJ722" s="614"/>
      <c r="AK722" s="614"/>
      <c r="AL722" s="614"/>
      <c r="AM722" s="614"/>
      <c r="AN722" s="614"/>
      <c r="AO722" s="614"/>
      <c r="AP722" s="616"/>
      <c r="AQ722" s="616"/>
      <c r="AR722" s="616"/>
      <c r="AS722" s="614"/>
      <c r="AT722" s="614"/>
      <c r="AU722" s="614"/>
      <c r="AV722" s="614"/>
      <c r="AW722" s="614"/>
      <c r="AX722" s="614"/>
    </row>
    <row r="723" spans="1:50" x14ac:dyDescent="0.25">
      <c r="A723" s="612"/>
      <c r="B723" s="612"/>
      <c r="C723" s="613"/>
      <c r="D723" s="612"/>
      <c r="E723" s="612"/>
      <c r="F723" s="613"/>
      <c r="G723" s="612"/>
      <c r="H723" s="612"/>
      <c r="I723" s="735"/>
      <c r="J723" s="612"/>
      <c r="K723" s="613"/>
      <c r="L723" s="614"/>
      <c r="M723" s="614"/>
      <c r="N723" s="614"/>
      <c r="O723" s="614"/>
      <c r="P723" s="614"/>
      <c r="Q723" s="614"/>
      <c r="R723" s="614"/>
      <c r="S723" s="614"/>
      <c r="T723" s="614"/>
      <c r="U723" s="614"/>
      <c r="V723" s="614"/>
      <c r="W723" s="614"/>
      <c r="X723" s="614"/>
      <c r="Y723" s="614"/>
      <c r="Z723" s="614"/>
      <c r="AA723" s="614"/>
      <c r="AB723" s="614"/>
      <c r="AC723" s="614"/>
      <c r="AJ723" s="614"/>
      <c r="AK723" s="614"/>
      <c r="AL723" s="614"/>
      <c r="AM723" s="614"/>
      <c r="AN723" s="614"/>
      <c r="AO723" s="614"/>
      <c r="AP723" s="616"/>
      <c r="AQ723" s="616"/>
      <c r="AR723" s="616"/>
      <c r="AS723" s="614"/>
      <c r="AT723" s="614"/>
      <c r="AU723" s="614"/>
      <c r="AV723" s="614"/>
      <c r="AW723" s="614"/>
      <c r="AX723" s="614"/>
    </row>
    <row r="724" spans="1:50" x14ac:dyDescent="0.25">
      <c r="A724" s="612"/>
      <c r="B724" s="612"/>
      <c r="C724" s="613"/>
      <c r="D724" s="612"/>
      <c r="E724" s="612"/>
      <c r="F724" s="613"/>
      <c r="G724" s="612"/>
      <c r="H724" s="612"/>
      <c r="I724" s="735"/>
      <c r="J724" s="612"/>
      <c r="K724" s="613"/>
      <c r="L724" s="614"/>
      <c r="M724" s="614"/>
      <c r="N724" s="614"/>
      <c r="O724" s="614"/>
      <c r="P724" s="614"/>
      <c r="Q724" s="614"/>
      <c r="R724" s="614"/>
      <c r="S724" s="614"/>
      <c r="T724" s="614"/>
      <c r="U724" s="614"/>
      <c r="V724" s="614"/>
      <c r="W724" s="614"/>
      <c r="X724" s="614"/>
      <c r="Y724" s="614"/>
      <c r="Z724" s="614"/>
      <c r="AA724" s="614"/>
      <c r="AB724" s="614"/>
      <c r="AC724" s="614"/>
      <c r="AJ724" s="614"/>
      <c r="AK724" s="614"/>
      <c r="AL724" s="614"/>
      <c r="AM724" s="614"/>
      <c r="AN724" s="614"/>
      <c r="AO724" s="614"/>
      <c r="AP724" s="616"/>
      <c r="AQ724" s="616"/>
      <c r="AR724" s="616"/>
      <c r="AS724" s="614"/>
      <c r="AT724" s="614"/>
      <c r="AU724" s="614"/>
      <c r="AV724" s="614"/>
      <c r="AW724" s="614"/>
      <c r="AX724" s="614"/>
    </row>
    <row r="725" spans="1:50" x14ac:dyDescent="0.25">
      <c r="A725" s="612"/>
      <c r="B725" s="612"/>
      <c r="C725" s="613"/>
      <c r="D725" s="612"/>
      <c r="E725" s="612"/>
      <c r="F725" s="613"/>
      <c r="G725" s="612"/>
      <c r="H725" s="612"/>
      <c r="I725" s="735"/>
      <c r="J725" s="612"/>
      <c r="K725" s="613"/>
      <c r="L725" s="614"/>
      <c r="M725" s="614"/>
      <c r="N725" s="614"/>
      <c r="O725" s="614"/>
      <c r="P725" s="614"/>
      <c r="Q725" s="614"/>
      <c r="R725" s="614"/>
      <c r="S725" s="614"/>
      <c r="T725" s="614"/>
      <c r="U725" s="614"/>
      <c r="V725" s="614"/>
      <c r="W725" s="614"/>
      <c r="X725" s="614"/>
      <c r="Y725" s="614"/>
      <c r="Z725" s="614"/>
      <c r="AA725" s="614"/>
      <c r="AB725" s="614"/>
      <c r="AC725" s="614"/>
      <c r="AJ725" s="614"/>
      <c r="AK725" s="614"/>
      <c r="AL725" s="614"/>
      <c r="AM725" s="614"/>
      <c r="AN725" s="614"/>
      <c r="AO725" s="614"/>
      <c r="AP725" s="616"/>
      <c r="AQ725" s="616"/>
      <c r="AR725" s="616"/>
      <c r="AS725" s="614"/>
      <c r="AT725" s="614"/>
      <c r="AU725" s="614"/>
      <c r="AV725" s="614"/>
      <c r="AW725" s="614"/>
      <c r="AX725" s="614"/>
    </row>
    <row r="726" spans="1:50" x14ac:dyDescent="0.25">
      <c r="A726" s="612"/>
      <c r="B726" s="612"/>
      <c r="C726" s="613"/>
      <c r="D726" s="612"/>
      <c r="E726" s="612"/>
      <c r="F726" s="613"/>
      <c r="G726" s="612"/>
      <c r="H726" s="612"/>
      <c r="I726" s="735"/>
      <c r="J726" s="612"/>
      <c r="K726" s="613"/>
      <c r="L726" s="614"/>
      <c r="M726" s="614"/>
      <c r="N726" s="614"/>
      <c r="O726" s="614"/>
      <c r="P726" s="614"/>
      <c r="Q726" s="614"/>
      <c r="R726" s="614"/>
      <c r="S726" s="614"/>
      <c r="T726" s="614"/>
      <c r="U726" s="614"/>
      <c r="V726" s="614"/>
      <c r="W726" s="614"/>
      <c r="X726" s="614"/>
      <c r="Y726" s="614"/>
      <c r="Z726" s="614"/>
      <c r="AA726" s="614"/>
      <c r="AB726" s="614"/>
      <c r="AC726" s="614"/>
      <c r="AJ726" s="614"/>
      <c r="AK726" s="614"/>
      <c r="AL726" s="614"/>
      <c r="AM726" s="614"/>
      <c r="AN726" s="614"/>
      <c r="AO726" s="614"/>
      <c r="AP726" s="616"/>
      <c r="AQ726" s="616"/>
      <c r="AR726" s="616"/>
      <c r="AS726" s="614"/>
      <c r="AT726" s="614"/>
      <c r="AU726" s="614"/>
      <c r="AV726" s="614"/>
      <c r="AW726" s="614"/>
      <c r="AX726" s="614"/>
    </row>
    <row r="727" spans="1:50" x14ac:dyDescent="0.25">
      <c r="A727" s="612"/>
      <c r="B727" s="612"/>
      <c r="C727" s="613"/>
      <c r="D727" s="612"/>
      <c r="E727" s="612"/>
      <c r="F727" s="613"/>
      <c r="G727" s="612"/>
      <c r="H727" s="612"/>
      <c r="I727" s="735"/>
      <c r="J727" s="612"/>
      <c r="K727" s="613"/>
      <c r="L727" s="614"/>
      <c r="M727" s="614"/>
      <c r="N727" s="614"/>
      <c r="O727" s="614"/>
      <c r="P727" s="614"/>
      <c r="Q727" s="614"/>
      <c r="R727" s="614"/>
      <c r="S727" s="614"/>
      <c r="T727" s="614"/>
      <c r="U727" s="614"/>
      <c r="V727" s="614"/>
      <c r="W727" s="614"/>
      <c r="X727" s="614"/>
      <c r="Y727" s="614"/>
      <c r="Z727" s="614"/>
      <c r="AA727" s="614"/>
      <c r="AB727" s="614"/>
      <c r="AC727" s="614"/>
      <c r="AJ727" s="614"/>
      <c r="AK727" s="614"/>
      <c r="AL727" s="614"/>
      <c r="AM727" s="614"/>
      <c r="AN727" s="614"/>
      <c r="AO727" s="614"/>
      <c r="AP727" s="616"/>
      <c r="AQ727" s="616"/>
      <c r="AR727" s="616"/>
      <c r="AS727" s="614"/>
      <c r="AT727" s="614"/>
      <c r="AU727" s="614"/>
      <c r="AV727" s="614"/>
      <c r="AW727" s="614"/>
      <c r="AX727" s="614"/>
    </row>
    <row r="728" spans="1:50" x14ac:dyDescent="0.25">
      <c r="A728" s="612"/>
      <c r="B728" s="612"/>
      <c r="C728" s="613"/>
      <c r="D728" s="612"/>
      <c r="E728" s="612"/>
      <c r="F728" s="613"/>
      <c r="G728" s="612"/>
      <c r="H728" s="612"/>
      <c r="I728" s="735"/>
      <c r="J728" s="612"/>
      <c r="K728" s="613"/>
      <c r="L728" s="614"/>
      <c r="M728" s="614"/>
      <c r="N728" s="614"/>
      <c r="O728" s="614"/>
      <c r="P728" s="614"/>
      <c r="Q728" s="614"/>
      <c r="R728" s="614"/>
      <c r="S728" s="614"/>
      <c r="T728" s="614"/>
      <c r="U728" s="614"/>
      <c r="V728" s="614"/>
      <c r="W728" s="614"/>
      <c r="X728" s="614"/>
      <c r="Y728" s="614"/>
      <c r="Z728" s="614"/>
      <c r="AA728" s="614"/>
      <c r="AB728" s="614"/>
      <c r="AC728" s="614"/>
      <c r="AJ728" s="614"/>
      <c r="AK728" s="614"/>
      <c r="AL728" s="614"/>
      <c r="AM728" s="614"/>
      <c r="AN728" s="614"/>
      <c r="AO728" s="614"/>
      <c r="AP728" s="616"/>
      <c r="AQ728" s="616"/>
      <c r="AR728" s="616"/>
      <c r="AS728" s="614"/>
      <c r="AT728" s="614"/>
      <c r="AU728" s="614"/>
      <c r="AV728" s="614"/>
      <c r="AW728" s="614"/>
      <c r="AX728" s="614"/>
    </row>
    <row r="729" spans="1:50" x14ac:dyDescent="0.25">
      <c r="A729" s="612"/>
      <c r="B729" s="612"/>
      <c r="C729" s="613"/>
      <c r="D729" s="612"/>
      <c r="E729" s="612"/>
      <c r="F729" s="613"/>
      <c r="G729" s="612"/>
      <c r="H729" s="612"/>
      <c r="I729" s="735"/>
      <c r="J729" s="612"/>
      <c r="K729" s="613"/>
      <c r="L729" s="614"/>
      <c r="M729" s="614"/>
      <c r="N729" s="614"/>
      <c r="O729" s="614"/>
      <c r="P729" s="614"/>
      <c r="Q729" s="614"/>
      <c r="R729" s="614"/>
      <c r="S729" s="614"/>
      <c r="T729" s="614"/>
      <c r="U729" s="614"/>
      <c r="V729" s="614"/>
      <c r="W729" s="614"/>
      <c r="X729" s="614"/>
      <c r="Y729" s="614"/>
      <c r="Z729" s="614"/>
      <c r="AA729" s="614"/>
      <c r="AB729" s="614"/>
      <c r="AC729" s="614"/>
      <c r="AJ729" s="614"/>
      <c r="AK729" s="614"/>
      <c r="AL729" s="614"/>
      <c r="AM729" s="614"/>
      <c r="AN729" s="614"/>
      <c r="AO729" s="614"/>
      <c r="AP729" s="616"/>
      <c r="AQ729" s="616"/>
      <c r="AR729" s="616"/>
      <c r="AS729" s="614"/>
      <c r="AT729" s="614"/>
      <c r="AU729" s="614"/>
      <c r="AV729" s="614"/>
      <c r="AW729" s="614"/>
      <c r="AX729" s="614"/>
    </row>
    <row r="730" spans="1:50" x14ac:dyDescent="0.25">
      <c r="A730" s="612"/>
      <c r="B730" s="612"/>
      <c r="C730" s="613"/>
      <c r="D730" s="612"/>
      <c r="E730" s="612"/>
      <c r="F730" s="613"/>
      <c r="G730" s="612"/>
      <c r="H730" s="612"/>
      <c r="I730" s="735"/>
      <c r="J730" s="612"/>
      <c r="K730" s="613"/>
      <c r="L730" s="614"/>
      <c r="M730" s="614"/>
      <c r="N730" s="614"/>
      <c r="O730" s="614"/>
      <c r="P730" s="614"/>
      <c r="Q730" s="614"/>
      <c r="R730" s="614"/>
      <c r="S730" s="614"/>
      <c r="T730" s="614"/>
      <c r="U730" s="614"/>
      <c r="V730" s="614"/>
      <c r="W730" s="614"/>
      <c r="X730" s="614"/>
      <c r="Y730" s="614"/>
      <c r="Z730" s="614"/>
      <c r="AA730" s="614"/>
      <c r="AB730" s="614"/>
      <c r="AC730" s="614"/>
      <c r="AJ730" s="614"/>
      <c r="AK730" s="614"/>
      <c r="AL730" s="614"/>
      <c r="AM730" s="614"/>
      <c r="AN730" s="614"/>
      <c r="AO730" s="614"/>
      <c r="AP730" s="616"/>
      <c r="AQ730" s="616"/>
      <c r="AR730" s="616"/>
      <c r="AS730" s="614"/>
      <c r="AT730" s="614"/>
      <c r="AU730" s="614"/>
      <c r="AV730" s="614"/>
      <c r="AW730" s="614"/>
      <c r="AX730" s="614"/>
    </row>
    <row r="731" spans="1:50" x14ac:dyDescent="0.25">
      <c r="A731" s="612"/>
      <c r="B731" s="612"/>
      <c r="C731" s="613"/>
      <c r="D731" s="612"/>
      <c r="E731" s="612"/>
      <c r="F731" s="613"/>
      <c r="G731" s="612"/>
      <c r="H731" s="612"/>
      <c r="I731" s="735"/>
      <c r="J731" s="612"/>
      <c r="K731" s="613"/>
      <c r="L731" s="614"/>
      <c r="M731" s="614"/>
      <c r="N731" s="614"/>
      <c r="O731" s="614"/>
      <c r="P731" s="614"/>
      <c r="Q731" s="614"/>
      <c r="R731" s="614"/>
      <c r="S731" s="614"/>
      <c r="T731" s="614"/>
      <c r="U731" s="614"/>
      <c r="V731" s="614"/>
      <c r="W731" s="614"/>
      <c r="X731" s="614"/>
      <c r="Y731" s="614"/>
      <c r="Z731" s="614"/>
      <c r="AA731" s="614"/>
      <c r="AB731" s="614"/>
      <c r="AC731" s="614"/>
      <c r="AJ731" s="614"/>
      <c r="AK731" s="614"/>
      <c r="AL731" s="614"/>
      <c r="AM731" s="614"/>
      <c r="AN731" s="614"/>
      <c r="AO731" s="614"/>
      <c r="AP731" s="616"/>
      <c r="AQ731" s="616"/>
      <c r="AR731" s="616"/>
      <c r="AS731" s="614"/>
      <c r="AT731" s="614"/>
      <c r="AU731" s="614"/>
      <c r="AV731" s="614"/>
      <c r="AW731" s="614"/>
      <c r="AX731" s="614"/>
    </row>
    <row r="732" spans="1:50" x14ac:dyDescent="0.25">
      <c r="A732" s="612"/>
      <c r="B732" s="612"/>
      <c r="C732" s="613"/>
      <c r="D732" s="612"/>
      <c r="E732" s="612"/>
      <c r="F732" s="613"/>
      <c r="G732" s="612"/>
      <c r="H732" s="612"/>
      <c r="I732" s="735"/>
      <c r="J732" s="612"/>
      <c r="K732" s="613"/>
      <c r="L732" s="614"/>
      <c r="M732" s="614"/>
      <c r="N732" s="614"/>
      <c r="O732" s="614"/>
      <c r="P732" s="614"/>
      <c r="Q732" s="614"/>
      <c r="R732" s="614"/>
      <c r="S732" s="614"/>
      <c r="T732" s="614"/>
      <c r="U732" s="614"/>
      <c r="V732" s="614"/>
      <c r="W732" s="614"/>
      <c r="X732" s="614"/>
      <c r="Y732" s="614"/>
      <c r="Z732" s="614"/>
      <c r="AA732" s="614"/>
      <c r="AB732" s="614"/>
      <c r="AC732" s="614"/>
      <c r="AJ732" s="614"/>
      <c r="AK732" s="614"/>
      <c r="AL732" s="614"/>
      <c r="AM732" s="614"/>
      <c r="AN732" s="614"/>
      <c r="AO732" s="614"/>
      <c r="AP732" s="616"/>
      <c r="AQ732" s="616"/>
      <c r="AR732" s="616"/>
      <c r="AS732" s="614"/>
      <c r="AT732" s="614"/>
      <c r="AU732" s="614"/>
      <c r="AV732" s="614"/>
      <c r="AW732" s="614"/>
      <c r="AX732" s="614"/>
    </row>
    <row r="733" spans="1:50" x14ac:dyDescent="0.25">
      <c r="A733" s="612"/>
      <c r="B733" s="612"/>
      <c r="C733" s="613"/>
      <c r="D733" s="612"/>
      <c r="E733" s="612"/>
      <c r="F733" s="613"/>
      <c r="G733" s="612"/>
      <c r="H733" s="612"/>
      <c r="I733" s="735"/>
      <c r="J733" s="612"/>
      <c r="K733" s="613"/>
      <c r="L733" s="614"/>
      <c r="M733" s="614"/>
      <c r="N733" s="614"/>
      <c r="O733" s="614"/>
      <c r="P733" s="614"/>
      <c r="Q733" s="614"/>
      <c r="R733" s="614"/>
      <c r="S733" s="614"/>
      <c r="T733" s="614"/>
      <c r="U733" s="614"/>
      <c r="V733" s="614"/>
      <c r="W733" s="614"/>
      <c r="X733" s="614"/>
      <c r="Y733" s="614"/>
      <c r="Z733" s="614"/>
      <c r="AA733" s="614"/>
      <c r="AB733" s="614"/>
      <c r="AC733" s="614"/>
      <c r="AJ733" s="614"/>
      <c r="AK733" s="614"/>
      <c r="AL733" s="614"/>
      <c r="AM733" s="614"/>
      <c r="AN733" s="614"/>
      <c r="AO733" s="614"/>
      <c r="AP733" s="616"/>
      <c r="AQ733" s="616"/>
      <c r="AR733" s="616"/>
      <c r="AS733" s="614"/>
      <c r="AT733" s="614"/>
      <c r="AU733" s="614"/>
      <c r="AV733" s="614"/>
      <c r="AW733" s="614"/>
      <c r="AX733" s="614"/>
    </row>
    <row r="734" spans="1:50" x14ac:dyDescent="0.25">
      <c r="A734" s="612"/>
      <c r="B734" s="612"/>
      <c r="C734" s="613"/>
      <c r="D734" s="612"/>
      <c r="E734" s="612"/>
      <c r="F734" s="613"/>
      <c r="G734" s="612"/>
      <c r="H734" s="612"/>
      <c r="I734" s="735"/>
      <c r="J734" s="612"/>
      <c r="K734" s="613"/>
      <c r="L734" s="614"/>
      <c r="M734" s="614"/>
      <c r="N734" s="614"/>
      <c r="O734" s="614"/>
      <c r="P734" s="614"/>
      <c r="Q734" s="614"/>
      <c r="R734" s="614"/>
      <c r="S734" s="614"/>
      <c r="T734" s="614"/>
      <c r="U734" s="614"/>
      <c r="V734" s="614"/>
      <c r="W734" s="614"/>
      <c r="X734" s="614"/>
      <c r="Y734" s="614"/>
      <c r="Z734" s="614"/>
      <c r="AA734" s="614"/>
      <c r="AB734" s="614"/>
      <c r="AC734" s="614"/>
      <c r="AJ734" s="614"/>
      <c r="AK734" s="614"/>
      <c r="AL734" s="614"/>
      <c r="AM734" s="614"/>
      <c r="AN734" s="614"/>
      <c r="AO734" s="614"/>
      <c r="AP734" s="616"/>
      <c r="AQ734" s="616"/>
      <c r="AR734" s="616"/>
      <c r="AS734" s="614"/>
      <c r="AT734" s="614"/>
      <c r="AU734" s="614"/>
      <c r="AV734" s="614"/>
      <c r="AW734" s="614"/>
      <c r="AX734" s="614"/>
    </row>
    <row r="735" spans="1:50" x14ac:dyDescent="0.25">
      <c r="A735" s="612"/>
      <c r="B735" s="612"/>
      <c r="C735" s="613"/>
      <c r="D735" s="612"/>
      <c r="E735" s="612"/>
      <c r="F735" s="613"/>
      <c r="G735" s="612"/>
      <c r="H735" s="612"/>
      <c r="I735" s="735"/>
      <c r="J735" s="612"/>
      <c r="K735" s="613"/>
      <c r="L735" s="614"/>
      <c r="M735" s="614"/>
      <c r="N735" s="614"/>
      <c r="O735" s="614"/>
      <c r="P735" s="614"/>
      <c r="Q735" s="614"/>
      <c r="R735" s="614"/>
      <c r="S735" s="614"/>
      <c r="T735" s="614"/>
      <c r="U735" s="614"/>
      <c r="V735" s="614"/>
      <c r="W735" s="614"/>
      <c r="X735" s="614"/>
      <c r="Y735" s="614"/>
      <c r="Z735" s="614"/>
      <c r="AA735" s="614"/>
      <c r="AB735" s="614"/>
      <c r="AC735" s="614"/>
      <c r="AJ735" s="614"/>
      <c r="AK735" s="614"/>
      <c r="AL735" s="614"/>
      <c r="AM735" s="614"/>
      <c r="AN735" s="614"/>
      <c r="AO735" s="614"/>
      <c r="AP735" s="616"/>
      <c r="AQ735" s="616"/>
      <c r="AR735" s="616"/>
      <c r="AS735" s="614"/>
      <c r="AT735" s="614"/>
      <c r="AU735" s="614"/>
      <c r="AV735" s="614"/>
      <c r="AW735" s="614"/>
      <c r="AX735" s="614"/>
    </row>
    <row r="736" spans="1:50" x14ac:dyDescent="0.25">
      <c r="A736" s="612"/>
      <c r="B736" s="612"/>
      <c r="C736" s="613"/>
      <c r="D736" s="612"/>
      <c r="E736" s="612"/>
      <c r="F736" s="613"/>
      <c r="G736" s="612"/>
      <c r="H736" s="612"/>
      <c r="I736" s="735"/>
      <c r="J736" s="612"/>
      <c r="K736" s="613"/>
      <c r="L736" s="614"/>
      <c r="M736" s="614"/>
      <c r="N736" s="614"/>
      <c r="O736" s="614"/>
      <c r="P736" s="614"/>
      <c r="Q736" s="614"/>
      <c r="R736" s="614"/>
      <c r="S736" s="614"/>
      <c r="T736" s="614"/>
      <c r="U736" s="614"/>
      <c r="V736" s="614"/>
      <c r="W736" s="614"/>
      <c r="X736" s="614"/>
      <c r="Y736" s="614"/>
      <c r="Z736" s="614"/>
      <c r="AA736" s="614"/>
      <c r="AB736" s="614"/>
      <c r="AC736" s="614"/>
      <c r="AJ736" s="614"/>
      <c r="AK736" s="614"/>
      <c r="AL736" s="614"/>
      <c r="AM736" s="614"/>
      <c r="AN736" s="614"/>
      <c r="AO736" s="614"/>
      <c r="AP736" s="616"/>
      <c r="AQ736" s="616"/>
      <c r="AR736" s="616"/>
      <c r="AS736" s="614"/>
      <c r="AT736" s="614"/>
      <c r="AU736" s="614"/>
      <c r="AV736" s="614"/>
      <c r="AW736" s="614"/>
      <c r="AX736" s="614"/>
    </row>
    <row r="737" spans="1:50" x14ac:dyDescent="0.25">
      <c r="A737" s="612"/>
      <c r="B737" s="612"/>
      <c r="C737" s="613"/>
      <c r="D737" s="612"/>
      <c r="E737" s="612"/>
      <c r="F737" s="613"/>
      <c r="G737" s="612"/>
      <c r="H737" s="612"/>
      <c r="I737" s="735"/>
      <c r="J737" s="612"/>
      <c r="K737" s="613"/>
      <c r="L737" s="614"/>
      <c r="M737" s="614"/>
      <c r="N737" s="614"/>
      <c r="O737" s="614"/>
      <c r="P737" s="614"/>
      <c r="Q737" s="614"/>
      <c r="R737" s="614"/>
      <c r="S737" s="614"/>
      <c r="T737" s="614"/>
      <c r="U737" s="614"/>
      <c r="V737" s="614"/>
      <c r="W737" s="614"/>
      <c r="X737" s="614"/>
      <c r="Y737" s="614"/>
      <c r="Z737" s="614"/>
      <c r="AA737" s="614"/>
      <c r="AB737" s="614"/>
      <c r="AC737" s="614"/>
      <c r="AJ737" s="614"/>
      <c r="AK737" s="614"/>
      <c r="AL737" s="614"/>
      <c r="AM737" s="614"/>
      <c r="AN737" s="614"/>
      <c r="AO737" s="614"/>
      <c r="AP737" s="616"/>
      <c r="AQ737" s="616"/>
      <c r="AR737" s="616"/>
      <c r="AS737" s="614"/>
      <c r="AT737" s="614"/>
      <c r="AU737" s="614"/>
      <c r="AV737" s="614"/>
      <c r="AW737" s="614"/>
      <c r="AX737" s="614"/>
    </row>
    <row r="738" spans="1:50" x14ac:dyDescent="0.25">
      <c r="A738" s="612"/>
      <c r="B738" s="612"/>
      <c r="C738" s="613"/>
      <c r="D738" s="612"/>
      <c r="E738" s="612"/>
      <c r="F738" s="613"/>
      <c r="G738" s="612"/>
      <c r="H738" s="612"/>
      <c r="I738" s="735"/>
      <c r="J738" s="612"/>
      <c r="K738" s="613"/>
      <c r="L738" s="614"/>
      <c r="M738" s="614"/>
      <c r="N738" s="614"/>
      <c r="O738" s="614"/>
      <c r="P738" s="614"/>
      <c r="Q738" s="614"/>
      <c r="R738" s="614"/>
      <c r="S738" s="614"/>
      <c r="T738" s="614"/>
      <c r="U738" s="614"/>
      <c r="V738" s="614"/>
      <c r="W738" s="614"/>
      <c r="X738" s="614"/>
      <c r="Y738" s="614"/>
      <c r="Z738" s="614"/>
      <c r="AA738" s="614"/>
      <c r="AB738" s="614"/>
      <c r="AC738" s="614"/>
      <c r="AJ738" s="614"/>
      <c r="AK738" s="614"/>
      <c r="AL738" s="614"/>
      <c r="AM738" s="614"/>
      <c r="AN738" s="614"/>
      <c r="AO738" s="614"/>
      <c r="AP738" s="616"/>
      <c r="AQ738" s="616"/>
      <c r="AR738" s="616"/>
      <c r="AS738" s="614"/>
      <c r="AT738" s="614"/>
      <c r="AU738" s="614"/>
      <c r="AV738" s="614"/>
      <c r="AW738" s="614"/>
      <c r="AX738" s="614"/>
    </row>
    <row r="739" spans="1:50" x14ac:dyDescent="0.25">
      <c r="A739" s="612"/>
      <c r="B739" s="612"/>
      <c r="C739" s="613"/>
      <c r="D739" s="612"/>
      <c r="E739" s="612"/>
      <c r="F739" s="613"/>
      <c r="G739" s="612"/>
      <c r="H739" s="612"/>
      <c r="I739" s="735"/>
      <c r="J739" s="612"/>
      <c r="K739" s="613"/>
      <c r="L739" s="614"/>
      <c r="M739" s="614"/>
      <c r="N739" s="614"/>
      <c r="O739" s="614"/>
      <c r="P739" s="614"/>
      <c r="Q739" s="614"/>
      <c r="R739" s="614"/>
      <c r="S739" s="614"/>
      <c r="T739" s="614"/>
      <c r="U739" s="614"/>
      <c r="V739" s="614"/>
      <c r="W739" s="614"/>
      <c r="X739" s="614"/>
      <c r="Y739" s="614"/>
      <c r="Z739" s="614"/>
      <c r="AA739" s="614"/>
      <c r="AB739" s="614"/>
      <c r="AC739" s="614"/>
      <c r="AJ739" s="614"/>
      <c r="AK739" s="614"/>
      <c r="AL739" s="614"/>
      <c r="AM739" s="614"/>
      <c r="AN739" s="614"/>
      <c r="AO739" s="614"/>
      <c r="AP739" s="616"/>
      <c r="AQ739" s="616"/>
      <c r="AR739" s="616"/>
      <c r="AS739" s="614"/>
      <c r="AT739" s="614"/>
      <c r="AU739" s="614"/>
      <c r="AV739" s="614"/>
      <c r="AW739" s="614"/>
      <c r="AX739" s="614"/>
    </row>
    <row r="740" spans="1:50" x14ac:dyDescent="0.25">
      <c r="A740" s="612"/>
      <c r="B740" s="612"/>
      <c r="C740" s="613"/>
      <c r="D740" s="612"/>
      <c r="E740" s="612"/>
      <c r="F740" s="613"/>
      <c r="G740" s="612"/>
      <c r="H740" s="612"/>
      <c r="I740" s="735"/>
      <c r="J740" s="612"/>
      <c r="K740" s="613"/>
      <c r="L740" s="614"/>
      <c r="M740" s="614"/>
      <c r="N740" s="614"/>
      <c r="O740" s="614"/>
      <c r="P740" s="614"/>
      <c r="Q740" s="614"/>
      <c r="R740" s="614"/>
      <c r="S740" s="614"/>
      <c r="T740" s="614"/>
      <c r="U740" s="614"/>
      <c r="V740" s="614"/>
      <c r="W740" s="614"/>
      <c r="X740" s="614"/>
      <c r="Y740" s="614"/>
      <c r="Z740" s="614"/>
      <c r="AA740" s="614"/>
      <c r="AB740" s="614"/>
      <c r="AC740" s="614"/>
      <c r="AJ740" s="614"/>
      <c r="AK740" s="614"/>
      <c r="AL740" s="614"/>
      <c r="AM740" s="614"/>
      <c r="AN740" s="614"/>
      <c r="AO740" s="614"/>
      <c r="AP740" s="616"/>
      <c r="AQ740" s="616"/>
      <c r="AR740" s="616"/>
      <c r="AS740" s="614"/>
      <c r="AT740" s="614"/>
      <c r="AU740" s="614"/>
      <c r="AV740" s="614"/>
      <c r="AW740" s="614"/>
      <c r="AX740" s="614"/>
    </row>
    <row r="741" spans="1:50" x14ac:dyDescent="0.25">
      <c r="A741" s="612"/>
      <c r="B741" s="612"/>
      <c r="C741" s="613"/>
      <c r="D741" s="612"/>
      <c r="E741" s="612"/>
      <c r="F741" s="613"/>
      <c r="G741" s="612"/>
      <c r="H741" s="612"/>
      <c r="I741" s="735"/>
      <c r="J741" s="612"/>
      <c r="K741" s="613"/>
      <c r="L741" s="614"/>
      <c r="M741" s="614"/>
      <c r="N741" s="614"/>
      <c r="O741" s="614"/>
      <c r="P741" s="614"/>
      <c r="Q741" s="614"/>
      <c r="R741" s="614"/>
      <c r="S741" s="614"/>
      <c r="T741" s="614"/>
      <c r="U741" s="614"/>
      <c r="V741" s="614"/>
      <c r="W741" s="614"/>
      <c r="X741" s="614"/>
      <c r="Y741" s="614"/>
      <c r="Z741" s="614"/>
      <c r="AA741" s="614"/>
      <c r="AB741" s="614"/>
      <c r="AC741" s="614"/>
      <c r="AJ741" s="614"/>
      <c r="AK741" s="614"/>
      <c r="AL741" s="614"/>
      <c r="AM741" s="614"/>
      <c r="AN741" s="614"/>
      <c r="AO741" s="614"/>
      <c r="AP741" s="616"/>
      <c r="AQ741" s="616"/>
      <c r="AR741" s="616"/>
      <c r="AS741" s="614"/>
      <c r="AT741" s="614"/>
      <c r="AU741" s="614"/>
      <c r="AV741" s="614"/>
      <c r="AW741" s="614"/>
      <c r="AX741" s="614"/>
    </row>
    <row r="742" spans="1:50" x14ac:dyDescent="0.25">
      <c r="A742" s="612"/>
      <c r="B742" s="612"/>
      <c r="C742" s="613"/>
      <c r="D742" s="612"/>
      <c r="E742" s="612"/>
      <c r="F742" s="613"/>
      <c r="G742" s="612"/>
      <c r="H742" s="612"/>
      <c r="I742" s="735"/>
      <c r="J742" s="612"/>
      <c r="K742" s="613"/>
      <c r="L742" s="614"/>
      <c r="M742" s="614"/>
      <c r="N742" s="614"/>
      <c r="O742" s="614"/>
      <c r="P742" s="614"/>
      <c r="Q742" s="614"/>
      <c r="R742" s="614"/>
      <c r="S742" s="614"/>
      <c r="T742" s="614"/>
      <c r="U742" s="614"/>
      <c r="V742" s="614"/>
      <c r="W742" s="614"/>
      <c r="X742" s="614"/>
      <c r="Y742" s="614"/>
      <c r="Z742" s="614"/>
      <c r="AA742" s="614"/>
      <c r="AB742" s="614"/>
      <c r="AC742" s="614"/>
      <c r="AJ742" s="614"/>
      <c r="AK742" s="614"/>
      <c r="AL742" s="614"/>
      <c r="AM742" s="614"/>
      <c r="AN742" s="614"/>
      <c r="AO742" s="614"/>
      <c r="AP742" s="616"/>
      <c r="AQ742" s="616"/>
      <c r="AR742" s="616"/>
      <c r="AS742" s="614"/>
      <c r="AT742" s="614"/>
      <c r="AU742" s="614"/>
      <c r="AV742" s="614"/>
      <c r="AW742" s="614"/>
      <c r="AX742" s="614"/>
    </row>
    <row r="743" spans="1:50" x14ac:dyDescent="0.25">
      <c r="A743" s="612"/>
      <c r="B743" s="612"/>
      <c r="C743" s="613"/>
      <c r="D743" s="612"/>
      <c r="E743" s="612"/>
      <c r="F743" s="613"/>
      <c r="G743" s="612"/>
      <c r="H743" s="612"/>
      <c r="I743" s="735"/>
      <c r="J743" s="612"/>
      <c r="K743" s="613"/>
      <c r="L743" s="614"/>
      <c r="M743" s="614"/>
      <c r="N743" s="614"/>
      <c r="O743" s="614"/>
      <c r="P743" s="614"/>
      <c r="Q743" s="614"/>
      <c r="R743" s="614"/>
      <c r="S743" s="614"/>
      <c r="T743" s="614"/>
      <c r="U743" s="614"/>
      <c r="V743" s="614"/>
      <c r="W743" s="614"/>
      <c r="X743" s="614"/>
      <c r="Y743" s="614"/>
      <c r="Z743" s="614"/>
      <c r="AA743" s="614"/>
      <c r="AB743" s="614"/>
      <c r="AC743" s="614"/>
      <c r="AJ743" s="614"/>
      <c r="AK743" s="614"/>
      <c r="AL743" s="614"/>
      <c r="AM743" s="614"/>
      <c r="AN743" s="614"/>
      <c r="AO743" s="614"/>
      <c r="AP743" s="616"/>
      <c r="AQ743" s="616"/>
      <c r="AR743" s="616"/>
      <c r="AS743" s="614"/>
      <c r="AT743" s="614"/>
      <c r="AU743" s="614"/>
      <c r="AV743" s="614"/>
      <c r="AW743" s="614"/>
      <c r="AX743" s="614"/>
    </row>
    <row r="744" spans="1:50" x14ac:dyDescent="0.25">
      <c r="A744" s="612"/>
      <c r="B744" s="612"/>
      <c r="C744" s="613"/>
      <c r="D744" s="612"/>
      <c r="E744" s="612"/>
      <c r="F744" s="613"/>
      <c r="G744" s="612"/>
      <c r="H744" s="612"/>
      <c r="I744" s="735"/>
      <c r="J744" s="612"/>
      <c r="K744" s="613"/>
      <c r="L744" s="614"/>
      <c r="M744" s="614"/>
      <c r="N744" s="614"/>
      <c r="O744" s="614"/>
      <c r="P744" s="614"/>
      <c r="Q744" s="614"/>
      <c r="R744" s="614"/>
      <c r="S744" s="614"/>
      <c r="T744" s="614"/>
      <c r="U744" s="614"/>
      <c r="V744" s="614"/>
      <c r="W744" s="614"/>
      <c r="X744" s="614"/>
      <c r="Y744" s="614"/>
      <c r="Z744" s="614"/>
      <c r="AA744" s="614"/>
      <c r="AB744" s="614"/>
      <c r="AC744" s="614"/>
      <c r="AJ744" s="614"/>
      <c r="AK744" s="614"/>
      <c r="AL744" s="614"/>
      <c r="AM744" s="614"/>
      <c r="AN744" s="614"/>
      <c r="AO744" s="614"/>
      <c r="AP744" s="616"/>
      <c r="AQ744" s="616"/>
      <c r="AR744" s="616"/>
      <c r="AS744" s="614"/>
      <c r="AT744" s="614"/>
      <c r="AU744" s="614"/>
      <c r="AV744" s="614"/>
      <c r="AW744" s="614"/>
      <c r="AX744" s="614"/>
    </row>
    <row r="745" spans="1:50" x14ac:dyDescent="0.25">
      <c r="A745" s="612"/>
      <c r="B745" s="612"/>
      <c r="C745" s="613"/>
      <c r="D745" s="612"/>
      <c r="E745" s="612"/>
      <c r="F745" s="613"/>
      <c r="G745" s="612"/>
      <c r="H745" s="612"/>
      <c r="I745" s="735"/>
      <c r="J745" s="612"/>
      <c r="K745" s="613"/>
      <c r="L745" s="614"/>
      <c r="M745" s="614"/>
      <c r="N745" s="614"/>
      <c r="O745" s="614"/>
      <c r="P745" s="614"/>
      <c r="Q745" s="614"/>
      <c r="R745" s="614"/>
      <c r="S745" s="614"/>
      <c r="T745" s="614"/>
      <c r="U745" s="614"/>
      <c r="V745" s="614"/>
      <c r="W745" s="614"/>
      <c r="X745" s="614"/>
      <c r="Y745" s="614"/>
      <c r="Z745" s="614"/>
      <c r="AA745" s="614"/>
      <c r="AB745" s="614"/>
      <c r="AC745" s="614"/>
      <c r="AJ745" s="614"/>
      <c r="AK745" s="614"/>
      <c r="AL745" s="614"/>
      <c r="AM745" s="614"/>
      <c r="AN745" s="614"/>
      <c r="AO745" s="614"/>
      <c r="AP745" s="616"/>
      <c r="AQ745" s="616"/>
      <c r="AR745" s="616"/>
      <c r="AS745" s="614"/>
      <c r="AT745" s="614"/>
      <c r="AU745" s="614"/>
      <c r="AV745" s="614"/>
      <c r="AW745" s="614"/>
      <c r="AX745" s="614"/>
    </row>
    <row r="746" spans="1:50" x14ac:dyDescent="0.25">
      <c r="A746" s="612"/>
      <c r="B746" s="612"/>
      <c r="C746" s="613"/>
      <c r="D746" s="612"/>
      <c r="E746" s="612"/>
      <c r="F746" s="613"/>
      <c r="G746" s="612"/>
      <c r="H746" s="612"/>
      <c r="I746" s="735"/>
      <c r="J746" s="612"/>
      <c r="K746" s="613"/>
      <c r="L746" s="614"/>
      <c r="M746" s="614"/>
      <c r="N746" s="614"/>
      <c r="O746" s="614"/>
      <c r="P746" s="614"/>
      <c r="Q746" s="614"/>
      <c r="R746" s="614"/>
      <c r="S746" s="614"/>
      <c r="T746" s="614"/>
      <c r="U746" s="614"/>
      <c r="V746" s="614"/>
      <c r="W746" s="614"/>
      <c r="X746" s="614"/>
      <c r="Y746" s="614"/>
      <c r="Z746" s="614"/>
      <c r="AA746" s="614"/>
      <c r="AB746" s="614"/>
      <c r="AC746" s="614"/>
      <c r="AJ746" s="614"/>
      <c r="AK746" s="614"/>
      <c r="AL746" s="614"/>
      <c r="AM746" s="614"/>
      <c r="AN746" s="614"/>
      <c r="AO746" s="614"/>
      <c r="AP746" s="616"/>
      <c r="AQ746" s="616"/>
      <c r="AR746" s="616"/>
      <c r="AS746" s="614"/>
      <c r="AT746" s="614"/>
      <c r="AU746" s="614"/>
      <c r="AV746" s="614"/>
      <c r="AW746" s="614"/>
      <c r="AX746" s="614"/>
    </row>
    <row r="747" spans="1:50" x14ac:dyDescent="0.25">
      <c r="A747" s="612"/>
      <c r="B747" s="612"/>
      <c r="C747" s="613"/>
      <c r="D747" s="612"/>
      <c r="E747" s="612"/>
      <c r="F747" s="613"/>
      <c r="G747" s="612"/>
      <c r="H747" s="612"/>
      <c r="I747" s="735"/>
      <c r="J747" s="612"/>
      <c r="K747" s="613"/>
      <c r="L747" s="614"/>
      <c r="M747" s="614"/>
      <c r="N747" s="614"/>
      <c r="O747" s="614"/>
      <c r="P747" s="614"/>
      <c r="Q747" s="614"/>
      <c r="R747" s="614"/>
      <c r="S747" s="614"/>
      <c r="T747" s="614"/>
      <c r="U747" s="614"/>
      <c r="V747" s="614"/>
      <c r="W747" s="614"/>
      <c r="X747" s="614"/>
      <c r="Y747" s="614"/>
      <c r="Z747" s="614"/>
      <c r="AA747" s="614"/>
      <c r="AB747" s="614"/>
      <c r="AC747" s="614"/>
      <c r="AJ747" s="614"/>
      <c r="AK747" s="614"/>
      <c r="AL747" s="614"/>
      <c r="AM747" s="614"/>
      <c r="AN747" s="614"/>
      <c r="AO747" s="614"/>
      <c r="AP747" s="616"/>
      <c r="AQ747" s="616"/>
      <c r="AR747" s="616"/>
      <c r="AS747" s="614"/>
      <c r="AT747" s="614"/>
      <c r="AU747" s="614"/>
      <c r="AV747" s="614"/>
      <c r="AW747" s="614"/>
      <c r="AX747" s="614"/>
    </row>
    <row r="748" spans="1:50" x14ac:dyDescent="0.25">
      <c r="A748" s="612"/>
      <c r="B748" s="612"/>
      <c r="C748" s="613"/>
      <c r="D748" s="612"/>
      <c r="E748" s="612"/>
      <c r="F748" s="613"/>
      <c r="G748" s="612"/>
      <c r="H748" s="612"/>
      <c r="I748" s="735"/>
      <c r="J748" s="612"/>
      <c r="K748" s="613"/>
      <c r="L748" s="614"/>
      <c r="M748" s="614"/>
      <c r="N748" s="614"/>
      <c r="O748" s="614"/>
      <c r="P748" s="614"/>
      <c r="Q748" s="614"/>
      <c r="R748" s="614"/>
      <c r="S748" s="614"/>
      <c r="T748" s="614"/>
      <c r="U748" s="614"/>
      <c r="V748" s="614"/>
      <c r="W748" s="614"/>
      <c r="X748" s="614"/>
      <c r="Y748" s="614"/>
      <c r="Z748" s="614"/>
      <c r="AA748" s="614"/>
      <c r="AB748" s="614"/>
      <c r="AC748" s="614"/>
      <c r="AJ748" s="614"/>
      <c r="AK748" s="614"/>
      <c r="AL748" s="614"/>
      <c r="AM748" s="614"/>
      <c r="AN748" s="614"/>
      <c r="AO748" s="614"/>
      <c r="AP748" s="616"/>
      <c r="AQ748" s="616"/>
      <c r="AR748" s="616"/>
      <c r="AS748" s="614"/>
      <c r="AT748" s="614"/>
      <c r="AU748" s="614"/>
      <c r="AV748" s="614"/>
      <c r="AW748" s="614"/>
      <c r="AX748" s="614"/>
    </row>
    <row r="749" spans="1:50" x14ac:dyDescent="0.25">
      <c r="A749" s="612"/>
      <c r="B749" s="612"/>
      <c r="C749" s="613"/>
      <c r="D749" s="612"/>
      <c r="E749" s="612"/>
      <c r="F749" s="613"/>
      <c r="G749" s="612"/>
      <c r="H749" s="612"/>
      <c r="I749" s="735"/>
      <c r="J749" s="612"/>
      <c r="K749" s="613"/>
      <c r="L749" s="614"/>
      <c r="M749" s="614"/>
      <c r="N749" s="614"/>
      <c r="O749" s="614"/>
      <c r="P749" s="614"/>
      <c r="Q749" s="614"/>
      <c r="R749" s="614"/>
      <c r="S749" s="614"/>
      <c r="T749" s="614"/>
      <c r="U749" s="614"/>
      <c r="V749" s="614"/>
      <c r="W749" s="614"/>
      <c r="X749" s="614"/>
      <c r="Y749" s="614"/>
      <c r="Z749" s="614"/>
      <c r="AA749" s="614"/>
      <c r="AB749" s="614"/>
      <c r="AC749" s="614"/>
      <c r="AJ749" s="614"/>
      <c r="AK749" s="614"/>
      <c r="AL749" s="614"/>
      <c r="AM749" s="614"/>
      <c r="AN749" s="614"/>
      <c r="AO749" s="614"/>
      <c r="AP749" s="616"/>
      <c r="AQ749" s="616"/>
      <c r="AR749" s="616"/>
      <c r="AS749" s="614"/>
      <c r="AT749" s="614"/>
      <c r="AU749" s="614"/>
      <c r="AV749" s="614"/>
      <c r="AW749" s="614"/>
      <c r="AX749" s="614"/>
    </row>
    <row r="750" spans="1:50" x14ac:dyDescent="0.25">
      <c r="A750" s="612"/>
      <c r="B750" s="612"/>
      <c r="C750" s="613"/>
      <c r="D750" s="612"/>
      <c r="E750" s="612"/>
      <c r="F750" s="613"/>
      <c r="G750" s="612"/>
      <c r="H750" s="612"/>
      <c r="I750" s="735"/>
      <c r="J750" s="612"/>
      <c r="K750" s="613"/>
      <c r="L750" s="614"/>
      <c r="M750" s="614"/>
      <c r="N750" s="614"/>
      <c r="O750" s="614"/>
      <c r="P750" s="614"/>
      <c r="Q750" s="614"/>
      <c r="R750" s="614"/>
      <c r="S750" s="614"/>
      <c r="T750" s="614"/>
      <c r="U750" s="614"/>
      <c r="V750" s="614"/>
      <c r="W750" s="614"/>
      <c r="X750" s="614"/>
      <c r="Y750" s="614"/>
      <c r="Z750" s="614"/>
      <c r="AA750" s="614"/>
      <c r="AB750" s="614"/>
      <c r="AC750" s="614"/>
      <c r="AJ750" s="614"/>
      <c r="AK750" s="614"/>
      <c r="AL750" s="614"/>
      <c r="AM750" s="614"/>
      <c r="AN750" s="614"/>
      <c r="AO750" s="614"/>
      <c r="AP750" s="616"/>
      <c r="AQ750" s="616"/>
      <c r="AR750" s="616"/>
      <c r="AS750" s="614"/>
      <c r="AT750" s="614"/>
      <c r="AU750" s="614"/>
      <c r="AV750" s="614"/>
      <c r="AW750" s="614"/>
      <c r="AX750" s="614"/>
    </row>
    <row r="751" spans="1:50" x14ac:dyDescent="0.25">
      <c r="A751" s="612"/>
      <c r="B751" s="612"/>
      <c r="C751" s="613"/>
      <c r="D751" s="612"/>
      <c r="E751" s="612"/>
      <c r="F751" s="613"/>
      <c r="G751" s="612"/>
      <c r="H751" s="612"/>
      <c r="I751" s="735"/>
      <c r="J751" s="612"/>
      <c r="K751" s="613"/>
      <c r="L751" s="614"/>
      <c r="M751" s="614"/>
      <c r="N751" s="614"/>
      <c r="O751" s="614"/>
      <c r="P751" s="614"/>
      <c r="Q751" s="614"/>
      <c r="R751" s="614"/>
      <c r="S751" s="614"/>
      <c r="T751" s="614"/>
      <c r="U751" s="614"/>
      <c r="V751" s="614"/>
      <c r="W751" s="614"/>
      <c r="X751" s="614"/>
      <c r="Y751" s="614"/>
      <c r="Z751" s="614"/>
      <c r="AA751" s="614"/>
      <c r="AB751" s="614"/>
      <c r="AC751" s="614"/>
      <c r="AJ751" s="614"/>
      <c r="AK751" s="614"/>
      <c r="AL751" s="614"/>
      <c r="AM751" s="614"/>
      <c r="AN751" s="614"/>
      <c r="AO751" s="614"/>
      <c r="AP751" s="616"/>
      <c r="AQ751" s="616"/>
      <c r="AR751" s="616"/>
      <c r="AS751" s="614"/>
      <c r="AT751" s="614"/>
      <c r="AU751" s="614"/>
      <c r="AV751" s="614"/>
      <c r="AW751" s="614"/>
      <c r="AX751" s="614"/>
    </row>
    <row r="752" spans="1:50" x14ac:dyDescent="0.25">
      <c r="A752" s="612"/>
      <c r="B752" s="612"/>
      <c r="C752" s="613"/>
      <c r="D752" s="612"/>
      <c r="E752" s="612"/>
      <c r="F752" s="613"/>
      <c r="G752" s="612"/>
      <c r="H752" s="612"/>
      <c r="I752" s="735"/>
      <c r="J752" s="612"/>
      <c r="K752" s="613"/>
      <c r="L752" s="614"/>
      <c r="M752" s="614"/>
      <c r="N752" s="614"/>
      <c r="O752" s="614"/>
      <c r="P752" s="614"/>
      <c r="Q752" s="614"/>
      <c r="R752" s="614"/>
      <c r="S752" s="614"/>
      <c r="T752" s="614"/>
      <c r="U752" s="614"/>
      <c r="V752" s="614"/>
      <c r="W752" s="614"/>
      <c r="X752" s="614"/>
      <c r="Y752" s="614"/>
      <c r="Z752" s="614"/>
      <c r="AA752" s="614"/>
      <c r="AB752" s="614"/>
      <c r="AC752" s="614"/>
      <c r="AJ752" s="614"/>
      <c r="AK752" s="614"/>
      <c r="AL752" s="614"/>
      <c r="AM752" s="614"/>
      <c r="AN752" s="614"/>
      <c r="AO752" s="614"/>
      <c r="AP752" s="616"/>
      <c r="AQ752" s="616"/>
      <c r="AR752" s="616"/>
      <c r="AS752" s="614"/>
      <c r="AT752" s="614"/>
      <c r="AU752" s="614"/>
      <c r="AV752" s="614"/>
      <c r="AW752" s="614"/>
      <c r="AX752" s="614"/>
    </row>
    <row r="753" spans="1:50" x14ac:dyDescent="0.25">
      <c r="A753" s="612"/>
      <c r="B753" s="612"/>
      <c r="C753" s="613"/>
      <c r="D753" s="612"/>
      <c r="E753" s="612"/>
      <c r="F753" s="613"/>
      <c r="G753" s="612"/>
      <c r="H753" s="612"/>
      <c r="I753" s="735"/>
      <c r="J753" s="612"/>
      <c r="K753" s="613"/>
      <c r="L753" s="614"/>
      <c r="M753" s="614"/>
      <c r="N753" s="614"/>
      <c r="O753" s="614"/>
      <c r="P753" s="614"/>
      <c r="Q753" s="614"/>
      <c r="R753" s="614"/>
      <c r="S753" s="614"/>
      <c r="T753" s="614"/>
      <c r="U753" s="614"/>
      <c r="V753" s="614"/>
      <c r="W753" s="614"/>
      <c r="X753" s="614"/>
      <c r="Y753" s="614"/>
      <c r="Z753" s="614"/>
      <c r="AA753" s="614"/>
      <c r="AB753" s="614"/>
      <c r="AC753" s="614"/>
      <c r="AJ753" s="614"/>
      <c r="AK753" s="614"/>
      <c r="AL753" s="614"/>
      <c r="AM753" s="614"/>
      <c r="AN753" s="614"/>
      <c r="AO753" s="614"/>
      <c r="AP753" s="616"/>
      <c r="AQ753" s="616"/>
      <c r="AR753" s="616"/>
      <c r="AS753" s="614"/>
      <c r="AT753" s="614"/>
      <c r="AU753" s="614"/>
      <c r="AV753" s="614"/>
      <c r="AW753" s="614"/>
      <c r="AX753" s="614"/>
    </row>
    <row r="754" spans="1:50" x14ac:dyDescent="0.25">
      <c r="A754" s="612"/>
      <c r="B754" s="612"/>
      <c r="C754" s="613"/>
      <c r="D754" s="612"/>
      <c r="E754" s="612"/>
      <c r="F754" s="613"/>
      <c r="G754" s="612"/>
      <c r="H754" s="612"/>
      <c r="I754" s="735"/>
      <c r="J754" s="612"/>
      <c r="K754" s="613"/>
      <c r="L754" s="614"/>
      <c r="M754" s="614"/>
      <c r="N754" s="614"/>
      <c r="O754" s="614"/>
      <c r="P754" s="614"/>
      <c r="Q754" s="614"/>
      <c r="R754" s="614"/>
      <c r="S754" s="614"/>
      <c r="T754" s="614"/>
      <c r="U754" s="614"/>
      <c r="V754" s="614"/>
      <c r="W754" s="614"/>
      <c r="X754" s="614"/>
      <c r="Y754" s="614"/>
      <c r="Z754" s="614"/>
      <c r="AA754" s="614"/>
      <c r="AB754" s="614"/>
      <c r="AC754" s="614"/>
      <c r="AJ754" s="614"/>
      <c r="AK754" s="614"/>
      <c r="AL754" s="614"/>
      <c r="AM754" s="614"/>
      <c r="AN754" s="614"/>
      <c r="AO754" s="614"/>
      <c r="AP754" s="616"/>
      <c r="AQ754" s="616"/>
      <c r="AR754" s="616"/>
      <c r="AS754" s="614"/>
      <c r="AT754" s="614"/>
      <c r="AU754" s="614"/>
      <c r="AV754" s="614"/>
      <c r="AW754" s="614"/>
      <c r="AX754" s="614"/>
    </row>
    <row r="755" spans="1:50" x14ac:dyDescent="0.25">
      <c r="A755" s="612"/>
      <c r="B755" s="612"/>
      <c r="C755" s="613"/>
      <c r="D755" s="612"/>
      <c r="E755" s="612"/>
      <c r="F755" s="613"/>
      <c r="G755" s="612"/>
      <c r="H755" s="612"/>
      <c r="I755" s="735"/>
      <c r="J755" s="612"/>
      <c r="K755" s="613"/>
      <c r="L755" s="614"/>
      <c r="M755" s="614"/>
      <c r="N755" s="614"/>
      <c r="O755" s="614"/>
      <c r="P755" s="614"/>
      <c r="Q755" s="614"/>
      <c r="R755" s="614"/>
      <c r="S755" s="614"/>
      <c r="T755" s="614"/>
      <c r="U755" s="614"/>
      <c r="V755" s="614"/>
      <c r="W755" s="614"/>
      <c r="X755" s="614"/>
      <c r="Y755" s="614"/>
      <c r="Z755" s="614"/>
      <c r="AA755" s="614"/>
      <c r="AB755" s="614"/>
      <c r="AC755" s="614"/>
      <c r="AJ755" s="614"/>
      <c r="AK755" s="614"/>
      <c r="AL755" s="614"/>
      <c r="AM755" s="614"/>
      <c r="AN755" s="614"/>
      <c r="AO755" s="614"/>
      <c r="AP755" s="616"/>
      <c r="AQ755" s="616"/>
      <c r="AR755" s="616"/>
      <c r="AS755" s="614"/>
      <c r="AT755" s="614"/>
      <c r="AU755" s="614"/>
      <c r="AV755" s="614"/>
      <c r="AW755" s="614"/>
      <c r="AX755" s="614"/>
    </row>
    <row r="756" spans="1:50" x14ac:dyDescent="0.25">
      <c r="A756" s="612"/>
      <c r="B756" s="612"/>
      <c r="C756" s="613"/>
      <c r="D756" s="612"/>
      <c r="E756" s="612"/>
      <c r="F756" s="613"/>
      <c r="G756" s="612"/>
      <c r="H756" s="612"/>
      <c r="I756" s="735"/>
      <c r="J756" s="612"/>
      <c r="K756" s="613"/>
      <c r="L756" s="614"/>
      <c r="M756" s="614"/>
      <c r="N756" s="614"/>
      <c r="O756" s="614"/>
      <c r="P756" s="614"/>
      <c r="Q756" s="614"/>
      <c r="R756" s="614"/>
      <c r="S756" s="614"/>
      <c r="T756" s="614"/>
      <c r="U756" s="614"/>
      <c r="V756" s="614"/>
      <c r="W756" s="614"/>
      <c r="X756" s="614"/>
      <c r="Y756" s="614"/>
      <c r="Z756" s="614"/>
      <c r="AA756" s="614"/>
      <c r="AB756" s="614"/>
      <c r="AC756" s="614"/>
      <c r="AJ756" s="614"/>
      <c r="AK756" s="614"/>
      <c r="AL756" s="614"/>
      <c r="AM756" s="614"/>
      <c r="AN756" s="614"/>
      <c r="AO756" s="614"/>
      <c r="AP756" s="616"/>
      <c r="AQ756" s="616"/>
      <c r="AR756" s="616"/>
      <c r="AS756" s="614"/>
      <c r="AT756" s="614"/>
      <c r="AU756" s="614"/>
      <c r="AV756" s="614"/>
      <c r="AW756" s="614"/>
      <c r="AX756" s="614"/>
    </row>
    <row r="757" spans="1:50" x14ac:dyDescent="0.25">
      <c r="A757" s="612"/>
      <c r="B757" s="612"/>
      <c r="C757" s="613"/>
      <c r="D757" s="612"/>
      <c r="E757" s="612"/>
      <c r="F757" s="613"/>
      <c r="G757" s="612"/>
      <c r="H757" s="612"/>
      <c r="I757" s="735"/>
      <c r="J757" s="612"/>
      <c r="K757" s="613"/>
      <c r="L757" s="614"/>
      <c r="M757" s="614"/>
      <c r="N757" s="614"/>
      <c r="O757" s="614"/>
      <c r="P757" s="614"/>
      <c r="Q757" s="614"/>
      <c r="R757" s="614"/>
      <c r="S757" s="614"/>
      <c r="T757" s="614"/>
      <c r="U757" s="614"/>
      <c r="V757" s="614"/>
      <c r="W757" s="614"/>
      <c r="X757" s="614"/>
      <c r="Y757" s="614"/>
      <c r="Z757" s="614"/>
      <c r="AA757" s="614"/>
      <c r="AB757" s="614"/>
      <c r="AC757" s="614"/>
      <c r="AJ757" s="614"/>
      <c r="AK757" s="614"/>
      <c r="AL757" s="614"/>
      <c r="AM757" s="614"/>
      <c r="AN757" s="614"/>
      <c r="AO757" s="614"/>
      <c r="AP757" s="616"/>
      <c r="AQ757" s="616"/>
      <c r="AR757" s="616"/>
      <c r="AS757" s="614"/>
      <c r="AT757" s="614"/>
      <c r="AU757" s="614"/>
      <c r="AV757" s="614"/>
      <c r="AW757" s="614"/>
      <c r="AX757" s="614"/>
    </row>
    <row r="758" spans="1:50" x14ac:dyDescent="0.25">
      <c r="A758" s="612"/>
      <c r="B758" s="612"/>
      <c r="C758" s="613"/>
      <c r="D758" s="612"/>
      <c r="E758" s="612"/>
      <c r="F758" s="613"/>
      <c r="G758" s="612"/>
      <c r="H758" s="612"/>
      <c r="I758" s="735"/>
      <c r="J758" s="612"/>
      <c r="K758" s="613"/>
      <c r="L758" s="614"/>
      <c r="M758" s="614"/>
      <c r="N758" s="614"/>
      <c r="O758" s="614"/>
      <c r="P758" s="614"/>
      <c r="Q758" s="614"/>
      <c r="R758" s="614"/>
      <c r="S758" s="614"/>
      <c r="T758" s="614"/>
      <c r="U758" s="614"/>
      <c r="V758" s="614"/>
      <c r="W758" s="614"/>
      <c r="X758" s="614"/>
      <c r="Y758" s="614"/>
      <c r="Z758" s="614"/>
      <c r="AA758" s="614"/>
      <c r="AB758" s="614"/>
      <c r="AC758" s="614"/>
      <c r="AJ758" s="614"/>
      <c r="AK758" s="614"/>
      <c r="AL758" s="614"/>
      <c r="AM758" s="614"/>
      <c r="AN758" s="614"/>
      <c r="AO758" s="614"/>
      <c r="AP758" s="616"/>
      <c r="AQ758" s="616"/>
      <c r="AR758" s="616"/>
      <c r="AS758" s="614"/>
      <c r="AT758" s="614"/>
      <c r="AU758" s="614"/>
      <c r="AV758" s="614"/>
      <c r="AW758" s="614"/>
      <c r="AX758" s="614"/>
    </row>
    <row r="759" spans="1:50" x14ac:dyDescent="0.25">
      <c r="A759" s="612"/>
      <c r="B759" s="612"/>
      <c r="C759" s="613"/>
      <c r="D759" s="612"/>
      <c r="E759" s="612"/>
      <c r="F759" s="613"/>
      <c r="G759" s="612"/>
      <c r="H759" s="612"/>
      <c r="I759" s="735"/>
      <c r="J759" s="612"/>
      <c r="K759" s="613"/>
      <c r="L759" s="614"/>
      <c r="M759" s="614"/>
      <c r="N759" s="614"/>
      <c r="O759" s="614"/>
      <c r="P759" s="614"/>
      <c r="Q759" s="614"/>
      <c r="R759" s="614"/>
      <c r="S759" s="614"/>
      <c r="T759" s="614"/>
      <c r="U759" s="614"/>
      <c r="V759" s="614"/>
      <c r="W759" s="614"/>
      <c r="X759" s="614"/>
      <c r="Y759" s="614"/>
      <c r="Z759" s="614"/>
      <c r="AA759" s="614"/>
      <c r="AB759" s="614"/>
      <c r="AC759" s="614"/>
      <c r="AJ759" s="614"/>
      <c r="AK759" s="614"/>
      <c r="AL759" s="614"/>
      <c r="AM759" s="614"/>
      <c r="AN759" s="614"/>
      <c r="AO759" s="614"/>
      <c r="AP759" s="616"/>
      <c r="AQ759" s="616"/>
      <c r="AR759" s="616"/>
      <c r="AS759" s="614"/>
      <c r="AT759" s="614"/>
      <c r="AU759" s="614"/>
      <c r="AV759" s="614"/>
      <c r="AW759" s="614"/>
      <c r="AX759" s="614"/>
    </row>
    <row r="760" spans="1:50" x14ac:dyDescent="0.25">
      <c r="A760" s="612"/>
      <c r="B760" s="612"/>
      <c r="C760" s="613"/>
      <c r="D760" s="612"/>
      <c r="E760" s="612"/>
      <c r="F760" s="613"/>
      <c r="G760" s="612"/>
      <c r="H760" s="612"/>
      <c r="I760" s="735"/>
      <c r="J760" s="612"/>
      <c r="K760" s="613"/>
      <c r="L760" s="614"/>
      <c r="M760" s="614"/>
      <c r="N760" s="614"/>
      <c r="O760" s="614"/>
      <c r="P760" s="614"/>
      <c r="Q760" s="614"/>
      <c r="R760" s="614"/>
      <c r="S760" s="614"/>
      <c r="T760" s="614"/>
      <c r="U760" s="614"/>
      <c r="V760" s="614"/>
      <c r="W760" s="614"/>
      <c r="X760" s="614"/>
      <c r="Y760" s="614"/>
      <c r="Z760" s="614"/>
      <c r="AA760" s="614"/>
      <c r="AB760" s="614"/>
      <c r="AC760" s="614"/>
      <c r="AJ760" s="614"/>
      <c r="AK760" s="614"/>
      <c r="AL760" s="614"/>
      <c r="AM760" s="614"/>
      <c r="AN760" s="614"/>
      <c r="AO760" s="614"/>
      <c r="AP760" s="616"/>
      <c r="AQ760" s="616"/>
      <c r="AR760" s="616"/>
      <c r="AS760" s="614"/>
      <c r="AT760" s="614"/>
      <c r="AU760" s="614"/>
      <c r="AV760" s="614"/>
      <c r="AW760" s="614"/>
      <c r="AX760" s="614"/>
    </row>
    <row r="761" spans="1:50" x14ac:dyDescent="0.25">
      <c r="A761" s="612"/>
      <c r="B761" s="612"/>
      <c r="C761" s="613"/>
      <c r="D761" s="612"/>
      <c r="E761" s="612"/>
      <c r="F761" s="613"/>
      <c r="G761" s="612"/>
      <c r="H761" s="612"/>
      <c r="I761" s="735"/>
      <c r="J761" s="612"/>
      <c r="K761" s="613"/>
      <c r="L761" s="614"/>
      <c r="M761" s="614"/>
      <c r="N761" s="614"/>
      <c r="O761" s="614"/>
      <c r="P761" s="614"/>
      <c r="Q761" s="614"/>
      <c r="R761" s="614"/>
      <c r="S761" s="614"/>
      <c r="T761" s="614"/>
      <c r="U761" s="614"/>
      <c r="V761" s="614"/>
      <c r="W761" s="614"/>
      <c r="X761" s="614"/>
      <c r="Y761" s="614"/>
      <c r="Z761" s="614"/>
      <c r="AA761" s="614"/>
      <c r="AB761" s="614"/>
      <c r="AC761" s="614"/>
      <c r="AJ761" s="614"/>
      <c r="AK761" s="614"/>
      <c r="AL761" s="614"/>
      <c r="AM761" s="614"/>
      <c r="AN761" s="614"/>
      <c r="AO761" s="614"/>
      <c r="AP761" s="616"/>
      <c r="AQ761" s="616"/>
      <c r="AR761" s="616"/>
      <c r="AS761" s="614"/>
      <c r="AT761" s="614"/>
      <c r="AU761" s="614"/>
      <c r="AV761" s="614"/>
      <c r="AW761" s="614"/>
      <c r="AX761" s="614"/>
    </row>
    <row r="762" spans="1:50" x14ac:dyDescent="0.25">
      <c r="A762" s="612"/>
      <c r="B762" s="612"/>
      <c r="C762" s="613"/>
      <c r="D762" s="612"/>
      <c r="E762" s="612"/>
      <c r="F762" s="613"/>
      <c r="G762" s="612"/>
      <c r="H762" s="612"/>
      <c r="I762" s="735"/>
      <c r="J762" s="612"/>
      <c r="K762" s="613"/>
      <c r="L762" s="614"/>
      <c r="M762" s="614"/>
      <c r="N762" s="614"/>
      <c r="O762" s="614"/>
      <c r="P762" s="614"/>
      <c r="Q762" s="614"/>
      <c r="R762" s="614"/>
      <c r="S762" s="614"/>
      <c r="T762" s="614"/>
      <c r="U762" s="614"/>
      <c r="V762" s="614"/>
      <c r="W762" s="614"/>
      <c r="X762" s="614"/>
      <c r="Y762" s="614"/>
      <c r="Z762" s="614"/>
      <c r="AA762" s="614"/>
      <c r="AB762" s="614"/>
      <c r="AC762" s="614"/>
      <c r="AJ762" s="614"/>
      <c r="AK762" s="614"/>
      <c r="AL762" s="614"/>
      <c r="AM762" s="614"/>
      <c r="AN762" s="614"/>
      <c r="AO762" s="614"/>
      <c r="AP762" s="616"/>
      <c r="AQ762" s="616"/>
      <c r="AR762" s="616"/>
      <c r="AS762" s="614"/>
      <c r="AT762" s="614"/>
      <c r="AU762" s="614"/>
      <c r="AV762" s="614"/>
      <c r="AW762" s="614"/>
      <c r="AX762" s="614"/>
    </row>
    <row r="763" spans="1:50" x14ac:dyDescent="0.25">
      <c r="A763" s="612"/>
      <c r="B763" s="612"/>
      <c r="C763" s="613"/>
      <c r="D763" s="612"/>
      <c r="E763" s="612"/>
      <c r="F763" s="613"/>
      <c r="G763" s="612"/>
      <c r="H763" s="612"/>
      <c r="I763" s="735"/>
      <c r="J763" s="612"/>
      <c r="K763" s="613"/>
      <c r="L763" s="614"/>
      <c r="M763" s="614"/>
      <c r="N763" s="614"/>
      <c r="O763" s="614"/>
      <c r="P763" s="614"/>
      <c r="Q763" s="614"/>
      <c r="R763" s="614"/>
      <c r="S763" s="614"/>
      <c r="T763" s="614"/>
      <c r="U763" s="614"/>
      <c r="V763" s="614"/>
      <c r="W763" s="614"/>
      <c r="X763" s="614"/>
      <c r="Y763" s="614"/>
      <c r="Z763" s="614"/>
      <c r="AA763" s="614"/>
      <c r="AB763" s="614"/>
      <c r="AC763" s="614"/>
      <c r="AJ763" s="614"/>
      <c r="AK763" s="614"/>
      <c r="AL763" s="614"/>
      <c r="AM763" s="614"/>
      <c r="AN763" s="614"/>
      <c r="AO763" s="614"/>
      <c r="AP763" s="616"/>
      <c r="AQ763" s="616"/>
      <c r="AR763" s="616"/>
      <c r="AS763" s="614"/>
      <c r="AT763" s="614"/>
      <c r="AU763" s="614"/>
      <c r="AV763" s="614"/>
      <c r="AW763" s="614"/>
      <c r="AX763" s="614"/>
    </row>
    <row r="764" spans="1:50" x14ac:dyDescent="0.25">
      <c r="A764" s="612"/>
      <c r="B764" s="612"/>
      <c r="C764" s="613"/>
      <c r="D764" s="612"/>
      <c r="E764" s="612"/>
      <c r="F764" s="613"/>
      <c r="G764" s="612"/>
      <c r="H764" s="612"/>
      <c r="I764" s="735"/>
      <c r="J764" s="612"/>
      <c r="K764" s="613"/>
      <c r="L764" s="614"/>
      <c r="M764" s="614"/>
      <c r="N764" s="614"/>
      <c r="O764" s="614"/>
      <c r="P764" s="614"/>
      <c r="Q764" s="614"/>
      <c r="R764" s="614"/>
      <c r="S764" s="614"/>
      <c r="T764" s="614"/>
      <c r="U764" s="614"/>
      <c r="V764" s="614"/>
      <c r="W764" s="614"/>
      <c r="X764" s="614"/>
      <c r="Y764" s="614"/>
      <c r="Z764" s="614"/>
      <c r="AA764" s="614"/>
      <c r="AB764" s="614"/>
      <c r="AC764" s="614"/>
      <c r="AJ764" s="614"/>
      <c r="AK764" s="614"/>
      <c r="AL764" s="614"/>
      <c r="AM764" s="614"/>
      <c r="AN764" s="614"/>
      <c r="AO764" s="614"/>
      <c r="AP764" s="616"/>
      <c r="AQ764" s="616"/>
      <c r="AR764" s="616"/>
      <c r="AS764" s="614"/>
      <c r="AT764" s="614"/>
      <c r="AU764" s="614"/>
      <c r="AV764" s="614"/>
      <c r="AW764" s="614"/>
      <c r="AX764" s="614"/>
    </row>
    <row r="765" spans="1:50" x14ac:dyDescent="0.25">
      <c r="A765" s="612"/>
      <c r="B765" s="612"/>
      <c r="C765" s="613"/>
      <c r="D765" s="612"/>
      <c r="E765" s="612"/>
      <c r="F765" s="613"/>
      <c r="G765" s="612"/>
      <c r="H765" s="612"/>
      <c r="I765" s="735"/>
      <c r="J765" s="612"/>
      <c r="K765" s="613"/>
      <c r="L765" s="614"/>
      <c r="M765" s="614"/>
      <c r="N765" s="614"/>
      <c r="O765" s="614"/>
      <c r="P765" s="614"/>
      <c r="Q765" s="614"/>
      <c r="R765" s="614"/>
      <c r="S765" s="614"/>
      <c r="T765" s="614"/>
      <c r="U765" s="614"/>
      <c r="V765" s="614"/>
      <c r="W765" s="614"/>
      <c r="X765" s="614"/>
      <c r="Y765" s="614"/>
      <c r="Z765" s="614"/>
      <c r="AA765" s="614"/>
      <c r="AB765" s="614"/>
      <c r="AC765" s="614"/>
      <c r="AJ765" s="614"/>
      <c r="AK765" s="614"/>
      <c r="AL765" s="614"/>
      <c r="AM765" s="614"/>
      <c r="AN765" s="614"/>
      <c r="AO765" s="614"/>
      <c r="AP765" s="616"/>
      <c r="AQ765" s="616"/>
      <c r="AR765" s="616"/>
      <c r="AS765" s="614"/>
      <c r="AT765" s="614"/>
      <c r="AU765" s="614"/>
      <c r="AV765" s="614"/>
      <c r="AW765" s="614"/>
      <c r="AX765" s="614"/>
    </row>
    <row r="766" spans="1:50" x14ac:dyDescent="0.25">
      <c r="A766" s="612"/>
      <c r="B766" s="612"/>
      <c r="C766" s="613"/>
      <c r="D766" s="612"/>
      <c r="E766" s="612"/>
      <c r="F766" s="613"/>
      <c r="G766" s="612"/>
      <c r="H766" s="612"/>
      <c r="I766" s="735"/>
      <c r="J766" s="612"/>
      <c r="K766" s="613"/>
      <c r="L766" s="614"/>
      <c r="M766" s="614"/>
      <c r="N766" s="614"/>
      <c r="O766" s="614"/>
      <c r="P766" s="614"/>
      <c r="Q766" s="614"/>
      <c r="R766" s="614"/>
      <c r="S766" s="614"/>
      <c r="T766" s="614"/>
      <c r="U766" s="614"/>
      <c r="V766" s="614"/>
      <c r="W766" s="614"/>
      <c r="X766" s="614"/>
      <c r="Y766" s="614"/>
      <c r="Z766" s="614"/>
      <c r="AA766" s="614"/>
      <c r="AB766" s="614"/>
      <c r="AC766" s="614"/>
      <c r="AJ766" s="614"/>
      <c r="AK766" s="614"/>
      <c r="AL766" s="614"/>
      <c r="AM766" s="614"/>
      <c r="AN766" s="614"/>
      <c r="AO766" s="614"/>
      <c r="AP766" s="616"/>
      <c r="AQ766" s="616"/>
      <c r="AR766" s="616"/>
      <c r="AS766" s="614"/>
      <c r="AT766" s="614"/>
      <c r="AU766" s="614"/>
      <c r="AV766" s="614"/>
      <c r="AW766" s="614"/>
      <c r="AX766" s="614"/>
    </row>
    <row r="767" spans="1:50" x14ac:dyDescent="0.25">
      <c r="A767" s="612"/>
      <c r="B767" s="612"/>
      <c r="C767" s="613"/>
      <c r="D767" s="612"/>
      <c r="E767" s="612"/>
      <c r="F767" s="613"/>
      <c r="G767" s="612"/>
      <c r="H767" s="612"/>
      <c r="I767" s="735"/>
      <c r="J767" s="612"/>
      <c r="K767" s="613"/>
      <c r="L767" s="614"/>
      <c r="M767" s="614"/>
      <c r="N767" s="614"/>
      <c r="O767" s="614"/>
      <c r="P767" s="614"/>
      <c r="Q767" s="614"/>
      <c r="R767" s="614"/>
      <c r="S767" s="614"/>
      <c r="T767" s="614"/>
      <c r="U767" s="614"/>
      <c r="V767" s="614"/>
      <c r="W767" s="614"/>
      <c r="X767" s="614"/>
      <c r="Y767" s="614"/>
      <c r="Z767" s="614"/>
      <c r="AA767" s="614"/>
      <c r="AB767" s="614"/>
      <c r="AC767" s="614"/>
      <c r="AJ767" s="614"/>
      <c r="AK767" s="614"/>
      <c r="AL767" s="614"/>
      <c r="AM767" s="614"/>
      <c r="AN767" s="614"/>
      <c r="AO767" s="614"/>
      <c r="AP767" s="616"/>
      <c r="AQ767" s="616"/>
      <c r="AR767" s="616"/>
      <c r="AS767" s="614"/>
      <c r="AT767" s="614"/>
      <c r="AU767" s="614"/>
      <c r="AV767" s="614"/>
      <c r="AW767" s="614"/>
      <c r="AX767" s="614"/>
    </row>
    <row r="768" spans="1:50" x14ac:dyDescent="0.25">
      <c r="A768" s="612"/>
      <c r="B768" s="612"/>
      <c r="C768" s="613"/>
      <c r="D768" s="612"/>
      <c r="E768" s="612"/>
      <c r="F768" s="613"/>
      <c r="G768" s="612"/>
      <c r="H768" s="612"/>
      <c r="I768" s="735"/>
      <c r="J768" s="612"/>
      <c r="K768" s="613"/>
      <c r="L768" s="614"/>
      <c r="M768" s="614"/>
      <c r="N768" s="614"/>
      <c r="O768" s="614"/>
      <c r="P768" s="614"/>
      <c r="Q768" s="614"/>
      <c r="R768" s="614"/>
      <c r="S768" s="614"/>
      <c r="T768" s="614"/>
      <c r="U768" s="614"/>
      <c r="V768" s="614"/>
      <c r="W768" s="614"/>
      <c r="X768" s="614"/>
      <c r="Y768" s="614"/>
      <c r="Z768" s="614"/>
      <c r="AA768" s="614"/>
      <c r="AB768" s="614"/>
      <c r="AC768" s="614"/>
      <c r="AJ768" s="614"/>
      <c r="AK768" s="614"/>
      <c r="AL768" s="614"/>
      <c r="AM768" s="614"/>
      <c r="AN768" s="614"/>
      <c r="AO768" s="614"/>
      <c r="AP768" s="616"/>
      <c r="AQ768" s="616"/>
      <c r="AR768" s="616"/>
      <c r="AS768" s="614"/>
      <c r="AT768" s="614"/>
      <c r="AU768" s="614"/>
      <c r="AV768" s="614"/>
      <c r="AW768" s="614"/>
      <c r="AX768" s="614"/>
    </row>
    <row r="769" spans="1:50" x14ac:dyDescent="0.25">
      <c r="A769" s="612"/>
      <c r="B769" s="612"/>
      <c r="C769" s="613"/>
      <c r="D769" s="612"/>
      <c r="E769" s="612"/>
      <c r="F769" s="613"/>
      <c r="G769" s="612"/>
      <c r="H769" s="612"/>
      <c r="I769" s="735"/>
      <c r="J769" s="612"/>
      <c r="K769" s="613"/>
      <c r="L769" s="614"/>
      <c r="M769" s="614"/>
      <c r="N769" s="614"/>
      <c r="O769" s="614"/>
      <c r="P769" s="614"/>
      <c r="Q769" s="614"/>
      <c r="R769" s="614"/>
      <c r="S769" s="614"/>
      <c r="T769" s="614"/>
      <c r="U769" s="614"/>
      <c r="V769" s="614"/>
      <c r="W769" s="614"/>
      <c r="X769" s="614"/>
      <c r="Y769" s="614"/>
      <c r="Z769" s="614"/>
      <c r="AA769" s="614"/>
      <c r="AB769" s="614"/>
      <c r="AC769" s="614"/>
      <c r="AJ769" s="614"/>
      <c r="AK769" s="614"/>
      <c r="AL769" s="614"/>
      <c r="AM769" s="614"/>
      <c r="AN769" s="614"/>
      <c r="AO769" s="614"/>
      <c r="AP769" s="616"/>
      <c r="AQ769" s="616"/>
      <c r="AR769" s="616"/>
      <c r="AS769" s="614"/>
      <c r="AT769" s="614"/>
      <c r="AU769" s="614"/>
      <c r="AV769" s="614"/>
      <c r="AW769" s="614"/>
      <c r="AX769" s="614"/>
    </row>
    <row r="770" spans="1:50" x14ac:dyDescent="0.25">
      <c r="A770" s="612"/>
      <c r="B770" s="612"/>
      <c r="C770" s="613"/>
      <c r="D770" s="612"/>
      <c r="E770" s="612"/>
      <c r="F770" s="613"/>
      <c r="G770" s="612"/>
      <c r="H770" s="612"/>
      <c r="I770" s="735"/>
      <c r="J770" s="612"/>
      <c r="K770" s="613"/>
      <c r="L770" s="614"/>
      <c r="M770" s="614"/>
      <c r="N770" s="614"/>
      <c r="O770" s="614"/>
      <c r="P770" s="614"/>
      <c r="Q770" s="614"/>
      <c r="R770" s="614"/>
      <c r="S770" s="614"/>
      <c r="T770" s="614"/>
      <c r="U770" s="614"/>
      <c r="V770" s="614"/>
      <c r="W770" s="614"/>
      <c r="X770" s="614"/>
      <c r="Y770" s="614"/>
      <c r="Z770" s="614"/>
      <c r="AA770" s="614"/>
      <c r="AB770" s="614"/>
      <c r="AC770" s="614"/>
      <c r="AJ770" s="614"/>
      <c r="AK770" s="614"/>
      <c r="AL770" s="614"/>
      <c r="AM770" s="614"/>
      <c r="AN770" s="614"/>
      <c r="AO770" s="614"/>
      <c r="AP770" s="616"/>
      <c r="AQ770" s="616"/>
      <c r="AR770" s="616"/>
      <c r="AS770" s="614"/>
      <c r="AT770" s="614"/>
      <c r="AU770" s="614"/>
      <c r="AV770" s="614"/>
      <c r="AW770" s="614"/>
      <c r="AX770" s="614"/>
    </row>
    <row r="771" spans="1:50" x14ac:dyDescent="0.25">
      <c r="A771" s="612"/>
      <c r="B771" s="612"/>
      <c r="C771" s="613"/>
      <c r="D771" s="612"/>
      <c r="E771" s="612"/>
      <c r="F771" s="613"/>
      <c r="G771" s="612"/>
      <c r="H771" s="612"/>
      <c r="I771" s="735"/>
      <c r="J771" s="612"/>
      <c r="K771" s="613"/>
      <c r="L771" s="614"/>
      <c r="M771" s="614"/>
      <c r="N771" s="614"/>
      <c r="O771" s="614"/>
      <c r="P771" s="614"/>
      <c r="Q771" s="614"/>
      <c r="R771" s="614"/>
      <c r="S771" s="614"/>
      <c r="T771" s="614"/>
      <c r="U771" s="614"/>
      <c r="V771" s="614"/>
      <c r="W771" s="614"/>
      <c r="X771" s="614"/>
      <c r="Y771" s="614"/>
      <c r="Z771" s="614"/>
      <c r="AA771" s="614"/>
      <c r="AB771" s="614"/>
      <c r="AC771" s="614"/>
      <c r="AJ771" s="614"/>
      <c r="AK771" s="614"/>
      <c r="AL771" s="614"/>
      <c r="AM771" s="614"/>
      <c r="AN771" s="614"/>
      <c r="AO771" s="614"/>
      <c r="AP771" s="616"/>
      <c r="AQ771" s="616"/>
      <c r="AR771" s="616"/>
      <c r="AS771" s="614"/>
      <c r="AT771" s="614"/>
      <c r="AU771" s="614"/>
      <c r="AV771" s="614"/>
      <c r="AW771" s="614"/>
      <c r="AX771" s="614"/>
    </row>
    <row r="772" spans="1:50" x14ac:dyDescent="0.25">
      <c r="A772" s="612"/>
      <c r="B772" s="612"/>
      <c r="C772" s="613"/>
      <c r="D772" s="612"/>
      <c r="E772" s="612"/>
      <c r="F772" s="613"/>
      <c r="G772" s="612"/>
      <c r="H772" s="612"/>
      <c r="I772" s="735"/>
      <c r="J772" s="612"/>
      <c r="K772" s="613"/>
      <c r="L772" s="614"/>
      <c r="M772" s="614"/>
      <c r="N772" s="614"/>
      <c r="O772" s="614"/>
      <c r="P772" s="614"/>
      <c r="Q772" s="614"/>
      <c r="R772" s="614"/>
      <c r="S772" s="614"/>
      <c r="T772" s="614"/>
      <c r="U772" s="614"/>
      <c r="V772" s="614"/>
      <c r="W772" s="614"/>
      <c r="X772" s="614"/>
      <c r="Y772" s="614"/>
      <c r="Z772" s="614"/>
      <c r="AA772" s="614"/>
      <c r="AB772" s="614"/>
      <c r="AC772" s="614"/>
      <c r="AJ772" s="614"/>
      <c r="AK772" s="614"/>
      <c r="AL772" s="614"/>
      <c r="AM772" s="614"/>
      <c r="AN772" s="614"/>
      <c r="AO772" s="614"/>
      <c r="AP772" s="616"/>
      <c r="AQ772" s="616"/>
      <c r="AR772" s="616"/>
      <c r="AS772" s="614"/>
      <c r="AT772" s="614"/>
      <c r="AU772" s="614"/>
      <c r="AV772" s="614"/>
      <c r="AW772" s="614"/>
      <c r="AX772" s="614"/>
    </row>
    <row r="773" spans="1:50" x14ac:dyDescent="0.25">
      <c r="A773" s="612"/>
      <c r="B773" s="612"/>
      <c r="C773" s="613"/>
      <c r="D773" s="612"/>
      <c r="E773" s="612"/>
      <c r="F773" s="613"/>
      <c r="G773" s="612"/>
      <c r="H773" s="612"/>
      <c r="I773" s="735"/>
      <c r="J773" s="612"/>
      <c r="K773" s="613"/>
      <c r="L773" s="614"/>
      <c r="M773" s="614"/>
      <c r="N773" s="614"/>
      <c r="O773" s="614"/>
      <c r="P773" s="614"/>
      <c r="Q773" s="614"/>
      <c r="R773" s="614"/>
      <c r="S773" s="614"/>
      <c r="T773" s="614"/>
      <c r="U773" s="614"/>
      <c r="V773" s="614"/>
      <c r="W773" s="614"/>
      <c r="X773" s="614"/>
      <c r="Y773" s="614"/>
      <c r="Z773" s="614"/>
      <c r="AA773" s="614"/>
      <c r="AB773" s="614"/>
      <c r="AC773" s="614"/>
      <c r="AJ773" s="614"/>
      <c r="AK773" s="614"/>
      <c r="AL773" s="614"/>
      <c r="AM773" s="614"/>
      <c r="AN773" s="614"/>
      <c r="AO773" s="614"/>
      <c r="AP773" s="616"/>
      <c r="AQ773" s="616"/>
      <c r="AR773" s="616"/>
      <c r="AS773" s="614"/>
      <c r="AT773" s="614"/>
      <c r="AU773" s="614"/>
      <c r="AV773" s="614"/>
      <c r="AW773" s="614"/>
      <c r="AX773" s="614"/>
    </row>
    <row r="774" spans="1:50" x14ac:dyDescent="0.25">
      <c r="A774" s="612"/>
      <c r="B774" s="612"/>
      <c r="C774" s="613"/>
      <c r="D774" s="612"/>
      <c r="E774" s="612"/>
      <c r="F774" s="613"/>
      <c r="G774" s="612"/>
      <c r="H774" s="612"/>
      <c r="I774" s="735"/>
      <c r="J774" s="612"/>
      <c r="K774" s="613"/>
      <c r="L774" s="614"/>
      <c r="M774" s="614"/>
      <c r="N774" s="614"/>
      <c r="O774" s="614"/>
      <c r="P774" s="614"/>
      <c r="Q774" s="614"/>
      <c r="R774" s="614"/>
      <c r="S774" s="614"/>
      <c r="T774" s="614"/>
      <c r="U774" s="614"/>
      <c r="V774" s="614"/>
      <c r="W774" s="614"/>
      <c r="X774" s="614"/>
      <c r="Y774" s="614"/>
      <c r="Z774" s="614"/>
      <c r="AA774" s="614"/>
      <c r="AB774" s="614"/>
      <c r="AC774" s="614"/>
      <c r="AJ774" s="614"/>
      <c r="AK774" s="614"/>
      <c r="AL774" s="614"/>
      <c r="AM774" s="614"/>
      <c r="AN774" s="614"/>
      <c r="AO774" s="614"/>
      <c r="AP774" s="616"/>
      <c r="AQ774" s="616"/>
      <c r="AR774" s="616"/>
      <c r="AS774" s="614"/>
      <c r="AT774" s="614"/>
      <c r="AU774" s="614"/>
      <c r="AV774" s="614"/>
      <c r="AW774" s="614"/>
      <c r="AX774" s="614"/>
    </row>
    <row r="775" spans="1:50" x14ac:dyDescent="0.25">
      <c r="A775" s="612"/>
      <c r="B775" s="612"/>
      <c r="C775" s="613"/>
      <c r="D775" s="612"/>
      <c r="E775" s="612"/>
      <c r="F775" s="613"/>
      <c r="G775" s="612"/>
      <c r="H775" s="612"/>
      <c r="I775" s="735"/>
      <c r="J775" s="612"/>
      <c r="K775" s="613"/>
      <c r="L775" s="614"/>
      <c r="M775" s="614"/>
      <c r="N775" s="614"/>
      <c r="O775" s="614"/>
      <c r="P775" s="614"/>
      <c r="Q775" s="614"/>
      <c r="R775" s="614"/>
      <c r="S775" s="614"/>
      <c r="T775" s="614"/>
      <c r="U775" s="614"/>
      <c r="V775" s="614"/>
      <c r="W775" s="614"/>
      <c r="X775" s="614"/>
      <c r="Y775" s="614"/>
      <c r="Z775" s="614"/>
      <c r="AA775" s="614"/>
      <c r="AB775" s="614"/>
      <c r="AC775" s="614"/>
      <c r="AJ775" s="614"/>
      <c r="AK775" s="614"/>
      <c r="AL775" s="614"/>
      <c r="AM775" s="614"/>
      <c r="AN775" s="614"/>
      <c r="AO775" s="614"/>
      <c r="AP775" s="616"/>
      <c r="AQ775" s="616"/>
      <c r="AR775" s="616"/>
      <c r="AS775" s="614"/>
      <c r="AT775" s="614"/>
      <c r="AU775" s="614"/>
      <c r="AV775" s="614"/>
      <c r="AW775" s="614"/>
      <c r="AX775" s="614"/>
    </row>
    <row r="776" spans="1:50" x14ac:dyDescent="0.25">
      <c r="A776" s="612"/>
      <c r="B776" s="612"/>
      <c r="C776" s="613"/>
      <c r="D776" s="612"/>
      <c r="E776" s="612"/>
      <c r="F776" s="613"/>
      <c r="G776" s="612"/>
      <c r="H776" s="612"/>
      <c r="I776" s="735"/>
      <c r="J776" s="612"/>
      <c r="K776" s="613"/>
      <c r="L776" s="614"/>
      <c r="M776" s="614"/>
      <c r="N776" s="614"/>
      <c r="O776" s="614"/>
      <c r="P776" s="614"/>
      <c r="Q776" s="614"/>
      <c r="R776" s="614"/>
      <c r="S776" s="614"/>
      <c r="T776" s="614"/>
      <c r="U776" s="614"/>
      <c r="V776" s="614"/>
      <c r="W776" s="614"/>
      <c r="X776" s="614"/>
      <c r="Y776" s="614"/>
      <c r="Z776" s="614"/>
      <c r="AA776" s="614"/>
      <c r="AB776" s="614"/>
      <c r="AC776" s="614"/>
      <c r="AJ776" s="614"/>
      <c r="AK776" s="614"/>
      <c r="AL776" s="614"/>
      <c r="AM776" s="614"/>
      <c r="AN776" s="614"/>
      <c r="AO776" s="614"/>
      <c r="AP776" s="616"/>
      <c r="AQ776" s="616"/>
      <c r="AR776" s="616"/>
      <c r="AS776" s="614"/>
      <c r="AT776" s="614"/>
      <c r="AU776" s="614"/>
      <c r="AV776" s="614"/>
      <c r="AW776" s="614"/>
      <c r="AX776" s="614"/>
    </row>
    <row r="777" spans="1:50" x14ac:dyDescent="0.25">
      <c r="A777" s="612"/>
      <c r="B777" s="612"/>
      <c r="C777" s="613"/>
      <c r="D777" s="612"/>
      <c r="E777" s="612"/>
      <c r="F777" s="613"/>
      <c r="G777" s="612"/>
      <c r="H777" s="612"/>
      <c r="I777" s="735"/>
      <c r="J777" s="612"/>
      <c r="K777" s="613"/>
      <c r="L777" s="614"/>
      <c r="M777" s="614"/>
      <c r="N777" s="614"/>
      <c r="O777" s="614"/>
      <c r="P777" s="614"/>
      <c r="Q777" s="614"/>
      <c r="R777" s="614"/>
      <c r="S777" s="614"/>
      <c r="T777" s="614"/>
      <c r="U777" s="614"/>
      <c r="V777" s="614"/>
      <c r="W777" s="614"/>
      <c r="X777" s="614"/>
      <c r="Y777" s="614"/>
      <c r="Z777" s="614"/>
      <c r="AA777" s="614"/>
      <c r="AB777" s="614"/>
      <c r="AC777" s="614"/>
      <c r="AJ777" s="614"/>
      <c r="AK777" s="614"/>
      <c r="AL777" s="614"/>
      <c r="AM777" s="614"/>
      <c r="AN777" s="614"/>
      <c r="AO777" s="614"/>
      <c r="AP777" s="616"/>
      <c r="AQ777" s="616"/>
      <c r="AR777" s="616"/>
      <c r="AS777" s="614"/>
      <c r="AT777" s="614"/>
      <c r="AU777" s="614"/>
      <c r="AV777" s="614"/>
      <c r="AW777" s="614"/>
      <c r="AX777" s="614"/>
    </row>
    <row r="778" spans="1:50" x14ac:dyDescent="0.25">
      <c r="A778" s="612"/>
      <c r="B778" s="612"/>
      <c r="C778" s="613"/>
      <c r="D778" s="612"/>
      <c r="E778" s="612"/>
      <c r="F778" s="613"/>
      <c r="G778" s="612"/>
      <c r="H778" s="612"/>
      <c r="I778" s="735"/>
      <c r="J778" s="612"/>
      <c r="K778" s="613"/>
      <c r="L778" s="614"/>
      <c r="M778" s="614"/>
      <c r="N778" s="614"/>
      <c r="O778" s="614"/>
      <c r="P778" s="614"/>
      <c r="Q778" s="614"/>
      <c r="R778" s="614"/>
      <c r="S778" s="614"/>
      <c r="T778" s="614"/>
      <c r="U778" s="614"/>
      <c r="V778" s="614"/>
      <c r="W778" s="614"/>
      <c r="X778" s="614"/>
      <c r="Y778" s="614"/>
      <c r="Z778" s="614"/>
      <c r="AA778" s="614"/>
      <c r="AB778" s="614"/>
      <c r="AC778" s="614"/>
      <c r="AJ778" s="614"/>
      <c r="AK778" s="614"/>
      <c r="AL778" s="614"/>
      <c r="AM778" s="614"/>
      <c r="AN778" s="614"/>
      <c r="AO778" s="614"/>
      <c r="AP778" s="616"/>
      <c r="AQ778" s="616"/>
      <c r="AR778" s="616"/>
      <c r="AS778" s="614"/>
      <c r="AT778" s="614"/>
      <c r="AU778" s="614"/>
      <c r="AV778" s="614"/>
      <c r="AW778" s="614"/>
      <c r="AX778" s="614"/>
    </row>
    <row r="779" spans="1:50" x14ac:dyDescent="0.25">
      <c r="A779" s="612"/>
      <c r="B779" s="612"/>
      <c r="C779" s="613"/>
      <c r="D779" s="612"/>
      <c r="E779" s="612"/>
      <c r="F779" s="613"/>
      <c r="G779" s="612"/>
      <c r="H779" s="612"/>
      <c r="I779" s="735"/>
      <c r="J779" s="612"/>
      <c r="K779" s="613"/>
      <c r="L779" s="614"/>
      <c r="M779" s="614"/>
      <c r="N779" s="614"/>
      <c r="O779" s="614"/>
      <c r="P779" s="614"/>
      <c r="Q779" s="614"/>
      <c r="R779" s="614"/>
      <c r="S779" s="614"/>
      <c r="T779" s="614"/>
      <c r="U779" s="614"/>
      <c r="V779" s="614"/>
      <c r="W779" s="614"/>
      <c r="X779" s="614"/>
      <c r="Y779" s="614"/>
      <c r="Z779" s="614"/>
      <c r="AA779" s="614"/>
      <c r="AB779" s="614"/>
      <c r="AC779" s="614"/>
      <c r="AJ779" s="614"/>
      <c r="AK779" s="614"/>
      <c r="AL779" s="614"/>
      <c r="AM779" s="614"/>
      <c r="AN779" s="614"/>
      <c r="AO779" s="614"/>
      <c r="AP779" s="616"/>
      <c r="AQ779" s="616"/>
      <c r="AR779" s="616"/>
      <c r="AS779" s="614"/>
      <c r="AT779" s="614"/>
      <c r="AU779" s="614"/>
      <c r="AV779" s="614"/>
      <c r="AW779" s="614"/>
      <c r="AX779" s="614"/>
    </row>
    <row r="780" spans="1:50" x14ac:dyDescent="0.25">
      <c r="A780" s="612"/>
      <c r="B780" s="612"/>
      <c r="C780" s="613"/>
      <c r="D780" s="612"/>
      <c r="E780" s="612"/>
      <c r="F780" s="613"/>
      <c r="G780" s="612"/>
      <c r="H780" s="612"/>
      <c r="I780" s="735"/>
      <c r="J780" s="612"/>
      <c r="K780" s="613"/>
      <c r="L780" s="614"/>
      <c r="M780" s="614"/>
      <c r="N780" s="614"/>
      <c r="O780" s="614"/>
      <c r="P780" s="614"/>
      <c r="Q780" s="614"/>
      <c r="R780" s="614"/>
      <c r="S780" s="614"/>
      <c r="T780" s="614"/>
      <c r="U780" s="614"/>
      <c r="V780" s="614"/>
      <c r="W780" s="614"/>
      <c r="X780" s="614"/>
      <c r="Y780" s="614"/>
      <c r="Z780" s="614"/>
      <c r="AA780" s="614"/>
      <c r="AB780" s="614"/>
      <c r="AC780" s="614"/>
      <c r="AJ780" s="614"/>
      <c r="AK780" s="614"/>
      <c r="AL780" s="614"/>
      <c r="AM780" s="614"/>
      <c r="AN780" s="614"/>
      <c r="AO780" s="614"/>
      <c r="AP780" s="616"/>
      <c r="AQ780" s="616"/>
      <c r="AR780" s="616"/>
      <c r="AS780" s="614"/>
      <c r="AT780" s="614"/>
      <c r="AU780" s="614"/>
      <c r="AV780" s="614"/>
      <c r="AW780" s="614"/>
      <c r="AX780" s="614"/>
    </row>
    <row r="781" spans="1:50" x14ac:dyDescent="0.25">
      <c r="A781" s="612"/>
      <c r="B781" s="612"/>
      <c r="C781" s="613"/>
      <c r="D781" s="612"/>
      <c r="E781" s="612"/>
      <c r="F781" s="613"/>
      <c r="G781" s="612"/>
      <c r="H781" s="612"/>
      <c r="I781" s="735"/>
      <c r="J781" s="612"/>
      <c r="K781" s="613"/>
      <c r="L781" s="614"/>
      <c r="M781" s="614"/>
      <c r="N781" s="614"/>
      <c r="O781" s="614"/>
      <c r="P781" s="614"/>
      <c r="Q781" s="614"/>
      <c r="R781" s="614"/>
      <c r="S781" s="614"/>
      <c r="T781" s="614"/>
      <c r="U781" s="614"/>
      <c r="V781" s="614"/>
      <c r="W781" s="614"/>
      <c r="X781" s="614"/>
      <c r="Y781" s="614"/>
      <c r="Z781" s="614"/>
      <c r="AA781" s="614"/>
      <c r="AB781" s="614"/>
      <c r="AC781" s="614"/>
      <c r="AJ781" s="614"/>
      <c r="AK781" s="614"/>
      <c r="AL781" s="614"/>
      <c r="AM781" s="614"/>
      <c r="AN781" s="614"/>
      <c r="AO781" s="614"/>
      <c r="AP781" s="616"/>
      <c r="AQ781" s="616"/>
      <c r="AR781" s="616"/>
      <c r="AS781" s="614"/>
      <c r="AT781" s="614"/>
      <c r="AU781" s="614"/>
      <c r="AV781" s="614"/>
      <c r="AW781" s="614"/>
      <c r="AX781" s="614"/>
    </row>
    <row r="782" spans="1:50" x14ac:dyDescent="0.25">
      <c r="A782" s="612"/>
      <c r="B782" s="612"/>
      <c r="C782" s="613"/>
      <c r="D782" s="612"/>
      <c r="E782" s="612"/>
      <c r="F782" s="613"/>
      <c r="G782" s="612"/>
      <c r="H782" s="612"/>
      <c r="I782" s="735"/>
      <c r="J782" s="612"/>
      <c r="K782" s="613"/>
      <c r="L782" s="614"/>
      <c r="M782" s="614"/>
      <c r="N782" s="614"/>
      <c r="O782" s="614"/>
      <c r="P782" s="614"/>
      <c r="Q782" s="614"/>
      <c r="R782" s="614"/>
      <c r="S782" s="614"/>
      <c r="T782" s="614"/>
      <c r="U782" s="614"/>
      <c r="V782" s="614"/>
      <c r="W782" s="614"/>
      <c r="X782" s="614"/>
      <c r="Y782" s="614"/>
      <c r="Z782" s="614"/>
      <c r="AA782" s="614"/>
      <c r="AB782" s="614"/>
      <c r="AC782" s="614"/>
      <c r="AJ782" s="614"/>
      <c r="AK782" s="614"/>
      <c r="AL782" s="614"/>
      <c r="AM782" s="614"/>
      <c r="AN782" s="614"/>
      <c r="AO782" s="614"/>
      <c r="AP782" s="616"/>
      <c r="AQ782" s="616"/>
      <c r="AR782" s="616"/>
      <c r="AS782" s="614"/>
      <c r="AT782" s="614"/>
      <c r="AU782" s="614"/>
      <c r="AV782" s="614"/>
      <c r="AW782" s="614"/>
      <c r="AX782" s="614"/>
    </row>
    <row r="783" spans="1:50" x14ac:dyDescent="0.25">
      <c r="A783" s="612"/>
      <c r="B783" s="612"/>
      <c r="C783" s="613"/>
      <c r="D783" s="612"/>
      <c r="E783" s="612"/>
      <c r="F783" s="613"/>
      <c r="G783" s="612"/>
      <c r="H783" s="612"/>
      <c r="I783" s="735"/>
      <c r="J783" s="612"/>
      <c r="K783" s="613"/>
      <c r="L783" s="614"/>
      <c r="M783" s="614"/>
      <c r="N783" s="614"/>
      <c r="O783" s="614"/>
      <c r="P783" s="614"/>
      <c r="Q783" s="614"/>
      <c r="R783" s="614"/>
      <c r="S783" s="614"/>
      <c r="T783" s="614"/>
      <c r="U783" s="614"/>
      <c r="V783" s="614"/>
      <c r="W783" s="614"/>
      <c r="X783" s="614"/>
      <c r="Y783" s="614"/>
      <c r="Z783" s="614"/>
      <c r="AA783" s="614"/>
      <c r="AB783" s="614"/>
      <c r="AC783" s="614"/>
      <c r="AJ783" s="614"/>
      <c r="AK783" s="614"/>
      <c r="AL783" s="614"/>
      <c r="AM783" s="614"/>
      <c r="AN783" s="614"/>
      <c r="AO783" s="614"/>
      <c r="AP783" s="616"/>
      <c r="AQ783" s="616"/>
      <c r="AR783" s="616"/>
      <c r="AS783" s="614"/>
      <c r="AT783" s="614"/>
      <c r="AU783" s="614"/>
      <c r="AV783" s="614"/>
      <c r="AW783" s="614"/>
      <c r="AX783" s="614"/>
    </row>
    <row r="784" spans="1:50" x14ac:dyDescent="0.25">
      <c r="A784" s="612"/>
      <c r="B784" s="612"/>
      <c r="C784" s="613"/>
      <c r="D784" s="612"/>
      <c r="E784" s="612"/>
      <c r="F784" s="613"/>
      <c r="G784" s="612"/>
      <c r="H784" s="612"/>
      <c r="I784" s="735"/>
      <c r="J784" s="612"/>
      <c r="K784" s="613"/>
      <c r="L784" s="614"/>
      <c r="M784" s="614"/>
      <c r="N784" s="614"/>
      <c r="O784" s="614"/>
      <c r="P784" s="614"/>
      <c r="Q784" s="614"/>
      <c r="R784" s="614"/>
      <c r="S784" s="614"/>
      <c r="T784" s="614"/>
      <c r="U784" s="614"/>
      <c r="V784" s="614"/>
      <c r="W784" s="614"/>
      <c r="X784" s="614"/>
      <c r="Y784" s="614"/>
      <c r="Z784" s="614"/>
      <c r="AA784" s="614"/>
      <c r="AB784" s="614"/>
      <c r="AC784" s="614"/>
      <c r="AJ784" s="614"/>
      <c r="AK784" s="614"/>
      <c r="AL784" s="614"/>
      <c r="AM784" s="614"/>
      <c r="AN784" s="614"/>
      <c r="AO784" s="614"/>
      <c r="AP784" s="616"/>
      <c r="AQ784" s="616"/>
      <c r="AR784" s="616"/>
      <c r="AS784" s="614"/>
      <c r="AT784" s="614"/>
      <c r="AU784" s="614"/>
      <c r="AV784" s="614"/>
      <c r="AW784" s="614"/>
      <c r="AX784" s="614"/>
    </row>
    <row r="785" spans="1:50" x14ac:dyDescent="0.25">
      <c r="A785" s="612"/>
      <c r="B785" s="612"/>
      <c r="C785" s="613"/>
      <c r="D785" s="612"/>
      <c r="E785" s="612"/>
      <c r="F785" s="613"/>
      <c r="G785" s="612"/>
      <c r="H785" s="612"/>
      <c r="I785" s="735"/>
      <c r="J785" s="612"/>
      <c r="K785" s="613"/>
      <c r="L785" s="614"/>
      <c r="M785" s="614"/>
      <c r="N785" s="614"/>
      <c r="O785" s="614"/>
      <c r="P785" s="614"/>
      <c r="Q785" s="614"/>
      <c r="R785" s="614"/>
      <c r="S785" s="614"/>
      <c r="T785" s="614"/>
      <c r="U785" s="614"/>
      <c r="V785" s="614"/>
      <c r="W785" s="614"/>
      <c r="X785" s="614"/>
      <c r="Y785" s="614"/>
      <c r="Z785" s="614"/>
      <c r="AA785" s="614"/>
      <c r="AB785" s="614"/>
      <c r="AC785" s="614"/>
      <c r="AJ785" s="614"/>
      <c r="AK785" s="614"/>
      <c r="AL785" s="614"/>
      <c r="AM785" s="614"/>
      <c r="AN785" s="614"/>
      <c r="AO785" s="614"/>
      <c r="AP785" s="616"/>
      <c r="AQ785" s="616"/>
      <c r="AR785" s="616"/>
      <c r="AS785" s="614"/>
      <c r="AT785" s="614"/>
      <c r="AU785" s="614"/>
      <c r="AV785" s="614"/>
      <c r="AW785" s="614"/>
      <c r="AX785" s="614"/>
    </row>
    <row r="786" spans="1:50" x14ac:dyDescent="0.25">
      <c r="A786" s="612"/>
      <c r="B786" s="612"/>
      <c r="C786" s="613"/>
      <c r="D786" s="612"/>
      <c r="E786" s="612"/>
      <c r="F786" s="613"/>
      <c r="G786" s="612"/>
      <c r="H786" s="612"/>
      <c r="I786" s="735"/>
      <c r="J786" s="612"/>
      <c r="K786" s="613"/>
      <c r="L786" s="614"/>
      <c r="M786" s="614"/>
      <c r="N786" s="614"/>
      <c r="O786" s="614"/>
      <c r="P786" s="614"/>
      <c r="Q786" s="614"/>
      <c r="R786" s="614"/>
      <c r="S786" s="614"/>
      <c r="T786" s="614"/>
      <c r="U786" s="614"/>
      <c r="V786" s="614"/>
      <c r="W786" s="614"/>
      <c r="X786" s="614"/>
      <c r="Y786" s="614"/>
      <c r="Z786" s="614"/>
      <c r="AA786" s="614"/>
      <c r="AB786" s="614"/>
      <c r="AC786" s="614"/>
      <c r="AJ786" s="614"/>
      <c r="AK786" s="614"/>
      <c r="AL786" s="614"/>
      <c r="AM786" s="614"/>
      <c r="AN786" s="614"/>
      <c r="AO786" s="614"/>
      <c r="AP786" s="616"/>
      <c r="AQ786" s="616"/>
      <c r="AR786" s="616"/>
      <c r="AS786" s="614"/>
      <c r="AT786" s="614"/>
      <c r="AU786" s="614"/>
      <c r="AV786" s="614"/>
      <c r="AW786" s="614"/>
      <c r="AX786" s="614"/>
    </row>
    <row r="787" spans="1:50" x14ac:dyDescent="0.25">
      <c r="A787" s="612"/>
      <c r="B787" s="612"/>
      <c r="C787" s="613"/>
      <c r="D787" s="612"/>
      <c r="E787" s="612"/>
      <c r="F787" s="613"/>
      <c r="G787" s="612"/>
      <c r="H787" s="612"/>
      <c r="I787" s="735"/>
      <c r="J787" s="612"/>
      <c r="K787" s="613"/>
      <c r="L787" s="614"/>
      <c r="M787" s="614"/>
      <c r="N787" s="614"/>
      <c r="O787" s="614"/>
      <c r="P787" s="614"/>
      <c r="Q787" s="614"/>
      <c r="R787" s="614"/>
      <c r="S787" s="614"/>
      <c r="T787" s="614"/>
      <c r="U787" s="614"/>
      <c r="V787" s="614"/>
      <c r="W787" s="614"/>
      <c r="X787" s="614"/>
      <c r="Y787" s="614"/>
      <c r="Z787" s="614"/>
      <c r="AA787" s="614"/>
      <c r="AB787" s="614"/>
      <c r="AC787" s="614"/>
      <c r="AJ787" s="614"/>
      <c r="AK787" s="614"/>
      <c r="AL787" s="614"/>
      <c r="AM787" s="614"/>
      <c r="AN787" s="614"/>
      <c r="AO787" s="614"/>
      <c r="AP787" s="616"/>
      <c r="AQ787" s="616"/>
      <c r="AR787" s="616"/>
      <c r="AS787" s="614"/>
      <c r="AT787" s="614"/>
      <c r="AU787" s="614"/>
      <c r="AV787" s="614"/>
      <c r="AW787" s="614"/>
      <c r="AX787" s="614"/>
    </row>
    <row r="788" spans="1:50" x14ac:dyDescent="0.25">
      <c r="A788" s="612"/>
      <c r="B788" s="612"/>
      <c r="C788" s="613"/>
      <c r="D788" s="612"/>
      <c r="E788" s="612"/>
      <c r="F788" s="613"/>
      <c r="G788" s="612"/>
      <c r="H788" s="612"/>
      <c r="I788" s="735"/>
      <c r="J788" s="612"/>
      <c r="K788" s="613"/>
      <c r="L788" s="614"/>
      <c r="M788" s="614"/>
      <c r="N788" s="614"/>
      <c r="O788" s="614"/>
      <c r="P788" s="614"/>
      <c r="Q788" s="614"/>
      <c r="R788" s="614"/>
      <c r="S788" s="614"/>
      <c r="T788" s="614"/>
      <c r="U788" s="614"/>
      <c r="V788" s="614"/>
      <c r="W788" s="614"/>
      <c r="X788" s="614"/>
      <c r="Y788" s="614"/>
      <c r="Z788" s="614"/>
      <c r="AA788" s="614"/>
      <c r="AB788" s="614"/>
      <c r="AC788" s="614"/>
      <c r="AJ788" s="614"/>
      <c r="AK788" s="614"/>
      <c r="AL788" s="614"/>
      <c r="AM788" s="614"/>
      <c r="AN788" s="614"/>
      <c r="AO788" s="614"/>
      <c r="AP788" s="616"/>
      <c r="AQ788" s="616"/>
      <c r="AR788" s="616"/>
      <c r="AS788" s="614"/>
      <c r="AT788" s="614"/>
      <c r="AU788" s="614"/>
      <c r="AV788" s="614"/>
      <c r="AW788" s="614"/>
      <c r="AX788" s="614"/>
    </row>
    <row r="789" spans="1:50" x14ac:dyDescent="0.25">
      <c r="A789" s="612"/>
      <c r="B789" s="612"/>
      <c r="C789" s="613"/>
      <c r="D789" s="612"/>
      <c r="E789" s="612"/>
      <c r="F789" s="613"/>
      <c r="G789" s="612"/>
      <c r="H789" s="612"/>
      <c r="I789" s="735"/>
      <c r="J789" s="612"/>
      <c r="K789" s="613"/>
      <c r="L789" s="614"/>
      <c r="M789" s="614"/>
      <c r="N789" s="614"/>
      <c r="O789" s="614"/>
      <c r="P789" s="614"/>
      <c r="Q789" s="614"/>
      <c r="R789" s="614"/>
      <c r="S789" s="614"/>
      <c r="T789" s="614"/>
      <c r="U789" s="614"/>
      <c r="V789" s="614"/>
      <c r="W789" s="614"/>
      <c r="X789" s="614"/>
      <c r="Y789" s="614"/>
      <c r="Z789" s="614"/>
      <c r="AA789" s="614"/>
      <c r="AB789" s="614"/>
      <c r="AC789" s="614"/>
      <c r="AJ789" s="614"/>
      <c r="AK789" s="614"/>
      <c r="AL789" s="614"/>
      <c r="AM789" s="614"/>
      <c r="AN789" s="614"/>
      <c r="AO789" s="614"/>
      <c r="AP789" s="616"/>
      <c r="AQ789" s="616"/>
      <c r="AR789" s="616"/>
      <c r="AS789" s="614"/>
      <c r="AT789" s="614"/>
      <c r="AU789" s="614"/>
      <c r="AV789" s="614"/>
      <c r="AW789" s="614"/>
      <c r="AX789" s="614"/>
    </row>
    <row r="790" spans="1:50" x14ac:dyDescent="0.25">
      <c r="A790" s="612"/>
      <c r="B790" s="612"/>
      <c r="C790" s="613"/>
      <c r="D790" s="612"/>
      <c r="E790" s="612"/>
      <c r="F790" s="613"/>
      <c r="G790" s="612"/>
      <c r="H790" s="612"/>
      <c r="I790" s="735"/>
      <c r="J790" s="612"/>
      <c r="K790" s="613"/>
      <c r="L790" s="614"/>
      <c r="M790" s="614"/>
      <c r="N790" s="614"/>
      <c r="O790" s="614"/>
      <c r="P790" s="614"/>
      <c r="Q790" s="614"/>
      <c r="R790" s="614"/>
      <c r="S790" s="614"/>
      <c r="T790" s="614"/>
      <c r="U790" s="614"/>
      <c r="V790" s="614"/>
      <c r="W790" s="614"/>
      <c r="X790" s="614"/>
      <c r="Y790" s="614"/>
      <c r="Z790" s="614"/>
      <c r="AA790" s="614"/>
      <c r="AB790" s="614"/>
      <c r="AC790" s="614"/>
      <c r="AJ790" s="614"/>
      <c r="AK790" s="614"/>
      <c r="AL790" s="614"/>
      <c r="AM790" s="614"/>
      <c r="AN790" s="614"/>
      <c r="AO790" s="614"/>
      <c r="AP790" s="616"/>
      <c r="AQ790" s="616"/>
      <c r="AR790" s="616"/>
      <c r="AS790" s="614"/>
      <c r="AT790" s="614"/>
      <c r="AU790" s="614"/>
      <c r="AV790" s="614"/>
      <c r="AW790" s="614"/>
      <c r="AX790" s="614"/>
    </row>
    <row r="791" spans="1:50" x14ac:dyDescent="0.25">
      <c r="A791" s="612"/>
      <c r="B791" s="612"/>
      <c r="C791" s="613"/>
      <c r="D791" s="612"/>
      <c r="E791" s="612"/>
      <c r="F791" s="613"/>
      <c r="G791" s="612"/>
      <c r="H791" s="612"/>
      <c r="I791" s="735"/>
      <c r="J791" s="612"/>
      <c r="K791" s="613"/>
      <c r="L791" s="614"/>
      <c r="M791" s="614"/>
      <c r="N791" s="614"/>
      <c r="O791" s="614"/>
      <c r="P791" s="614"/>
      <c r="Q791" s="614"/>
      <c r="R791" s="614"/>
      <c r="S791" s="614"/>
      <c r="T791" s="614"/>
      <c r="U791" s="614"/>
      <c r="V791" s="614"/>
      <c r="W791" s="614"/>
      <c r="X791" s="614"/>
      <c r="Y791" s="614"/>
      <c r="Z791" s="614"/>
      <c r="AA791" s="614"/>
      <c r="AB791" s="614"/>
      <c r="AC791" s="614"/>
      <c r="AJ791" s="614"/>
      <c r="AK791" s="614"/>
      <c r="AL791" s="614"/>
      <c r="AM791" s="614"/>
      <c r="AN791" s="614"/>
      <c r="AO791" s="614"/>
      <c r="AP791" s="616"/>
      <c r="AQ791" s="616"/>
      <c r="AR791" s="616"/>
      <c r="AS791" s="614"/>
      <c r="AT791" s="614"/>
      <c r="AU791" s="614"/>
      <c r="AV791" s="614"/>
      <c r="AW791" s="614"/>
      <c r="AX791" s="614"/>
    </row>
    <row r="792" spans="1:50" x14ac:dyDescent="0.25">
      <c r="A792" s="612"/>
      <c r="B792" s="612"/>
      <c r="C792" s="613"/>
      <c r="D792" s="612"/>
      <c r="E792" s="612"/>
      <c r="F792" s="613"/>
      <c r="G792" s="612"/>
      <c r="H792" s="612"/>
      <c r="I792" s="735"/>
      <c r="J792" s="612"/>
      <c r="K792" s="613"/>
      <c r="L792" s="614"/>
      <c r="M792" s="614"/>
      <c r="N792" s="614"/>
      <c r="O792" s="614"/>
      <c r="P792" s="614"/>
      <c r="Q792" s="614"/>
      <c r="R792" s="614"/>
      <c r="S792" s="614"/>
      <c r="T792" s="614"/>
      <c r="U792" s="614"/>
      <c r="V792" s="614"/>
      <c r="W792" s="614"/>
      <c r="X792" s="614"/>
      <c r="Y792" s="614"/>
      <c r="Z792" s="614"/>
      <c r="AA792" s="614"/>
      <c r="AB792" s="614"/>
      <c r="AC792" s="614"/>
      <c r="AJ792" s="614"/>
      <c r="AK792" s="614"/>
      <c r="AL792" s="614"/>
      <c r="AM792" s="614"/>
      <c r="AN792" s="614"/>
      <c r="AO792" s="614"/>
      <c r="AP792" s="616"/>
      <c r="AQ792" s="616"/>
      <c r="AR792" s="616"/>
      <c r="AS792" s="614"/>
      <c r="AT792" s="614"/>
      <c r="AU792" s="614"/>
      <c r="AV792" s="614"/>
      <c r="AW792" s="614"/>
      <c r="AX792" s="614"/>
    </row>
    <row r="793" spans="1:50" x14ac:dyDescent="0.25">
      <c r="A793" s="612"/>
      <c r="B793" s="612"/>
      <c r="C793" s="613"/>
      <c r="D793" s="612"/>
      <c r="E793" s="612"/>
      <c r="F793" s="613"/>
      <c r="G793" s="612"/>
      <c r="H793" s="612"/>
      <c r="I793" s="735"/>
      <c r="J793" s="612"/>
      <c r="K793" s="613"/>
      <c r="L793" s="614"/>
      <c r="M793" s="614"/>
      <c r="N793" s="614"/>
      <c r="O793" s="614"/>
      <c r="P793" s="614"/>
      <c r="Q793" s="614"/>
      <c r="R793" s="614"/>
      <c r="S793" s="614"/>
      <c r="T793" s="614"/>
      <c r="U793" s="614"/>
      <c r="V793" s="614"/>
      <c r="W793" s="614"/>
      <c r="X793" s="614"/>
      <c r="Y793" s="614"/>
      <c r="Z793" s="614"/>
      <c r="AA793" s="614"/>
      <c r="AB793" s="614"/>
      <c r="AC793" s="614"/>
      <c r="AJ793" s="614"/>
      <c r="AK793" s="614"/>
      <c r="AL793" s="614"/>
      <c r="AM793" s="614"/>
      <c r="AN793" s="614"/>
      <c r="AO793" s="614"/>
      <c r="AP793" s="616"/>
      <c r="AQ793" s="616"/>
      <c r="AR793" s="616"/>
      <c r="AS793" s="614"/>
      <c r="AT793" s="614"/>
      <c r="AU793" s="614"/>
      <c r="AV793" s="614"/>
      <c r="AW793" s="614"/>
      <c r="AX793" s="614"/>
    </row>
    <row r="794" spans="1:50" x14ac:dyDescent="0.25">
      <c r="A794" s="612"/>
      <c r="B794" s="612"/>
      <c r="C794" s="613"/>
      <c r="D794" s="612"/>
      <c r="E794" s="612"/>
      <c r="F794" s="613"/>
      <c r="G794" s="612"/>
      <c r="H794" s="612"/>
      <c r="I794" s="735"/>
      <c r="J794" s="612"/>
      <c r="K794" s="613"/>
      <c r="L794" s="614"/>
      <c r="M794" s="614"/>
      <c r="N794" s="614"/>
      <c r="O794" s="614"/>
      <c r="P794" s="614"/>
      <c r="Q794" s="614"/>
      <c r="R794" s="614"/>
      <c r="S794" s="614"/>
      <c r="T794" s="614"/>
      <c r="U794" s="614"/>
      <c r="V794" s="614"/>
      <c r="W794" s="614"/>
      <c r="X794" s="614"/>
      <c r="Y794" s="614"/>
      <c r="Z794" s="614"/>
      <c r="AA794" s="614"/>
      <c r="AB794" s="614"/>
      <c r="AC794" s="614"/>
      <c r="AJ794" s="614"/>
      <c r="AK794" s="614"/>
      <c r="AL794" s="614"/>
      <c r="AM794" s="614"/>
      <c r="AN794" s="614"/>
      <c r="AO794" s="614"/>
      <c r="AP794" s="616"/>
      <c r="AQ794" s="616"/>
      <c r="AR794" s="616"/>
      <c r="AS794" s="614"/>
      <c r="AT794" s="614"/>
      <c r="AU794" s="614"/>
      <c r="AV794" s="614"/>
      <c r="AW794" s="614"/>
      <c r="AX794" s="614"/>
    </row>
    <row r="795" spans="1:50" x14ac:dyDescent="0.25">
      <c r="A795" s="612"/>
      <c r="B795" s="612"/>
      <c r="C795" s="613"/>
      <c r="D795" s="612"/>
      <c r="E795" s="612"/>
      <c r="F795" s="613"/>
      <c r="G795" s="612"/>
      <c r="H795" s="612"/>
      <c r="I795" s="735"/>
      <c r="J795" s="612"/>
      <c r="K795" s="613"/>
      <c r="L795" s="614"/>
      <c r="M795" s="614"/>
      <c r="N795" s="614"/>
      <c r="O795" s="614"/>
      <c r="P795" s="614"/>
      <c r="Q795" s="614"/>
      <c r="R795" s="614"/>
      <c r="S795" s="614"/>
      <c r="T795" s="614"/>
      <c r="U795" s="614"/>
      <c r="V795" s="614"/>
      <c r="W795" s="614"/>
      <c r="X795" s="614"/>
      <c r="Y795" s="614"/>
      <c r="Z795" s="614"/>
      <c r="AA795" s="614"/>
      <c r="AB795" s="614"/>
      <c r="AC795" s="614"/>
      <c r="AJ795" s="614"/>
      <c r="AK795" s="614"/>
      <c r="AL795" s="614"/>
      <c r="AM795" s="614"/>
      <c r="AN795" s="614"/>
      <c r="AO795" s="614"/>
      <c r="AP795" s="616"/>
      <c r="AQ795" s="616"/>
      <c r="AR795" s="616"/>
      <c r="AS795" s="614"/>
      <c r="AT795" s="614"/>
      <c r="AU795" s="614"/>
      <c r="AV795" s="614"/>
      <c r="AW795" s="614"/>
      <c r="AX795" s="614"/>
    </row>
    <row r="796" spans="1:50" x14ac:dyDescent="0.25">
      <c r="A796" s="612"/>
      <c r="B796" s="612"/>
      <c r="C796" s="613"/>
      <c r="D796" s="612"/>
      <c r="E796" s="612"/>
      <c r="F796" s="613"/>
      <c r="G796" s="612"/>
      <c r="H796" s="612"/>
      <c r="I796" s="735"/>
      <c r="J796" s="612"/>
      <c r="K796" s="613"/>
      <c r="L796" s="614"/>
      <c r="M796" s="614"/>
      <c r="N796" s="614"/>
      <c r="O796" s="614"/>
      <c r="P796" s="614"/>
      <c r="Q796" s="614"/>
      <c r="R796" s="614"/>
      <c r="S796" s="614"/>
      <c r="T796" s="614"/>
      <c r="U796" s="614"/>
      <c r="V796" s="614"/>
      <c r="W796" s="614"/>
      <c r="X796" s="614"/>
      <c r="Y796" s="614"/>
      <c r="Z796" s="614"/>
      <c r="AA796" s="614"/>
      <c r="AB796" s="614"/>
      <c r="AC796" s="614"/>
      <c r="AJ796" s="614"/>
      <c r="AK796" s="614"/>
      <c r="AL796" s="614"/>
      <c r="AM796" s="614"/>
      <c r="AN796" s="614"/>
      <c r="AO796" s="614"/>
      <c r="AP796" s="616"/>
      <c r="AQ796" s="616"/>
      <c r="AR796" s="616"/>
      <c r="AS796" s="614"/>
      <c r="AT796" s="614"/>
      <c r="AU796" s="614"/>
      <c r="AV796" s="614"/>
      <c r="AW796" s="614"/>
      <c r="AX796" s="614"/>
    </row>
    <row r="797" spans="1:50" x14ac:dyDescent="0.25">
      <c r="A797" s="612"/>
      <c r="B797" s="612"/>
      <c r="C797" s="613"/>
      <c r="D797" s="612"/>
      <c r="E797" s="612"/>
      <c r="F797" s="613"/>
      <c r="G797" s="612"/>
      <c r="H797" s="612"/>
      <c r="I797" s="735"/>
      <c r="J797" s="612"/>
      <c r="K797" s="613"/>
      <c r="L797" s="614"/>
      <c r="M797" s="614"/>
      <c r="N797" s="614"/>
      <c r="O797" s="614"/>
      <c r="P797" s="614"/>
      <c r="Q797" s="614"/>
      <c r="R797" s="614"/>
      <c r="S797" s="614"/>
      <c r="T797" s="614"/>
      <c r="U797" s="614"/>
      <c r="V797" s="614"/>
      <c r="W797" s="614"/>
      <c r="X797" s="614"/>
      <c r="Y797" s="614"/>
      <c r="Z797" s="614"/>
      <c r="AA797" s="614"/>
      <c r="AB797" s="614"/>
      <c r="AC797" s="614"/>
      <c r="AJ797" s="614"/>
      <c r="AK797" s="614"/>
      <c r="AL797" s="614"/>
      <c r="AM797" s="614"/>
      <c r="AN797" s="614"/>
      <c r="AO797" s="614"/>
      <c r="AP797" s="616"/>
      <c r="AQ797" s="616"/>
      <c r="AR797" s="616"/>
      <c r="AS797" s="614"/>
      <c r="AT797" s="614"/>
      <c r="AU797" s="614"/>
      <c r="AV797" s="614"/>
      <c r="AW797" s="614"/>
      <c r="AX797" s="614"/>
    </row>
    <row r="798" spans="1:50" x14ac:dyDescent="0.25">
      <c r="A798" s="612"/>
      <c r="B798" s="612"/>
      <c r="C798" s="613"/>
      <c r="D798" s="612"/>
      <c r="E798" s="612"/>
      <c r="F798" s="613"/>
      <c r="G798" s="612"/>
      <c r="H798" s="612"/>
      <c r="I798" s="735"/>
      <c r="J798" s="612"/>
      <c r="K798" s="613"/>
      <c r="L798" s="614"/>
      <c r="M798" s="614"/>
      <c r="N798" s="614"/>
      <c r="O798" s="614"/>
      <c r="P798" s="614"/>
      <c r="Q798" s="614"/>
      <c r="R798" s="614"/>
      <c r="S798" s="614"/>
      <c r="T798" s="614"/>
      <c r="U798" s="614"/>
      <c r="V798" s="614"/>
      <c r="W798" s="614"/>
      <c r="X798" s="614"/>
      <c r="Y798" s="614"/>
      <c r="Z798" s="614"/>
      <c r="AA798" s="614"/>
      <c r="AB798" s="614"/>
      <c r="AC798" s="614"/>
      <c r="AJ798" s="614"/>
      <c r="AK798" s="614"/>
      <c r="AL798" s="614"/>
      <c r="AM798" s="614"/>
      <c r="AN798" s="614"/>
      <c r="AO798" s="614"/>
      <c r="AP798" s="616"/>
      <c r="AQ798" s="616"/>
      <c r="AR798" s="616"/>
      <c r="AS798" s="614"/>
      <c r="AT798" s="614"/>
      <c r="AU798" s="614"/>
      <c r="AV798" s="614"/>
      <c r="AW798" s="614"/>
      <c r="AX798" s="614"/>
    </row>
    <row r="799" spans="1:50" x14ac:dyDescent="0.25">
      <c r="A799" s="612"/>
      <c r="B799" s="612"/>
      <c r="C799" s="613"/>
      <c r="D799" s="612"/>
      <c r="E799" s="612"/>
      <c r="F799" s="613"/>
      <c r="G799" s="612"/>
      <c r="H799" s="612"/>
      <c r="I799" s="735"/>
      <c r="J799" s="612"/>
      <c r="K799" s="613"/>
      <c r="L799" s="614"/>
      <c r="M799" s="614"/>
      <c r="N799" s="614"/>
      <c r="O799" s="614"/>
      <c r="P799" s="614"/>
      <c r="Q799" s="614"/>
      <c r="R799" s="614"/>
      <c r="S799" s="614"/>
      <c r="T799" s="614"/>
      <c r="U799" s="614"/>
      <c r="V799" s="614"/>
      <c r="W799" s="614"/>
      <c r="X799" s="614"/>
      <c r="Y799" s="614"/>
      <c r="Z799" s="614"/>
      <c r="AA799" s="614"/>
      <c r="AB799" s="614"/>
      <c r="AC799" s="614"/>
      <c r="AJ799" s="614"/>
      <c r="AK799" s="614"/>
      <c r="AL799" s="614"/>
      <c r="AM799" s="614"/>
      <c r="AN799" s="614"/>
      <c r="AO799" s="614"/>
      <c r="AP799" s="616"/>
      <c r="AQ799" s="616"/>
      <c r="AR799" s="616"/>
      <c r="AS799" s="614"/>
      <c r="AT799" s="614"/>
      <c r="AU799" s="614"/>
      <c r="AV799" s="614"/>
      <c r="AW799" s="614"/>
      <c r="AX799" s="614"/>
    </row>
    <row r="800" spans="1:50" x14ac:dyDescent="0.25">
      <c r="A800" s="612"/>
      <c r="B800" s="612"/>
      <c r="C800" s="613"/>
      <c r="D800" s="612"/>
      <c r="E800" s="612"/>
      <c r="F800" s="613"/>
      <c r="G800" s="612"/>
      <c r="H800" s="612"/>
      <c r="I800" s="735"/>
      <c r="J800" s="612"/>
      <c r="K800" s="613"/>
      <c r="L800" s="614"/>
      <c r="M800" s="614"/>
      <c r="N800" s="614"/>
      <c r="O800" s="614"/>
      <c r="P800" s="614"/>
      <c r="Q800" s="614"/>
      <c r="R800" s="614"/>
      <c r="S800" s="614"/>
      <c r="T800" s="614"/>
      <c r="U800" s="614"/>
      <c r="V800" s="614"/>
      <c r="W800" s="614"/>
      <c r="X800" s="614"/>
      <c r="Y800" s="614"/>
      <c r="Z800" s="614"/>
      <c r="AA800" s="614"/>
      <c r="AB800" s="614"/>
      <c r="AC800" s="614"/>
      <c r="AJ800" s="614"/>
      <c r="AK800" s="614"/>
      <c r="AL800" s="614"/>
      <c r="AM800" s="614"/>
      <c r="AN800" s="614"/>
      <c r="AO800" s="614"/>
      <c r="AP800" s="616"/>
      <c r="AQ800" s="616"/>
      <c r="AR800" s="616"/>
      <c r="AS800" s="614"/>
      <c r="AT800" s="614"/>
      <c r="AU800" s="614"/>
      <c r="AV800" s="614"/>
      <c r="AW800" s="614"/>
      <c r="AX800" s="614"/>
    </row>
    <row r="801" spans="1:50" x14ac:dyDescent="0.25">
      <c r="A801" s="612"/>
      <c r="B801" s="612"/>
      <c r="C801" s="613"/>
      <c r="D801" s="612"/>
      <c r="E801" s="612"/>
      <c r="F801" s="613"/>
      <c r="G801" s="612"/>
      <c r="H801" s="612"/>
      <c r="I801" s="735"/>
      <c r="J801" s="612"/>
      <c r="K801" s="613"/>
      <c r="L801" s="614"/>
      <c r="M801" s="614"/>
      <c r="N801" s="614"/>
      <c r="O801" s="614"/>
      <c r="P801" s="614"/>
      <c r="Q801" s="614"/>
      <c r="R801" s="614"/>
      <c r="S801" s="614"/>
      <c r="T801" s="614"/>
      <c r="U801" s="614"/>
      <c r="V801" s="614"/>
      <c r="W801" s="614"/>
      <c r="X801" s="614"/>
      <c r="Y801" s="614"/>
      <c r="Z801" s="614"/>
      <c r="AA801" s="614"/>
      <c r="AB801" s="614"/>
      <c r="AC801" s="614"/>
      <c r="AJ801" s="614"/>
      <c r="AK801" s="614"/>
      <c r="AL801" s="614"/>
      <c r="AM801" s="614"/>
      <c r="AN801" s="614"/>
      <c r="AO801" s="614"/>
      <c r="AP801" s="616"/>
      <c r="AQ801" s="616"/>
      <c r="AR801" s="616"/>
      <c r="AS801" s="614"/>
      <c r="AT801" s="614"/>
      <c r="AU801" s="614"/>
      <c r="AV801" s="614"/>
      <c r="AW801" s="614"/>
      <c r="AX801" s="614"/>
    </row>
    <row r="802" spans="1:50" x14ac:dyDescent="0.25">
      <c r="A802" s="612"/>
      <c r="B802" s="612"/>
      <c r="C802" s="613"/>
      <c r="D802" s="612"/>
      <c r="E802" s="612"/>
      <c r="F802" s="613"/>
      <c r="G802" s="612"/>
      <c r="H802" s="612"/>
      <c r="I802" s="735"/>
      <c r="J802" s="612"/>
      <c r="K802" s="613"/>
      <c r="L802" s="614"/>
      <c r="M802" s="614"/>
      <c r="N802" s="614"/>
      <c r="O802" s="614"/>
      <c r="P802" s="614"/>
      <c r="Q802" s="614"/>
      <c r="R802" s="614"/>
      <c r="S802" s="614"/>
      <c r="T802" s="614"/>
      <c r="U802" s="614"/>
      <c r="V802" s="614"/>
      <c r="W802" s="614"/>
      <c r="X802" s="614"/>
      <c r="Y802" s="614"/>
      <c r="Z802" s="614"/>
      <c r="AA802" s="614"/>
      <c r="AB802" s="614"/>
      <c r="AC802" s="614"/>
      <c r="AJ802" s="614"/>
      <c r="AK802" s="614"/>
      <c r="AL802" s="614"/>
      <c r="AM802" s="614"/>
      <c r="AN802" s="614"/>
      <c r="AO802" s="614"/>
      <c r="AP802" s="616"/>
      <c r="AQ802" s="616"/>
      <c r="AR802" s="616"/>
      <c r="AS802" s="614"/>
      <c r="AT802" s="614"/>
      <c r="AU802" s="614"/>
      <c r="AV802" s="614"/>
      <c r="AW802" s="614"/>
      <c r="AX802" s="614"/>
    </row>
    <row r="803" spans="1:50" x14ac:dyDescent="0.25">
      <c r="A803" s="612"/>
      <c r="B803" s="612"/>
      <c r="C803" s="613"/>
      <c r="D803" s="612"/>
      <c r="E803" s="612"/>
      <c r="F803" s="613"/>
      <c r="G803" s="612"/>
      <c r="H803" s="612"/>
      <c r="I803" s="735"/>
      <c r="J803" s="612"/>
      <c r="K803" s="613"/>
      <c r="L803" s="614"/>
      <c r="M803" s="614"/>
      <c r="N803" s="614"/>
      <c r="O803" s="614"/>
      <c r="P803" s="614"/>
      <c r="Q803" s="614"/>
      <c r="R803" s="614"/>
      <c r="S803" s="614"/>
      <c r="T803" s="614"/>
      <c r="U803" s="614"/>
      <c r="V803" s="614"/>
      <c r="W803" s="614"/>
      <c r="X803" s="614"/>
      <c r="Y803" s="614"/>
      <c r="Z803" s="614"/>
      <c r="AA803" s="614"/>
      <c r="AB803" s="614"/>
      <c r="AC803" s="614"/>
      <c r="AJ803" s="614"/>
      <c r="AK803" s="614"/>
      <c r="AL803" s="614"/>
      <c r="AM803" s="614"/>
      <c r="AN803" s="614"/>
      <c r="AO803" s="614"/>
      <c r="AP803" s="616"/>
      <c r="AQ803" s="616"/>
      <c r="AR803" s="616"/>
      <c r="AS803" s="614"/>
      <c r="AT803" s="614"/>
      <c r="AU803" s="614"/>
      <c r="AV803" s="614"/>
      <c r="AW803" s="614"/>
      <c r="AX803" s="614"/>
    </row>
    <row r="804" spans="1:50" x14ac:dyDescent="0.25">
      <c r="A804" s="612"/>
      <c r="B804" s="612"/>
      <c r="C804" s="613"/>
      <c r="D804" s="612"/>
      <c r="E804" s="612"/>
      <c r="F804" s="613"/>
      <c r="G804" s="612"/>
      <c r="H804" s="612"/>
      <c r="I804" s="735"/>
      <c r="J804" s="612"/>
      <c r="K804" s="613"/>
      <c r="L804" s="614"/>
      <c r="M804" s="614"/>
      <c r="N804" s="614"/>
      <c r="O804" s="614"/>
      <c r="P804" s="614"/>
      <c r="Q804" s="614"/>
      <c r="R804" s="614"/>
      <c r="S804" s="614"/>
      <c r="T804" s="614"/>
      <c r="U804" s="614"/>
      <c r="V804" s="614"/>
      <c r="W804" s="614"/>
      <c r="X804" s="614"/>
      <c r="Y804" s="614"/>
      <c r="Z804" s="614"/>
      <c r="AA804" s="614"/>
      <c r="AB804" s="614"/>
      <c r="AC804" s="614"/>
      <c r="AJ804" s="614"/>
      <c r="AK804" s="614"/>
      <c r="AL804" s="614"/>
      <c r="AM804" s="614"/>
      <c r="AN804" s="614"/>
      <c r="AO804" s="614"/>
      <c r="AP804" s="616"/>
      <c r="AQ804" s="616"/>
      <c r="AR804" s="616"/>
      <c r="AS804" s="614"/>
      <c r="AT804" s="614"/>
      <c r="AU804" s="614"/>
      <c r="AV804" s="614"/>
      <c r="AW804" s="614"/>
      <c r="AX804" s="614"/>
    </row>
    <row r="805" spans="1:50" x14ac:dyDescent="0.25">
      <c r="A805" s="612"/>
      <c r="B805" s="612"/>
      <c r="C805" s="613"/>
      <c r="D805" s="612"/>
      <c r="E805" s="612"/>
      <c r="F805" s="613"/>
      <c r="G805" s="612"/>
      <c r="H805" s="612"/>
      <c r="I805" s="735"/>
      <c r="J805" s="612"/>
      <c r="K805" s="613"/>
      <c r="L805" s="614"/>
      <c r="M805" s="614"/>
      <c r="N805" s="614"/>
      <c r="O805" s="614"/>
      <c r="P805" s="614"/>
      <c r="Q805" s="614"/>
      <c r="R805" s="614"/>
      <c r="S805" s="614"/>
      <c r="T805" s="614"/>
      <c r="U805" s="614"/>
      <c r="V805" s="614"/>
      <c r="W805" s="614"/>
      <c r="X805" s="614"/>
      <c r="Y805" s="614"/>
      <c r="Z805" s="614"/>
      <c r="AA805" s="614"/>
      <c r="AB805" s="614"/>
      <c r="AC805" s="614"/>
      <c r="AJ805" s="614"/>
      <c r="AK805" s="614"/>
      <c r="AL805" s="614"/>
      <c r="AM805" s="614"/>
      <c r="AN805" s="614"/>
      <c r="AO805" s="614"/>
      <c r="AP805" s="616"/>
      <c r="AQ805" s="616"/>
      <c r="AR805" s="616"/>
      <c r="AS805" s="614"/>
      <c r="AT805" s="614"/>
      <c r="AU805" s="614"/>
      <c r="AV805" s="614"/>
      <c r="AW805" s="614"/>
      <c r="AX805" s="614"/>
    </row>
    <row r="806" spans="1:50" x14ac:dyDescent="0.25">
      <c r="A806" s="612"/>
      <c r="B806" s="612"/>
      <c r="C806" s="613"/>
      <c r="D806" s="612"/>
      <c r="E806" s="612"/>
      <c r="F806" s="613"/>
      <c r="G806" s="612"/>
      <c r="H806" s="612"/>
      <c r="I806" s="735"/>
      <c r="J806" s="612"/>
      <c r="K806" s="613"/>
      <c r="L806" s="614"/>
      <c r="M806" s="614"/>
      <c r="N806" s="614"/>
      <c r="O806" s="614"/>
      <c r="P806" s="614"/>
      <c r="Q806" s="614"/>
      <c r="R806" s="614"/>
      <c r="S806" s="614"/>
      <c r="T806" s="614"/>
      <c r="U806" s="614"/>
      <c r="V806" s="614"/>
      <c r="W806" s="614"/>
      <c r="X806" s="614"/>
      <c r="Y806" s="614"/>
      <c r="Z806" s="614"/>
      <c r="AA806" s="614"/>
      <c r="AB806" s="614"/>
      <c r="AC806" s="614"/>
      <c r="AJ806" s="614"/>
      <c r="AK806" s="614"/>
      <c r="AL806" s="614"/>
      <c r="AM806" s="614"/>
      <c r="AN806" s="614"/>
      <c r="AO806" s="614"/>
      <c r="AP806" s="616"/>
      <c r="AQ806" s="616"/>
      <c r="AR806" s="616"/>
      <c r="AS806" s="614"/>
      <c r="AT806" s="614"/>
      <c r="AU806" s="614"/>
      <c r="AV806" s="614"/>
      <c r="AW806" s="614"/>
      <c r="AX806" s="614"/>
    </row>
    <row r="807" spans="1:50" x14ac:dyDescent="0.25">
      <c r="A807" s="612"/>
      <c r="B807" s="612"/>
      <c r="C807" s="613"/>
      <c r="D807" s="612"/>
      <c r="E807" s="612"/>
      <c r="F807" s="613"/>
      <c r="G807" s="612"/>
      <c r="H807" s="612"/>
      <c r="I807" s="735"/>
      <c r="J807" s="612"/>
      <c r="K807" s="613"/>
      <c r="L807" s="614"/>
      <c r="M807" s="614"/>
      <c r="N807" s="614"/>
      <c r="O807" s="614"/>
      <c r="P807" s="614"/>
      <c r="Q807" s="614"/>
      <c r="R807" s="614"/>
      <c r="S807" s="614"/>
      <c r="T807" s="614"/>
      <c r="U807" s="614"/>
      <c r="V807" s="614"/>
      <c r="W807" s="614"/>
      <c r="X807" s="614"/>
      <c r="Y807" s="614"/>
      <c r="Z807" s="614"/>
      <c r="AA807" s="614"/>
      <c r="AB807" s="614"/>
      <c r="AC807" s="614"/>
      <c r="AJ807" s="614"/>
      <c r="AK807" s="614"/>
      <c r="AL807" s="614"/>
      <c r="AM807" s="614"/>
      <c r="AN807" s="614"/>
      <c r="AO807" s="614"/>
      <c r="AP807" s="616"/>
      <c r="AQ807" s="616"/>
      <c r="AR807" s="616"/>
      <c r="AS807" s="614"/>
      <c r="AT807" s="614"/>
      <c r="AU807" s="614"/>
      <c r="AV807" s="614"/>
      <c r="AW807" s="614"/>
      <c r="AX807" s="614"/>
    </row>
    <row r="808" spans="1:50" x14ac:dyDescent="0.25">
      <c r="A808" s="612"/>
      <c r="B808" s="612"/>
      <c r="C808" s="613"/>
      <c r="D808" s="612"/>
      <c r="E808" s="612"/>
      <c r="F808" s="613"/>
      <c r="G808" s="612"/>
      <c r="H808" s="612"/>
      <c r="I808" s="735"/>
      <c r="J808" s="612"/>
      <c r="K808" s="613"/>
      <c r="L808" s="614"/>
      <c r="M808" s="614"/>
      <c r="N808" s="614"/>
      <c r="O808" s="614"/>
      <c r="P808" s="614"/>
      <c r="Q808" s="614"/>
      <c r="R808" s="614"/>
      <c r="S808" s="614"/>
      <c r="T808" s="614"/>
      <c r="U808" s="614"/>
      <c r="V808" s="614"/>
      <c r="W808" s="614"/>
      <c r="X808" s="614"/>
      <c r="Y808" s="614"/>
      <c r="Z808" s="614"/>
      <c r="AA808" s="614"/>
      <c r="AB808" s="614"/>
      <c r="AC808" s="614"/>
      <c r="AJ808" s="614"/>
      <c r="AK808" s="614"/>
      <c r="AL808" s="614"/>
      <c r="AM808" s="614"/>
      <c r="AN808" s="614"/>
      <c r="AO808" s="614"/>
      <c r="AP808" s="616"/>
      <c r="AQ808" s="616"/>
      <c r="AR808" s="616"/>
      <c r="AS808" s="614"/>
      <c r="AT808" s="614"/>
      <c r="AU808" s="614"/>
      <c r="AV808" s="614"/>
      <c r="AW808" s="614"/>
      <c r="AX808" s="614"/>
    </row>
    <row r="809" spans="1:50" x14ac:dyDescent="0.25">
      <c r="A809" s="612"/>
      <c r="B809" s="612"/>
      <c r="C809" s="613"/>
      <c r="D809" s="612"/>
      <c r="E809" s="612"/>
      <c r="F809" s="613"/>
      <c r="G809" s="612"/>
      <c r="H809" s="612"/>
      <c r="I809" s="735"/>
      <c r="J809" s="612"/>
      <c r="K809" s="613"/>
      <c r="L809" s="614"/>
      <c r="M809" s="614"/>
      <c r="N809" s="614"/>
      <c r="O809" s="614"/>
      <c r="P809" s="614"/>
      <c r="Q809" s="614"/>
      <c r="R809" s="614"/>
      <c r="S809" s="614"/>
      <c r="T809" s="614"/>
      <c r="U809" s="614"/>
      <c r="V809" s="614"/>
      <c r="W809" s="614"/>
      <c r="X809" s="614"/>
      <c r="Y809" s="614"/>
      <c r="Z809" s="614"/>
      <c r="AA809" s="614"/>
      <c r="AB809" s="614"/>
      <c r="AC809" s="614"/>
      <c r="AJ809" s="614"/>
      <c r="AK809" s="614"/>
      <c r="AL809" s="614"/>
      <c r="AM809" s="614"/>
      <c r="AN809" s="614"/>
      <c r="AO809" s="614"/>
      <c r="AP809" s="616"/>
      <c r="AQ809" s="616"/>
      <c r="AR809" s="616"/>
      <c r="AS809" s="614"/>
      <c r="AT809" s="614"/>
      <c r="AU809" s="614"/>
      <c r="AV809" s="614"/>
      <c r="AW809" s="614"/>
      <c r="AX809" s="614"/>
    </row>
    <row r="810" spans="1:50" x14ac:dyDescent="0.25">
      <c r="A810" s="612"/>
      <c r="B810" s="612"/>
      <c r="C810" s="613"/>
      <c r="D810" s="612"/>
      <c r="E810" s="612"/>
      <c r="F810" s="613"/>
      <c r="G810" s="612"/>
      <c r="H810" s="612"/>
      <c r="I810" s="735"/>
      <c r="J810" s="612"/>
      <c r="K810" s="613"/>
      <c r="L810" s="614"/>
      <c r="M810" s="614"/>
      <c r="N810" s="614"/>
      <c r="O810" s="614"/>
      <c r="P810" s="614"/>
      <c r="Q810" s="614"/>
      <c r="R810" s="614"/>
      <c r="S810" s="614"/>
      <c r="T810" s="614"/>
      <c r="U810" s="614"/>
      <c r="V810" s="614"/>
      <c r="W810" s="614"/>
      <c r="X810" s="614"/>
      <c r="Y810" s="614"/>
      <c r="Z810" s="614"/>
      <c r="AA810" s="614"/>
      <c r="AB810" s="614"/>
      <c r="AC810" s="614"/>
      <c r="AJ810" s="614"/>
      <c r="AK810" s="614"/>
      <c r="AL810" s="614"/>
      <c r="AM810" s="614"/>
      <c r="AN810" s="614"/>
      <c r="AO810" s="614"/>
      <c r="AP810" s="616"/>
      <c r="AQ810" s="616"/>
      <c r="AR810" s="616"/>
      <c r="AS810" s="614"/>
      <c r="AT810" s="614"/>
      <c r="AU810" s="614"/>
      <c r="AV810" s="614"/>
      <c r="AW810" s="614"/>
      <c r="AX810" s="614"/>
    </row>
    <row r="811" spans="1:50" x14ac:dyDescent="0.25">
      <c r="A811" s="612"/>
      <c r="B811" s="612"/>
      <c r="C811" s="613"/>
      <c r="D811" s="612"/>
      <c r="E811" s="612"/>
      <c r="F811" s="613"/>
      <c r="G811" s="612"/>
      <c r="H811" s="612"/>
      <c r="I811" s="735"/>
      <c r="J811" s="612"/>
      <c r="K811" s="613"/>
      <c r="L811" s="614"/>
      <c r="M811" s="614"/>
      <c r="N811" s="614"/>
      <c r="O811" s="614"/>
      <c r="P811" s="614"/>
      <c r="Q811" s="614"/>
      <c r="R811" s="614"/>
      <c r="S811" s="614"/>
      <c r="T811" s="614"/>
      <c r="U811" s="614"/>
      <c r="V811" s="614"/>
      <c r="W811" s="614"/>
      <c r="X811" s="614"/>
      <c r="Y811" s="614"/>
      <c r="Z811" s="614"/>
      <c r="AA811" s="614"/>
      <c r="AB811" s="614"/>
      <c r="AC811" s="614"/>
      <c r="AJ811" s="614"/>
      <c r="AK811" s="614"/>
      <c r="AL811" s="614"/>
      <c r="AM811" s="614"/>
      <c r="AN811" s="614"/>
      <c r="AO811" s="614"/>
      <c r="AP811" s="616"/>
      <c r="AQ811" s="616"/>
      <c r="AR811" s="616"/>
      <c r="AS811" s="614"/>
      <c r="AT811" s="614"/>
      <c r="AU811" s="614"/>
      <c r="AV811" s="614"/>
      <c r="AW811" s="614"/>
      <c r="AX811" s="614"/>
    </row>
    <row r="812" spans="1:50" x14ac:dyDescent="0.25">
      <c r="A812" s="612"/>
      <c r="B812" s="612"/>
      <c r="C812" s="613"/>
      <c r="D812" s="612"/>
      <c r="E812" s="612"/>
      <c r="F812" s="613"/>
      <c r="G812" s="612"/>
      <c r="H812" s="612"/>
      <c r="I812" s="735"/>
      <c r="J812" s="612"/>
      <c r="K812" s="613"/>
      <c r="L812" s="614"/>
      <c r="M812" s="614"/>
      <c r="N812" s="614"/>
      <c r="O812" s="614"/>
      <c r="P812" s="614"/>
      <c r="Q812" s="614"/>
      <c r="R812" s="614"/>
      <c r="S812" s="614"/>
      <c r="T812" s="614"/>
      <c r="U812" s="614"/>
      <c r="V812" s="614"/>
      <c r="W812" s="614"/>
      <c r="X812" s="614"/>
      <c r="Y812" s="614"/>
      <c r="Z812" s="614"/>
      <c r="AA812" s="614"/>
      <c r="AB812" s="614"/>
      <c r="AC812" s="614"/>
      <c r="AJ812" s="614"/>
      <c r="AK812" s="614"/>
      <c r="AL812" s="614"/>
      <c r="AM812" s="614"/>
      <c r="AN812" s="614"/>
      <c r="AO812" s="614"/>
      <c r="AP812" s="616"/>
      <c r="AQ812" s="616"/>
      <c r="AR812" s="616"/>
      <c r="AS812" s="614"/>
      <c r="AT812" s="614"/>
      <c r="AU812" s="614"/>
      <c r="AV812" s="614"/>
      <c r="AW812" s="614"/>
      <c r="AX812" s="614"/>
    </row>
    <row r="813" spans="1:50" x14ac:dyDescent="0.25">
      <c r="A813" s="612"/>
      <c r="B813" s="612"/>
      <c r="C813" s="613"/>
      <c r="D813" s="612"/>
      <c r="E813" s="612"/>
      <c r="F813" s="613"/>
      <c r="G813" s="612"/>
      <c r="H813" s="612"/>
      <c r="I813" s="735"/>
      <c r="J813" s="612"/>
      <c r="K813" s="613"/>
      <c r="L813" s="614"/>
      <c r="M813" s="614"/>
      <c r="N813" s="614"/>
      <c r="O813" s="614"/>
      <c r="P813" s="614"/>
      <c r="Q813" s="614"/>
      <c r="R813" s="614"/>
      <c r="S813" s="614"/>
      <c r="T813" s="614"/>
      <c r="U813" s="614"/>
      <c r="V813" s="614"/>
      <c r="W813" s="614"/>
      <c r="X813" s="614"/>
      <c r="Y813" s="614"/>
      <c r="Z813" s="614"/>
      <c r="AA813" s="614"/>
      <c r="AB813" s="614"/>
      <c r="AC813" s="614"/>
      <c r="AJ813" s="614"/>
      <c r="AK813" s="614"/>
      <c r="AL813" s="614"/>
      <c r="AM813" s="614"/>
      <c r="AN813" s="614"/>
      <c r="AO813" s="614"/>
      <c r="AP813" s="616"/>
      <c r="AQ813" s="616"/>
      <c r="AR813" s="616"/>
      <c r="AS813" s="614"/>
      <c r="AT813" s="614"/>
      <c r="AU813" s="614"/>
      <c r="AV813" s="614"/>
      <c r="AW813" s="614"/>
      <c r="AX813" s="614"/>
    </row>
    <row r="814" spans="1:50" x14ac:dyDescent="0.25">
      <c r="A814" s="612"/>
      <c r="B814" s="612"/>
      <c r="C814" s="613"/>
      <c r="D814" s="612"/>
      <c r="E814" s="612"/>
      <c r="F814" s="613"/>
      <c r="G814" s="612"/>
      <c r="H814" s="612"/>
      <c r="I814" s="735"/>
      <c r="J814" s="612"/>
      <c r="K814" s="613"/>
      <c r="L814" s="614"/>
      <c r="M814" s="614"/>
      <c r="N814" s="614"/>
      <c r="O814" s="614"/>
      <c r="P814" s="614"/>
      <c r="Q814" s="614"/>
      <c r="R814" s="614"/>
      <c r="S814" s="614"/>
      <c r="T814" s="614"/>
      <c r="U814" s="614"/>
      <c r="V814" s="614"/>
      <c r="W814" s="614"/>
      <c r="X814" s="614"/>
      <c r="Y814" s="614"/>
      <c r="Z814" s="614"/>
      <c r="AA814" s="614"/>
      <c r="AB814" s="614"/>
      <c r="AC814" s="614"/>
      <c r="AJ814" s="614"/>
      <c r="AK814" s="614"/>
      <c r="AL814" s="614"/>
      <c r="AM814" s="614"/>
      <c r="AN814" s="614"/>
      <c r="AO814" s="614"/>
      <c r="AP814" s="616"/>
      <c r="AQ814" s="616"/>
      <c r="AR814" s="616"/>
      <c r="AS814" s="614"/>
      <c r="AT814" s="614"/>
      <c r="AU814" s="614"/>
      <c r="AV814" s="614"/>
      <c r="AW814" s="614"/>
      <c r="AX814" s="614"/>
    </row>
    <row r="815" spans="1:50" x14ac:dyDescent="0.25">
      <c r="A815" s="612"/>
      <c r="B815" s="612"/>
      <c r="C815" s="613"/>
      <c r="D815" s="612"/>
      <c r="E815" s="612"/>
      <c r="F815" s="613"/>
      <c r="G815" s="612"/>
      <c r="H815" s="612"/>
      <c r="I815" s="735"/>
      <c r="J815" s="612"/>
      <c r="K815" s="613"/>
      <c r="L815" s="614"/>
      <c r="M815" s="614"/>
      <c r="N815" s="614"/>
      <c r="O815" s="614"/>
      <c r="P815" s="614"/>
      <c r="Q815" s="614"/>
      <c r="R815" s="614"/>
      <c r="S815" s="614"/>
      <c r="T815" s="614"/>
      <c r="U815" s="614"/>
      <c r="V815" s="614"/>
      <c r="W815" s="614"/>
      <c r="X815" s="614"/>
      <c r="Y815" s="614"/>
      <c r="Z815" s="614"/>
      <c r="AA815" s="614"/>
      <c r="AB815" s="614"/>
      <c r="AC815" s="614"/>
      <c r="AJ815" s="614"/>
      <c r="AK815" s="614"/>
      <c r="AL815" s="614"/>
      <c r="AM815" s="614"/>
      <c r="AN815" s="614"/>
      <c r="AO815" s="614"/>
      <c r="AP815" s="616"/>
      <c r="AQ815" s="616"/>
      <c r="AR815" s="616"/>
      <c r="AS815" s="614"/>
      <c r="AT815" s="614"/>
      <c r="AU815" s="614"/>
      <c r="AV815" s="614"/>
      <c r="AW815" s="614"/>
      <c r="AX815" s="614"/>
    </row>
    <row r="816" spans="1:50" x14ac:dyDescent="0.25">
      <c r="A816" s="612"/>
      <c r="B816" s="612"/>
      <c r="C816" s="613"/>
      <c r="D816" s="612"/>
      <c r="E816" s="612"/>
      <c r="F816" s="613"/>
      <c r="G816" s="612"/>
      <c r="H816" s="612"/>
      <c r="I816" s="735"/>
      <c r="J816" s="612"/>
      <c r="K816" s="613"/>
      <c r="L816" s="614"/>
      <c r="M816" s="614"/>
      <c r="N816" s="614"/>
      <c r="O816" s="614"/>
      <c r="P816" s="614"/>
      <c r="Q816" s="614"/>
      <c r="R816" s="614"/>
      <c r="S816" s="614"/>
      <c r="T816" s="614"/>
      <c r="U816" s="614"/>
      <c r="V816" s="614"/>
      <c r="W816" s="614"/>
      <c r="X816" s="614"/>
      <c r="Y816" s="614"/>
      <c r="Z816" s="614"/>
      <c r="AA816" s="614"/>
      <c r="AB816" s="614"/>
      <c r="AC816" s="614"/>
      <c r="AJ816" s="614"/>
      <c r="AK816" s="614"/>
      <c r="AL816" s="614"/>
      <c r="AM816" s="614"/>
      <c r="AN816" s="614"/>
      <c r="AO816" s="614"/>
      <c r="AP816" s="616"/>
      <c r="AQ816" s="616"/>
      <c r="AR816" s="616"/>
      <c r="AS816" s="614"/>
      <c r="AT816" s="614"/>
      <c r="AU816" s="614"/>
      <c r="AV816" s="614"/>
      <c r="AW816" s="614"/>
      <c r="AX816" s="614"/>
    </row>
    <row r="817" spans="1:50" x14ac:dyDescent="0.25">
      <c r="A817" s="612"/>
      <c r="B817" s="612"/>
      <c r="C817" s="613"/>
      <c r="D817" s="612"/>
      <c r="E817" s="612"/>
      <c r="F817" s="613"/>
      <c r="G817" s="612"/>
      <c r="H817" s="612"/>
      <c r="I817" s="735"/>
      <c r="J817" s="612"/>
      <c r="K817" s="613"/>
      <c r="L817" s="614"/>
      <c r="M817" s="614"/>
      <c r="N817" s="614"/>
      <c r="O817" s="614"/>
      <c r="P817" s="614"/>
      <c r="Q817" s="614"/>
      <c r="R817" s="614"/>
      <c r="S817" s="614"/>
      <c r="T817" s="614"/>
      <c r="U817" s="614"/>
      <c r="V817" s="614"/>
      <c r="W817" s="614"/>
      <c r="X817" s="614"/>
      <c r="Y817" s="614"/>
      <c r="Z817" s="614"/>
      <c r="AA817" s="614"/>
      <c r="AB817" s="614"/>
      <c r="AC817" s="614"/>
      <c r="AJ817" s="614"/>
      <c r="AK817" s="614"/>
      <c r="AL817" s="614"/>
      <c r="AM817" s="614"/>
      <c r="AN817" s="614"/>
      <c r="AO817" s="614"/>
      <c r="AP817" s="616"/>
      <c r="AQ817" s="616"/>
      <c r="AR817" s="616"/>
      <c r="AS817" s="614"/>
      <c r="AT817" s="614"/>
      <c r="AU817" s="614"/>
      <c r="AV817" s="614"/>
      <c r="AW817" s="614"/>
      <c r="AX817" s="614"/>
    </row>
    <row r="818" spans="1:50" x14ac:dyDescent="0.25">
      <c r="A818" s="612"/>
      <c r="B818" s="612"/>
      <c r="C818" s="613"/>
      <c r="D818" s="612"/>
      <c r="E818" s="612"/>
      <c r="F818" s="613"/>
      <c r="G818" s="612"/>
      <c r="H818" s="612"/>
      <c r="I818" s="735"/>
      <c r="J818" s="612"/>
      <c r="K818" s="613"/>
      <c r="L818" s="614"/>
      <c r="M818" s="614"/>
      <c r="N818" s="614"/>
      <c r="O818" s="614"/>
      <c r="P818" s="614"/>
      <c r="Q818" s="614"/>
      <c r="R818" s="614"/>
      <c r="S818" s="614"/>
      <c r="T818" s="614"/>
      <c r="U818" s="614"/>
      <c r="V818" s="614"/>
      <c r="W818" s="614"/>
      <c r="X818" s="614"/>
      <c r="Y818" s="614"/>
      <c r="Z818" s="614"/>
      <c r="AA818" s="614"/>
      <c r="AB818" s="614"/>
      <c r="AC818" s="614"/>
      <c r="AJ818" s="614"/>
      <c r="AK818" s="614"/>
      <c r="AL818" s="614"/>
      <c r="AM818" s="614"/>
      <c r="AN818" s="614"/>
      <c r="AO818" s="614"/>
      <c r="AP818" s="616"/>
      <c r="AQ818" s="616"/>
      <c r="AR818" s="616"/>
      <c r="AS818" s="614"/>
      <c r="AT818" s="614"/>
      <c r="AU818" s="614"/>
      <c r="AV818" s="614"/>
      <c r="AW818" s="614"/>
      <c r="AX818" s="614"/>
    </row>
    <row r="819" spans="1:50" x14ac:dyDescent="0.25">
      <c r="A819" s="612"/>
      <c r="B819" s="612"/>
      <c r="C819" s="613"/>
      <c r="D819" s="612"/>
      <c r="E819" s="612"/>
      <c r="F819" s="613"/>
      <c r="G819" s="612"/>
      <c r="H819" s="612"/>
      <c r="I819" s="735"/>
      <c r="J819" s="612"/>
      <c r="K819" s="613"/>
      <c r="L819" s="614"/>
      <c r="M819" s="614"/>
      <c r="N819" s="614"/>
      <c r="O819" s="614"/>
      <c r="P819" s="614"/>
      <c r="Q819" s="614"/>
      <c r="R819" s="614"/>
      <c r="S819" s="614"/>
      <c r="T819" s="614"/>
      <c r="U819" s="614"/>
      <c r="V819" s="614"/>
      <c r="W819" s="614"/>
      <c r="X819" s="614"/>
      <c r="Y819" s="614"/>
      <c r="Z819" s="614"/>
      <c r="AA819" s="614"/>
      <c r="AB819" s="614"/>
      <c r="AC819" s="614"/>
      <c r="AJ819" s="614"/>
      <c r="AK819" s="614"/>
      <c r="AL819" s="614"/>
      <c r="AM819" s="614"/>
      <c r="AN819" s="614"/>
      <c r="AO819" s="614"/>
      <c r="AP819" s="616"/>
      <c r="AQ819" s="616"/>
      <c r="AR819" s="616"/>
      <c r="AS819" s="614"/>
      <c r="AT819" s="614"/>
      <c r="AU819" s="614"/>
      <c r="AV819" s="614"/>
      <c r="AW819" s="614"/>
      <c r="AX819" s="614"/>
    </row>
    <row r="820" spans="1:50" x14ac:dyDescent="0.25">
      <c r="A820" s="612"/>
      <c r="B820" s="612"/>
      <c r="C820" s="613"/>
      <c r="D820" s="612"/>
      <c r="E820" s="612"/>
      <c r="F820" s="613"/>
      <c r="G820" s="612"/>
      <c r="H820" s="612"/>
      <c r="I820" s="735"/>
      <c r="J820" s="612"/>
      <c r="K820" s="613"/>
      <c r="L820" s="614"/>
      <c r="M820" s="614"/>
      <c r="N820" s="614"/>
      <c r="O820" s="614"/>
      <c r="P820" s="614"/>
      <c r="Q820" s="614"/>
      <c r="R820" s="614"/>
      <c r="S820" s="614"/>
      <c r="T820" s="614"/>
      <c r="U820" s="614"/>
      <c r="V820" s="614"/>
      <c r="W820" s="614"/>
      <c r="X820" s="614"/>
      <c r="Y820" s="614"/>
      <c r="Z820" s="614"/>
      <c r="AA820" s="614"/>
      <c r="AB820" s="614"/>
      <c r="AC820" s="614"/>
      <c r="AJ820" s="614"/>
      <c r="AK820" s="614"/>
      <c r="AL820" s="614"/>
      <c r="AM820" s="614"/>
      <c r="AN820" s="614"/>
      <c r="AO820" s="614"/>
      <c r="AP820" s="616"/>
      <c r="AQ820" s="616"/>
      <c r="AR820" s="616"/>
      <c r="AS820" s="614"/>
      <c r="AT820" s="614"/>
      <c r="AU820" s="614"/>
      <c r="AV820" s="614"/>
      <c r="AW820" s="614"/>
      <c r="AX820" s="614"/>
    </row>
    <row r="821" spans="1:50" x14ac:dyDescent="0.25">
      <c r="A821" s="612"/>
      <c r="B821" s="612"/>
      <c r="C821" s="613"/>
      <c r="D821" s="612"/>
      <c r="E821" s="612"/>
      <c r="F821" s="613"/>
      <c r="G821" s="612"/>
      <c r="H821" s="612"/>
      <c r="I821" s="735"/>
      <c r="J821" s="612"/>
      <c r="K821" s="613"/>
      <c r="L821" s="614"/>
      <c r="M821" s="614"/>
      <c r="N821" s="614"/>
      <c r="O821" s="614"/>
      <c r="P821" s="614"/>
      <c r="Q821" s="614"/>
      <c r="R821" s="614"/>
      <c r="S821" s="614"/>
      <c r="T821" s="614"/>
      <c r="U821" s="614"/>
      <c r="V821" s="614"/>
      <c r="W821" s="614"/>
      <c r="X821" s="614"/>
      <c r="Y821" s="614"/>
      <c r="Z821" s="614"/>
      <c r="AA821" s="614"/>
      <c r="AB821" s="614"/>
      <c r="AC821" s="614"/>
      <c r="AJ821" s="614"/>
      <c r="AK821" s="614"/>
      <c r="AL821" s="614"/>
      <c r="AM821" s="614"/>
      <c r="AN821" s="614"/>
      <c r="AO821" s="614"/>
      <c r="AP821" s="616"/>
      <c r="AQ821" s="616"/>
      <c r="AR821" s="616"/>
      <c r="AS821" s="614"/>
      <c r="AT821" s="614"/>
      <c r="AU821" s="614"/>
      <c r="AV821" s="614"/>
      <c r="AW821" s="614"/>
      <c r="AX821" s="614"/>
    </row>
    <row r="822" spans="1:50" x14ac:dyDescent="0.25">
      <c r="A822" s="612"/>
      <c r="B822" s="612"/>
      <c r="C822" s="613"/>
      <c r="D822" s="612"/>
      <c r="E822" s="612"/>
      <c r="F822" s="613"/>
      <c r="G822" s="612"/>
      <c r="H822" s="612"/>
      <c r="I822" s="735"/>
      <c r="J822" s="612"/>
      <c r="K822" s="613"/>
      <c r="L822" s="614"/>
      <c r="M822" s="614"/>
      <c r="N822" s="614"/>
      <c r="O822" s="614"/>
      <c r="P822" s="614"/>
      <c r="Q822" s="614"/>
      <c r="R822" s="614"/>
      <c r="S822" s="614"/>
      <c r="T822" s="614"/>
      <c r="U822" s="614"/>
      <c r="V822" s="614"/>
      <c r="W822" s="614"/>
      <c r="X822" s="614"/>
      <c r="Y822" s="614"/>
      <c r="Z822" s="614"/>
      <c r="AA822" s="614"/>
      <c r="AB822" s="614"/>
      <c r="AC822" s="614"/>
      <c r="AJ822" s="614"/>
      <c r="AK822" s="614"/>
      <c r="AL822" s="614"/>
      <c r="AM822" s="614"/>
      <c r="AN822" s="614"/>
      <c r="AO822" s="614"/>
      <c r="AP822" s="616"/>
      <c r="AQ822" s="616"/>
      <c r="AR822" s="616"/>
      <c r="AS822" s="614"/>
      <c r="AT822" s="614"/>
      <c r="AU822" s="614"/>
      <c r="AV822" s="614"/>
      <c r="AW822" s="614"/>
      <c r="AX822" s="614"/>
    </row>
    <row r="823" spans="1:50" x14ac:dyDescent="0.25">
      <c r="A823" s="612"/>
      <c r="B823" s="612"/>
      <c r="C823" s="613"/>
      <c r="D823" s="612"/>
      <c r="E823" s="612"/>
      <c r="F823" s="613"/>
      <c r="G823" s="612"/>
      <c r="H823" s="612"/>
      <c r="I823" s="735"/>
      <c r="J823" s="612"/>
      <c r="K823" s="613"/>
      <c r="L823" s="614"/>
      <c r="M823" s="614"/>
      <c r="N823" s="614"/>
      <c r="O823" s="614"/>
      <c r="P823" s="614"/>
      <c r="Q823" s="614"/>
      <c r="R823" s="614"/>
      <c r="S823" s="614"/>
      <c r="T823" s="614"/>
      <c r="U823" s="614"/>
      <c r="V823" s="614"/>
      <c r="W823" s="614"/>
      <c r="X823" s="614"/>
      <c r="Y823" s="614"/>
      <c r="Z823" s="614"/>
      <c r="AA823" s="614"/>
      <c r="AB823" s="614"/>
      <c r="AC823" s="614"/>
      <c r="AJ823" s="614"/>
      <c r="AK823" s="614"/>
      <c r="AL823" s="614"/>
      <c r="AM823" s="614"/>
      <c r="AN823" s="614"/>
      <c r="AO823" s="614"/>
      <c r="AP823" s="616"/>
      <c r="AQ823" s="616"/>
      <c r="AR823" s="616"/>
      <c r="AS823" s="614"/>
      <c r="AT823" s="614"/>
      <c r="AU823" s="614"/>
      <c r="AV823" s="614"/>
      <c r="AW823" s="614"/>
      <c r="AX823" s="614"/>
    </row>
    <row r="824" spans="1:50" x14ac:dyDescent="0.25">
      <c r="A824" s="612"/>
      <c r="B824" s="612"/>
      <c r="C824" s="613"/>
      <c r="D824" s="612"/>
      <c r="E824" s="612"/>
      <c r="F824" s="613"/>
      <c r="G824" s="612"/>
      <c r="H824" s="612"/>
      <c r="I824" s="735"/>
      <c r="J824" s="612"/>
      <c r="K824" s="613"/>
      <c r="L824" s="614"/>
      <c r="M824" s="614"/>
      <c r="N824" s="614"/>
      <c r="O824" s="614"/>
      <c r="P824" s="614"/>
      <c r="Q824" s="614"/>
      <c r="R824" s="614"/>
      <c r="S824" s="614"/>
      <c r="T824" s="614"/>
      <c r="U824" s="614"/>
      <c r="V824" s="614"/>
      <c r="W824" s="614"/>
      <c r="X824" s="614"/>
      <c r="Y824" s="614"/>
      <c r="Z824" s="614"/>
      <c r="AA824" s="614"/>
      <c r="AB824" s="614"/>
      <c r="AC824" s="614"/>
      <c r="AJ824" s="614"/>
      <c r="AK824" s="614"/>
      <c r="AL824" s="614"/>
      <c r="AM824" s="614"/>
      <c r="AN824" s="614"/>
      <c r="AO824" s="614"/>
      <c r="AP824" s="616"/>
      <c r="AQ824" s="616"/>
      <c r="AR824" s="616"/>
      <c r="AS824" s="614"/>
      <c r="AT824" s="614"/>
      <c r="AU824" s="614"/>
      <c r="AV824" s="614"/>
      <c r="AW824" s="614"/>
      <c r="AX824" s="614"/>
    </row>
    <row r="825" spans="1:50" x14ac:dyDescent="0.25">
      <c r="A825" s="612"/>
      <c r="B825" s="612"/>
      <c r="C825" s="613"/>
      <c r="D825" s="612"/>
      <c r="E825" s="612"/>
      <c r="F825" s="613"/>
      <c r="G825" s="612"/>
      <c r="H825" s="612"/>
      <c r="I825" s="735"/>
      <c r="J825" s="612"/>
      <c r="K825" s="613"/>
      <c r="L825" s="614"/>
      <c r="M825" s="614"/>
      <c r="N825" s="614"/>
      <c r="O825" s="614"/>
      <c r="P825" s="614"/>
      <c r="Q825" s="614"/>
      <c r="R825" s="614"/>
      <c r="S825" s="614"/>
      <c r="T825" s="614"/>
      <c r="U825" s="614"/>
      <c r="V825" s="614"/>
      <c r="W825" s="614"/>
      <c r="X825" s="614"/>
      <c r="Y825" s="614"/>
      <c r="Z825" s="614"/>
      <c r="AA825" s="614"/>
      <c r="AB825" s="614"/>
      <c r="AC825" s="614"/>
      <c r="AJ825" s="614"/>
      <c r="AK825" s="614"/>
      <c r="AL825" s="614"/>
      <c r="AM825" s="614"/>
      <c r="AN825" s="614"/>
      <c r="AO825" s="614"/>
      <c r="AP825" s="616"/>
      <c r="AQ825" s="616"/>
      <c r="AR825" s="616"/>
      <c r="AS825" s="614"/>
      <c r="AT825" s="614"/>
      <c r="AU825" s="614"/>
      <c r="AV825" s="614"/>
      <c r="AW825" s="614"/>
      <c r="AX825" s="614"/>
    </row>
    <row r="826" spans="1:50" x14ac:dyDescent="0.25">
      <c r="A826" s="612"/>
      <c r="B826" s="612"/>
      <c r="C826" s="613"/>
      <c r="D826" s="612"/>
      <c r="E826" s="612"/>
      <c r="F826" s="613"/>
      <c r="G826" s="612"/>
      <c r="H826" s="612"/>
      <c r="I826" s="735"/>
      <c r="J826" s="612"/>
      <c r="K826" s="613"/>
      <c r="L826" s="614"/>
      <c r="M826" s="614"/>
      <c r="N826" s="614"/>
      <c r="O826" s="614"/>
      <c r="P826" s="614"/>
      <c r="Q826" s="614"/>
      <c r="R826" s="614"/>
      <c r="S826" s="614"/>
      <c r="T826" s="614"/>
      <c r="U826" s="614"/>
      <c r="V826" s="614"/>
      <c r="W826" s="614"/>
      <c r="X826" s="614"/>
      <c r="Y826" s="614"/>
      <c r="Z826" s="614"/>
      <c r="AA826" s="614"/>
      <c r="AB826" s="614"/>
      <c r="AC826" s="614"/>
      <c r="AJ826" s="614"/>
      <c r="AK826" s="614"/>
      <c r="AL826" s="614"/>
      <c r="AM826" s="614"/>
      <c r="AN826" s="614"/>
      <c r="AO826" s="614"/>
      <c r="AP826" s="616"/>
      <c r="AQ826" s="616"/>
      <c r="AR826" s="616"/>
      <c r="AS826" s="614"/>
      <c r="AT826" s="614"/>
      <c r="AU826" s="614"/>
      <c r="AV826" s="614"/>
      <c r="AW826" s="614"/>
      <c r="AX826" s="614"/>
    </row>
    <row r="827" spans="1:50" x14ac:dyDescent="0.25">
      <c r="A827" s="612"/>
      <c r="B827" s="612"/>
      <c r="C827" s="613"/>
      <c r="D827" s="612"/>
      <c r="E827" s="612"/>
      <c r="F827" s="613"/>
      <c r="G827" s="612"/>
      <c r="H827" s="612"/>
      <c r="I827" s="735"/>
      <c r="J827" s="612"/>
      <c r="K827" s="613"/>
      <c r="L827" s="614"/>
      <c r="M827" s="614"/>
      <c r="N827" s="614"/>
      <c r="O827" s="614"/>
      <c r="P827" s="614"/>
      <c r="Q827" s="614"/>
      <c r="R827" s="614"/>
      <c r="S827" s="614"/>
      <c r="T827" s="614"/>
      <c r="U827" s="614"/>
      <c r="V827" s="614"/>
      <c r="W827" s="614"/>
      <c r="X827" s="614"/>
      <c r="Y827" s="614"/>
      <c r="Z827" s="614"/>
      <c r="AA827" s="614"/>
      <c r="AB827" s="614"/>
      <c r="AC827" s="614"/>
      <c r="AJ827" s="614"/>
      <c r="AK827" s="614"/>
      <c r="AL827" s="614"/>
      <c r="AM827" s="614"/>
      <c r="AN827" s="614"/>
      <c r="AO827" s="614"/>
      <c r="AP827" s="616"/>
      <c r="AQ827" s="616"/>
      <c r="AR827" s="616"/>
      <c r="AS827" s="614"/>
      <c r="AT827" s="614"/>
      <c r="AU827" s="614"/>
      <c r="AV827" s="614"/>
      <c r="AW827" s="614"/>
      <c r="AX827" s="614"/>
    </row>
    <row r="828" spans="1:50" x14ac:dyDescent="0.25">
      <c r="A828" s="612"/>
      <c r="B828" s="612"/>
      <c r="C828" s="613"/>
      <c r="D828" s="612"/>
      <c r="E828" s="612"/>
      <c r="F828" s="613"/>
      <c r="G828" s="612"/>
      <c r="H828" s="612"/>
      <c r="I828" s="735"/>
      <c r="J828" s="612"/>
      <c r="K828" s="613"/>
      <c r="L828" s="614"/>
      <c r="M828" s="614"/>
      <c r="N828" s="614"/>
      <c r="O828" s="614"/>
      <c r="P828" s="614"/>
      <c r="Q828" s="614"/>
      <c r="R828" s="614"/>
      <c r="S828" s="614"/>
      <c r="T828" s="614"/>
      <c r="U828" s="614"/>
      <c r="V828" s="614"/>
      <c r="W828" s="614"/>
      <c r="X828" s="614"/>
      <c r="Y828" s="614"/>
      <c r="Z828" s="614"/>
      <c r="AA828" s="614"/>
      <c r="AB828" s="614"/>
      <c r="AC828" s="614"/>
      <c r="AJ828" s="614"/>
      <c r="AK828" s="614"/>
      <c r="AL828" s="614"/>
      <c r="AM828" s="614"/>
      <c r="AN828" s="614"/>
      <c r="AO828" s="614"/>
      <c r="AP828" s="616"/>
      <c r="AQ828" s="616"/>
      <c r="AR828" s="616"/>
      <c r="AS828" s="614"/>
      <c r="AT828" s="614"/>
      <c r="AU828" s="614"/>
      <c r="AV828" s="614"/>
      <c r="AW828" s="614"/>
      <c r="AX828" s="614"/>
    </row>
    <row r="829" spans="1:50" x14ac:dyDescent="0.25">
      <c r="A829" s="612"/>
      <c r="B829" s="612"/>
      <c r="C829" s="613"/>
      <c r="D829" s="612"/>
      <c r="E829" s="612"/>
      <c r="F829" s="613"/>
      <c r="G829" s="612"/>
      <c r="H829" s="612"/>
      <c r="I829" s="735"/>
      <c r="J829" s="612"/>
      <c r="K829" s="613"/>
      <c r="L829" s="614"/>
      <c r="M829" s="614"/>
      <c r="N829" s="614"/>
      <c r="O829" s="614"/>
      <c r="P829" s="614"/>
      <c r="Q829" s="614"/>
      <c r="R829" s="614"/>
      <c r="S829" s="614"/>
      <c r="T829" s="614"/>
      <c r="U829" s="614"/>
      <c r="V829" s="614"/>
      <c r="W829" s="614"/>
      <c r="X829" s="614"/>
      <c r="Y829" s="614"/>
      <c r="Z829" s="614"/>
      <c r="AA829" s="614"/>
      <c r="AB829" s="614"/>
      <c r="AC829" s="614"/>
      <c r="AJ829" s="614"/>
      <c r="AK829" s="614"/>
      <c r="AL829" s="614"/>
      <c r="AM829" s="614"/>
      <c r="AN829" s="614"/>
      <c r="AO829" s="614"/>
      <c r="AP829" s="616"/>
      <c r="AQ829" s="616"/>
      <c r="AR829" s="616"/>
      <c r="AS829" s="614"/>
      <c r="AT829" s="614"/>
      <c r="AU829" s="614"/>
      <c r="AV829" s="614"/>
      <c r="AW829" s="614"/>
      <c r="AX829" s="614"/>
    </row>
    <row r="830" spans="1:50" x14ac:dyDescent="0.25">
      <c r="A830" s="612"/>
      <c r="B830" s="612"/>
      <c r="C830" s="613"/>
      <c r="D830" s="612"/>
      <c r="E830" s="612"/>
      <c r="F830" s="613"/>
      <c r="G830" s="612"/>
      <c r="H830" s="612"/>
      <c r="I830" s="735"/>
      <c r="J830" s="612"/>
      <c r="K830" s="613"/>
      <c r="L830" s="614"/>
      <c r="M830" s="614"/>
      <c r="N830" s="614"/>
      <c r="O830" s="614"/>
      <c r="P830" s="614"/>
      <c r="Q830" s="614"/>
      <c r="R830" s="614"/>
      <c r="S830" s="614"/>
      <c r="T830" s="614"/>
      <c r="U830" s="614"/>
      <c r="V830" s="614"/>
      <c r="W830" s="614"/>
      <c r="X830" s="614"/>
      <c r="Y830" s="614"/>
      <c r="Z830" s="614"/>
      <c r="AA830" s="614"/>
      <c r="AB830" s="614"/>
      <c r="AC830" s="614"/>
      <c r="AJ830" s="614"/>
      <c r="AK830" s="614"/>
      <c r="AL830" s="614"/>
      <c r="AM830" s="614"/>
      <c r="AN830" s="614"/>
      <c r="AO830" s="614"/>
      <c r="AP830" s="616"/>
      <c r="AQ830" s="616"/>
      <c r="AR830" s="616"/>
      <c r="AS830" s="614"/>
      <c r="AT830" s="614"/>
      <c r="AU830" s="614"/>
      <c r="AV830" s="614"/>
      <c r="AW830" s="614"/>
      <c r="AX830" s="614"/>
    </row>
    <row r="831" spans="1:50" x14ac:dyDescent="0.25">
      <c r="A831" s="612"/>
      <c r="B831" s="612"/>
      <c r="C831" s="613"/>
      <c r="D831" s="612"/>
      <c r="E831" s="612"/>
      <c r="F831" s="613"/>
      <c r="G831" s="612"/>
      <c r="H831" s="612"/>
      <c r="I831" s="735"/>
      <c r="J831" s="612"/>
      <c r="K831" s="613"/>
      <c r="L831" s="614"/>
      <c r="M831" s="614"/>
      <c r="N831" s="614"/>
      <c r="O831" s="614"/>
      <c r="P831" s="614"/>
      <c r="Q831" s="614"/>
      <c r="R831" s="614"/>
      <c r="S831" s="614"/>
      <c r="T831" s="614"/>
      <c r="U831" s="614"/>
      <c r="V831" s="614"/>
      <c r="W831" s="614"/>
      <c r="X831" s="614"/>
      <c r="Y831" s="614"/>
      <c r="Z831" s="614"/>
      <c r="AA831" s="614"/>
      <c r="AB831" s="614"/>
      <c r="AC831" s="614"/>
      <c r="AJ831" s="614"/>
      <c r="AK831" s="614"/>
      <c r="AL831" s="614"/>
      <c r="AM831" s="614"/>
      <c r="AN831" s="614"/>
      <c r="AO831" s="614"/>
      <c r="AP831" s="616"/>
      <c r="AQ831" s="616"/>
      <c r="AR831" s="616"/>
      <c r="AS831" s="614"/>
      <c r="AT831" s="614"/>
      <c r="AU831" s="614"/>
      <c r="AV831" s="614"/>
      <c r="AW831" s="614"/>
      <c r="AX831" s="614"/>
    </row>
    <row r="832" spans="1:50" x14ac:dyDescent="0.25">
      <c r="A832" s="612"/>
      <c r="B832" s="612"/>
      <c r="C832" s="613"/>
      <c r="D832" s="612"/>
      <c r="E832" s="612"/>
      <c r="F832" s="613"/>
      <c r="G832" s="612"/>
      <c r="H832" s="612"/>
      <c r="I832" s="735"/>
      <c r="J832" s="612"/>
      <c r="K832" s="613"/>
      <c r="L832" s="614"/>
      <c r="M832" s="614"/>
      <c r="N832" s="614"/>
      <c r="O832" s="614"/>
      <c r="P832" s="614"/>
      <c r="Q832" s="614"/>
      <c r="R832" s="614"/>
      <c r="S832" s="614"/>
      <c r="T832" s="614"/>
      <c r="U832" s="614"/>
      <c r="V832" s="614"/>
      <c r="W832" s="614"/>
      <c r="X832" s="614"/>
      <c r="Y832" s="614"/>
      <c r="Z832" s="614"/>
      <c r="AA832" s="614"/>
      <c r="AB832" s="614"/>
      <c r="AC832" s="614"/>
      <c r="AJ832" s="614"/>
      <c r="AK832" s="614"/>
      <c r="AL832" s="614"/>
      <c r="AM832" s="614"/>
      <c r="AN832" s="614"/>
      <c r="AO832" s="614"/>
      <c r="AP832" s="616"/>
      <c r="AQ832" s="616"/>
      <c r="AR832" s="616"/>
      <c r="AS832" s="614"/>
      <c r="AT832" s="614"/>
      <c r="AU832" s="614"/>
      <c r="AV832" s="614"/>
      <c r="AW832" s="614"/>
      <c r="AX832" s="614"/>
    </row>
    <row r="833" spans="1:50" x14ac:dyDescent="0.25">
      <c r="A833" s="612"/>
      <c r="B833" s="612"/>
      <c r="C833" s="613"/>
      <c r="D833" s="612"/>
      <c r="E833" s="612"/>
      <c r="F833" s="613"/>
      <c r="G833" s="612"/>
      <c r="H833" s="612"/>
      <c r="I833" s="735"/>
      <c r="J833" s="612"/>
      <c r="K833" s="613"/>
      <c r="L833" s="614"/>
      <c r="M833" s="614"/>
      <c r="N833" s="614"/>
      <c r="O833" s="614"/>
      <c r="P833" s="614"/>
      <c r="Q833" s="614"/>
      <c r="R833" s="614"/>
      <c r="S833" s="614"/>
      <c r="T833" s="614"/>
      <c r="U833" s="614"/>
      <c r="V833" s="614"/>
      <c r="W833" s="614"/>
      <c r="X833" s="614"/>
      <c r="Y833" s="614"/>
      <c r="Z833" s="614"/>
      <c r="AA833" s="614"/>
      <c r="AB833" s="614"/>
      <c r="AC833" s="614"/>
      <c r="AJ833" s="614"/>
      <c r="AK833" s="614"/>
      <c r="AL833" s="614"/>
      <c r="AM833" s="614"/>
      <c r="AN833" s="614"/>
      <c r="AO833" s="614"/>
      <c r="AP833" s="616"/>
      <c r="AQ833" s="616"/>
      <c r="AR833" s="616"/>
      <c r="AS833" s="614"/>
      <c r="AT833" s="614"/>
      <c r="AU833" s="614"/>
      <c r="AV833" s="614"/>
      <c r="AW833" s="614"/>
      <c r="AX833" s="614"/>
    </row>
    <row r="834" spans="1:50" x14ac:dyDescent="0.25">
      <c r="A834" s="612"/>
      <c r="B834" s="612"/>
      <c r="C834" s="613"/>
      <c r="D834" s="612"/>
      <c r="E834" s="612"/>
      <c r="F834" s="613"/>
      <c r="G834" s="612"/>
      <c r="H834" s="612"/>
      <c r="I834" s="735"/>
      <c r="J834" s="612"/>
      <c r="K834" s="613"/>
      <c r="L834" s="614"/>
      <c r="M834" s="614"/>
      <c r="N834" s="614"/>
      <c r="O834" s="614"/>
      <c r="P834" s="614"/>
      <c r="Q834" s="614"/>
      <c r="R834" s="614"/>
      <c r="S834" s="614"/>
      <c r="T834" s="614"/>
      <c r="U834" s="614"/>
      <c r="V834" s="614"/>
      <c r="W834" s="614"/>
      <c r="X834" s="614"/>
      <c r="Y834" s="614"/>
      <c r="Z834" s="614"/>
      <c r="AA834" s="614"/>
      <c r="AB834" s="614"/>
      <c r="AC834" s="614"/>
      <c r="AJ834" s="614"/>
      <c r="AK834" s="614"/>
      <c r="AL834" s="614"/>
      <c r="AM834" s="614"/>
      <c r="AN834" s="614"/>
      <c r="AO834" s="614"/>
      <c r="AP834" s="616"/>
      <c r="AQ834" s="616"/>
      <c r="AR834" s="616"/>
      <c r="AS834" s="614"/>
      <c r="AT834" s="614"/>
      <c r="AU834" s="614"/>
      <c r="AV834" s="614"/>
      <c r="AW834" s="614"/>
      <c r="AX834" s="614"/>
    </row>
    <row r="835" spans="1:50" x14ac:dyDescent="0.25">
      <c r="A835" s="612"/>
      <c r="B835" s="612"/>
      <c r="C835" s="613"/>
      <c r="D835" s="612"/>
      <c r="E835" s="612"/>
      <c r="F835" s="613"/>
      <c r="G835" s="612"/>
      <c r="H835" s="612"/>
      <c r="I835" s="735"/>
      <c r="J835" s="612"/>
      <c r="K835" s="613"/>
      <c r="L835" s="614"/>
      <c r="M835" s="614"/>
      <c r="N835" s="614"/>
      <c r="O835" s="614"/>
      <c r="P835" s="614"/>
      <c r="Q835" s="614"/>
      <c r="R835" s="614"/>
      <c r="S835" s="614"/>
      <c r="T835" s="614"/>
      <c r="U835" s="614"/>
      <c r="V835" s="614"/>
      <c r="W835" s="614"/>
      <c r="X835" s="614"/>
      <c r="Y835" s="614"/>
      <c r="Z835" s="614"/>
      <c r="AA835" s="614"/>
      <c r="AB835" s="614"/>
      <c r="AC835" s="614"/>
      <c r="AJ835" s="614"/>
      <c r="AK835" s="614"/>
      <c r="AL835" s="614"/>
      <c r="AM835" s="614"/>
      <c r="AN835" s="614"/>
      <c r="AO835" s="614"/>
      <c r="AP835" s="616"/>
      <c r="AQ835" s="616"/>
      <c r="AR835" s="616"/>
      <c r="AS835" s="614"/>
      <c r="AT835" s="614"/>
      <c r="AU835" s="614"/>
      <c r="AV835" s="614"/>
      <c r="AW835" s="614"/>
      <c r="AX835" s="614"/>
    </row>
    <row r="836" spans="1:50" x14ac:dyDescent="0.25">
      <c r="A836" s="612"/>
      <c r="B836" s="612"/>
      <c r="C836" s="613"/>
      <c r="D836" s="612"/>
      <c r="E836" s="612"/>
      <c r="F836" s="613"/>
      <c r="G836" s="612"/>
      <c r="H836" s="612"/>
      <c r="I836" s="735"/>
      <c r="J836" s="612"/>
      <c r="K836" s="613"/>
      <c r="L836" s="614"/>
      <c r="M836" s="614"/>
      <c r="N836" s="614"/>
      <c r="O836" s="614"/>
      <c r="P836" s="614"/>
      <c r="Q836" s="614"/>
      <c r="R836" s="614"/>
      <c r="S836" s="614"/>
      <c r="T836" s="614"/>
      <c r="U836" s="614"/>
      <c r="V836" s="614"/>
      <c r="W836" s="614"/>
      <c r="X836" s="614"/>
      <c r="Y836" s="614"/>
      <c r="Z836" s="614"/>
      <c r="AA836" s="614"/>
      <c r="AB836" s="614"/>
      <c r="AC836" s="614"/>
      <c r="AJ836" s="614"/>
      <c r="AK836" s="614"/>
      <c r="AL836" s="614"/>
      <c r="AM836" s="614"/>
      <c r="AN836" s="614"/>
      <c r="AO836" s="614"/>
      <c r="AP836" s="616"/>
      <c r="AQ836" s="616"/>
      <c r="AR836" s="616"/>
      <c r="AS836" s="614"/>
      <c r="AT836" s="614"/>
      <c r="AU836" s="614"/>
      <c r="AV836" s="614"/>
      <c r="AW836" s="614"/>
      <c r="AX836" s="614"/>
    </row>
    <row r="837" spans="1:50" x14ac:dyDescent="0.25">
      <c r="A837" s="612"/>
      <c r="B837" s="612"/>
      <c r="C837" s="613"/>
      <c r="D837" s="612"/>
      <c r="E837" s="612"/>
      <c r="F837" s="613"/>
      <c r="G837" s="612"/>
      <c r="H837" s="612"/>
      <c r="I837" s="735"/>
      <c r="J837" s="612"/>
      <c r="K837" s="613"/>
      <c r="L837" s="614"/>
      <c r="M837" s="614"/>
      <c r="N837" s="614"/>
      <c r="O837" s="614"/>
      <c r="P837" s="614"/>
      <c r="Q837" s="614"/>
      <c r="R837" s="614"/>
      <c r="S837" s="614"/>
      <c r="T837" s="614"/>
      <c r="U837" s="614"/>
      <c r="V837" s="614"/>
      <c r="W837" s="614"/>
      <c r="X837" s="614"/>
      <c r="Y837" s="614"/>
      <c r="Z837" s="614"/>
      <c r="AA837" s="614"/>
      <c r="AB837" s="614"/>
      <c r="AC837" s="614"/>
      <c r="AJ837" s="614"/>
      <c r="AK837" s="614"/>
      <c r="AL837" s="614"/>
      <c r="AM837" s="614"/>
      <c r="AN837" s="614"/>
      <c r="AO837" s="614"/>
      <c r="AP837" s="616"/>
      <c r="AQ837" s="616"/>
      <c r="AR837" s="616"/>
      <c r="AS837" s="614"/>
      <c r="AT837" s="614"/>
      <c r="AU837" s="614"/>
      <c r="AV837" s="614"/>
      <c r="AW837" s="614"/>
      <c r="AX837" s="614"/>
    </row>
    <row r="838" spans="1:50" x14ac:dyDescent="0.25">
      <c r="A838" s="612"/>
      <c r="B838" s="612"/>
      <c r="C838" s="613"/>
      <c r="D838" s="612"/>
      <c r="E838" s="612"/>
      <c r="F838" s="613"/>
      <c r="G838" s="612"/>
      <c r="H838" s="612"/>
      <c r="I838" s="735"/>
      <c r="J838" s="612"/>
      <c r="K838" s="613"/>
      <c r="L838" s="614"/>
      <c r="M838" s="614"/>
      <c r="N838" s="614"/>
      <c r="O838" s="614"/>
      <c r="P838" s="614"/>
      <c r="Q838" s="614"/>
      <c r="R838" s="614"/>
      <c r="S838" s="614"/>
      <c r="T838" s="614"/>
      <c r="U838" s="614"/>
      <c r="V838" s="614"/>
      <c r="W838" s="614"/>
      <c r="X838" s="614"/>
      <c r="Y838" s="614"/>
      <c r="Z838" s="614"/>
      <c r="AA838" s="614"/>
      <c r="AB838" s="614"/>
      <c r="AC838" s="614"/>
      <c r="AJ838" s="614"/>
      <c r="AK838" s="614"/>
      <c r="AL838" s="614"/>
      <c r="AM838" s="614"/>
      <c r="AN838" s="614"/>
      <c r="AO838" s="614"/>
      <c r="AP838" s="616"/>
      <c r="AQ838" s="616"/>
      <c r="AR838" s="616"/>
      <c r="AS838" s="614"/>
      <c r="AT838" s="614"/>
      <c r="AU838" s="614"/>
      <c r="AV838" s="614"/>
      <c r="AW838" s="614"/>
      <c r="AX838" s="614"/>
    </row>
    <row r="839" spans="1:50" x14ac:dyDescent="0.25">
      <c r="A839" s="612"/>
      <c r="B839" s="612"/>
      <c r="C839" s="613"/>
      <c r="D839" s="612"/>
      <c r="E839" s="612"/>
      <c r="F839" s="613"/>
      <c r="G839" s="612"/>
      <c r="H839" s="612"/>
      <c r="I839" s="735"/>
      <c r="J839" s="612"/>
      <c r="K839" s="613"/>
      <c r="L839" s="614"/>
      <c r="M839" s="614"/>
      <c r="N839" s="614"/>
      <c r="O839" s="614"/>
      <c r="P839" s="614"/>
      <c r="Q839" s="614"/>
      <c r="R839" s="614"/>
      <c r="S839" s="614"/>
      <c r="T839" s="614"/>
      <c r="U839" s="614"/>
      <c r="V839" s="614"/>
      <c r="W839" s="614"/>
      <c r="X839" s="614"/>
      <c r="Y839" s="614"/>
      <c r="Z839" s="614"/>
      <c r="AA839" s="614"/>
      <c r="AB839" s="614"/>
      <c r="AC839" s="614"/>
      <c r="AJ839" s="614"/>
      <c r="AK839" s="614"/>
      <c r="AL839" s="614"/>
      <c r="AM839" s="614"/>
      <c r="AN839" s="614"/>
      <c r="AO839" s="614"/>
      <c r="AP839" s="616"/>
      <c r="AQ839" s="616"/>
      <c r="AR839" s="616"/>
      <c r="AS839" s="614"/>
      <c r="AT839" s="614"/>
      <c r="AU839" s="614"/>
      <c r="AV839" s="614"/>
      <c r="AW839" s="614"/>
      <c r="AX839" s="614"/>
    </row>
    <row r="840" spans="1:50" x14ac:dyDescent="0.25">
      <c r="A840" s="612"/>
      <c r="B840" s="612"/>
      <c r="C840" s="613"/>
      <c r="D840" s="612"/>
      <c r="E840" s="612"/>
      <c r="F840" s="613"/>
      <c r="G840" s="612"/>
      <c r="H840" s="612"/>
      <c r="I840" s="735"/>
      <c r="J840" s="612"/>
      <c r="K840" s="613"/>
      <c r="L840" s="614"/>
      <c r="M840" s="614"/>
      <c r="N840" s="614"/>
      <c r="O840" s="614"/>
      <c r="P840" s="614"/>
      <c r="Q840" s="614"/>
      <c r="R840" s="614"/>
      <c r="S840" s="614"/>
      <c r="T840" s="614"/>
      <c r="U840" s="614"/>
      <c r="V840" s="614"/>
      <c r="W840" s="614"/>
      <c r="X840" s="614"/>
      <c r="Y840" s="614"/>
      <c r="Z840" s="614"/>
      <c r="AA840" s="614"/>
      <c r="AB840" s="614"/>
      <c r="AC840" s="614"/>
      <c r="AJ840" s="614"/>
      <c r="AK840" s="614"/>
      <c r="AL840" s="614"/>
      <c r="AM840" s="614"/>
      <c r="AN840" s="614"/>
      <c r="AO840" s="614"/>
      <c r="AP840" s="616"/>
      <c r="AQ840" s="616"/>
      <c r="AR840" s="616"/>
      <c r="AS840" s="614"/>
      <c r="AT840" s="614"/>
      <c r="AU840" s="614"/>
      <c r="AV840" s="614"/>
      <c r="AW840" s="614"/>
      <c r="AX840" s="614"/>
    </row>
    <row r="841" spans="1:50" x14ac:dyDescent="0.25">
      <c r="A841" s="612"/>
      <c r="B841" s="612"/>
      <c r="C841" s="613"/>
      <c r="D841" s="612"/>
      <c r="E841" s="612"/>
      <c r="F841" s="613"/>
      <c r="G841" s="612"/>
      <c r="H841" s="612"/>
      <c r="I841" s="735"/>
      <c r="J841" s="612"/>
      <c r="K841" s="613"/>
      <c r="L841" s="614"/>
      <c r="M841" s="614"/>
      <c r="N841" s="614"/>
      <c r="O841" s="614"/>
      <c r="P841" s="614"/>
      <c r="Q841" s="614"/>
      <c r="R841" s="614"/>
      <c r="S841" s="614"/>
      <c r="T841" s="614"/>
      <c r="U841" s="614"/>
      <c r="V841" s="614"/>
      <c r="W841" s="614"/>
      <c r="X841" s="614"/>
      <c r="Y841" s="614"/>
      <c r="Z841" s="614"/>
      <c r="AA841" s="614"/>
      <c r="AB841" s="614"/>
      <c r="AC841" s="614"/>
      <c r="AJ841" s="614"/>
      <c r="AK841" s="614"/>
      <c r="AL841" s="614"/>
      <c r="AM841" s="614"/>
      <c r="AN841" s="614"/>
      <c r="AO841" s="614"/>
      <c r="AP841" s="616"/>
      <c r="AQ841" s="616"/>
      <c r="AR841" s="616"/>
      <c r="AS841" s="614"/>
      <c r="AT841" s="614"/>
      <c r="AU841" s="614"/>
      <c r="AV841" s="614"/>
      <c r="AW841" s="614"/>
      <c r="AX841" s="614"/>
    </row>
    <row r="842" spans="1:50" x14ac:dyDescent="0.25">
      <c r="A842" s="612"/>
      <c r="B842" s="612"/>
      <c r="C842" s="613"/>
      <c r="D842" s="612"/>
      <c r="E842" s="612"/>
      <c r="F842" s="613"/>
      <c r="G842" s="612"/>
      <c r="H842" s="612"/>
      <c r="I842" s="735"/>
      <c r="J842" s="612"/>
      <c r="K842" s="613"/>
      <c r="L842" s="614"/>
      <c r="M842" s="614"/>
      <c r="N842" s="614"/>
      <c r="O842" s="614"/>
      <c r="P842" s="614"/>
      <c r="Q842" s="614"/>
      <c r="R842" s="614"/>
      <c r="S842" s="614"/>
      <c r="T842" s="614"/>
      <c r="U842" s="614"/>
      <c r="V842" s="614"/>
      <c r="W842" s="614"/>
      <c r="X842" s="614"/>
      <c r="Y842" s="614"/>
      <c r="Z842" s="614"/>
      <c r="AA842" s="614"/>
      <c r="AB842" s="614"/>
      <c r="AC842" s="614"/>
      <c r="AJ842" s="614"/>
      <c r="AK842" s="614"/>
      <c r="AL842" s="614"/>
      <c r="AM842" s="614"/>
      <c r="AN842" s="614"/>
      <c r="AO842" s="614"/>
      <c r="AP842" s="616"/>
      <c r="AQ842" s="616"/>
      <c r="AR842" s="616"/>
      <c r="AS842" s="614"/>
      <c r="AT842" s="614"/>
      <c r="AU842" s="614"/>
      <c r="AV842" s="614"/>
      <c r="AW842" s="614"/>
      <c r="AX842" s="614"/>
    </row>
    <row r="843" spans="1:50" x14ac:dyDescent="0.25">
      <c r="A843" s="612"/>
      <c r="B843" s="612"/>
      <c r="C843" s="613"/>
      <c r="D843" s="612"/>
      <c r="E843" s="612"/>
      <c r="F843" s="613"/>
      <c r="G843" s="612"/>
      <c r="H843" s="612"/>
      <c r="I843" s="735"/>
      <c r="J843" s="612"/>
      <c r="K843" s="613"/>
      <c r="L843" s="614"/>
      <c r="M843" s="614"/>
      <c r="N843" s="614"/>
      <c r="O843" s="614"/>
      <c r="P843" s="614"/>
      <c r="Q843" s="614"/>
      <c r="R843" s="614"/>
      <c r="S843" s="614"/>
      <c r="T843" s="614"/>
      <c r="U843" s="614"/>
      <c r="V843" s="614"/>
      <c r="W843" s="614"/>
      <c r="X843" s="614"/>
      <c r="Y843" s="614"/>
      <c r="Z843" s="614"/>
      <c r="AA843" s="614"/>
      <c r="AB843" s="614"/>
      <c r="AC843" s="614"/>
      <c r="AJ843" s="614"/>
      <c r="AK843" s="614"/>
      <c r="AL843" s="614"/>
      <c r="AM843" s="614"/>
      <c r="AN843" s="614"/>
      <c r="AO843" s="614"/>
      <c r="AP843" s="616"/>
      <c r="AQ843" s="616"/>
      <c r="AR843" s="616"/>
      <c r="AS843" s="614"/>
      <c r="AT843" s="614"/>
      <c r="AU843" s="614"/>
      <c r="AV843" s="614"/>
      <c r="AW843" s="614"/>
      <c r="AX843" s="614"/>
    </row>
    <row r="844" spans="1:50" x14ac:dyDescent="0.25">
      <c r="A844" s="612"/>
      <c r="B844" s="612"/>
      <c r="C844" s="613"/>
      <c r="D844" s="612"/>
      <c r="E844" s="612"/>
      <c r="F844" s="613"/>
      <c r="G844" s="612"/>
      <c r="H844" s="612"/>
      <c r="I844" s="735"/>
      <c r="J844" s="612"/>
      <c r="K844" s="613"/>
      <c r="L844" s="614"/>
      <c r="M844" s="614"/>
      <c r="N844" s="614"/>
      <c r="O844" s="614"/>
      <c r="P844" s="614"/>
      <c r="Q844" s="614"/>
      <c r="R844" s="614"/>
      <c r="S844" s="614"/>
      <c r="T844" s="614"/>
      <c r="U844" s="614"/>
      <c r="V844" s="614"/>
      <c r="W844" s="614"/>
      <c r="X844" s="614"/>
      <c r="Y844" s="614"/>
      <c r="Z844" s="614"/>
      <c r="AA844" s="614"/>
      <c r="AB844" s="614"/>
      <c r="AC844" s="614"/>
      <c r="AJ844" s="614"/>
      <c r="AK844" s="614"/>
      <c r="AL844" s="614"/>
      <c r="AM844" s="614"/>
      <c r="AN844" s="614"/>
      <c r="AO844" s="614"/>
      <c r="AP844" s="616"/>
      <c r="AQ844" s="616"/>
      <c r="AR844" s="616"/>
      <c r="AS844" s="614"/>
      <c r="AT844" s="614"/>
      <c r="AU844" s="614"/>
      <c r="AV844" s="614"/>
      <c r="AW844" s="614"/>
      <c r="AX844" s="614"/>
    </row>
    <row r="845" spans="1:50" x14ac:dyDescent="0.25">
      <c r="A845" s="612"/>
      <c r="B845" s="612"/>
      <c r="C845" s="613"/>
      <c r="D845" s="612"/>
      <c r="E845" s="612"/>
      <c r="F845" s="613"/>
      <c r="G845" s="612"/>
      <c r="H845" s="612"/>
      <c r="I845" s="735"/>
      <c r="J845" s="612"/>
      <c r="K845" s="613"/>
      <c r="L845" s="614"/>
      <c r="M845" s="614"/>
      <c r="N845" s="614"/>
      <c r="O845" s="614"/>
      <c r="P845" s="614"/>
      <c r="Q845" s="614"/>
      <c r="R845" s="614"/>
      <c r="S845" s="614"/>
      <c r="T845" s="614"/>
      <c r="U845" s="614"/>
      <c r="V845" s="614"/>
      <c r="W845" s="614"/>
      <c r="X845" s="614"/>
      <c r="Y845" s="614"/>
      <c r="Z845" s="614"/>
      <c r="AA845" s="614"/>
      <c r="AB845" s="614"/>
      <c r="AC845" s="614"/>
      <c r="AJ845" s="614"/>
      <c r="AK845" s="614"/>
      <c r="AL845" s="614"/>
      <c r="AM845" s="614"/>
      <c r="AN845" s="614"/>
      <c r="AO845" s="614"/>
      <c r="AP845" s="616"/>
      <c r="AQ845" s="616"/>
      <c r="AR845" s="616"/>
      <c r="AS845" s="614"/>
      <c r="AT845" s="614"/>
      <c r="AU845" s="614"/>
      <c r="AV845" s="614"/>
      <c r="AW845" s="614"/>
      <c r="AX845" s="614"/>
    </row>
    <row r="846" spans="1:50" x14ac:dyDescent="0.25">
      <c r="A846" s="612"/>
      <c r="B846" s="612"/>
      <c r="C846" s="613"/>
      <c r="D846" s="612"/>
      <c r="E846" s="612"/>
      <c r="F846" s="613"/>
      <c r="G846" s="612"/>
      <c r="H846" s="612"/>
      <c r="I846" s="735"/>
      <c r="J846" s="612"/>
      <c r="K846" s="613"/>
      <c r="L846" s="614"/>
      <c r="M846" s="614"/>
      <c r="N846" s="614"/>
      <c r="O846" s="614"/>
      <c r="P846" s="614"/>
      <c r="Q846" s="614"/>
      <c r="R846" s="614"/>
      <c r="S846" s="614"/>
      <c r="T846" s="614"/>
      <c r="U846" s="614"/>
      <c r="V846" s="614"/>
      <c r="W846" s="614"/>
      <c r="X846" s="614"/>
      <c r="Y846" s="614"/>
      <c r="Z846" s="614"/>
      <c r="AA846" s="614"/>
      <c r="AB846" s="614"/>
      <c r="AC846" s="614"/>
      <c r="AJ846" s="614"/>
      <c r="AK846" s="614"/>
      <c r="AL846" s="614"/>
      <c r="AM846" s="614"/>
      <c r="AN846" s="614"/>
      <c r="AO846" s="614"/>
      <c r="AP846" s="616"/>
      <c r="AQ846" s="616"/>
      <c r="AR846" s="616"/>
      <c r="AS846" s="614"/>
      <c r="AT846" s="614"/>
      <c r="AU846" s="614"/>
      <c r="AV846" s="614"/>
      <c r="AW846" s="614"/>
      <c r="AX846" s="614"/>
    </row>
    <row r="847" spans="1:50" x14ac:dyDescent="0.25">
      <c r="A847" s="612"/>
      <c r="B847" s="612"/>
      <c r="C847" s="613"/>
      <c r="D847" s="612"/>
      <c r="E847" s="612"/>
      <c r="F847" s="613"/>
      <c r="G847" s="612"/>
      <c r="H847" s="612"/>
      <c r="I847" s="735"/>
      <c r="J847" s="612"/>
      <c r="K847" s="613"/>
      <c r="L847" s="614"/>
      <c r="M847" s="614"/>
      <c r="N847" s="614"/>
      <c r="O847" s="614"/>
      <c r="P847" s="614"/>
      <c r="Q847" s="614"/>
      <c r="R847" s="614"/>
      <c r="S847" s="614"/>
      <c r="T847" s="614"/>
      <c r="U847" s="614"/>
      <c r="V847" s="614"/>
      <c r="W847" s="614"/>
      <c r="X847" s="614"/>
      <c r="Y847" s="614"/>
      <c r="Z847" s="614"/>
      <c r="AA847" s="614"/>
      <c r="AB847" s="614"/>
      <c r="AC847" s="614"/>
      <c r="AJ847" s="614"/>
      <c r="AK847" s="614"/>
      <c r="AL847" s="614"/>
      <c r="AM847" s="614"/>
      <c r="AN847" s="614"/>
      <c r="AO847" s="614"/>
      <c r="AP847" s="616"/>
      <c r="AQ847" s="616"/>
      <c r="AR847" s="616"/>
      <c r="AS847" s="614"/>
      <c r="AT847" s="614"/>
      <c r="AU847" s="614"/>
      <c r="AV847" s="614"/>
      <c r="AW847" s="614"/>
      <c r="AX847" s="614"/>
    </row>
    <row r="848" spans="1:50" x14ac:dyDescent="0.25">
      <c r="A848" s="612"/>
      <c r="B848" s="612"/>
      <c r="C848" s="613"/>
      <c r="D848" s="612"/>
      <c r="E848" s="612"/>
      <c r="F848" s="613"/>
      <c r="G848" s="612"/>
      <c r="H848" s="612"/>
      <c r="I848" s="735"/>
      <c r="J848" s="612"/>
      <c r="K848" s="613"/>
      <c r="L848" s="614"/>
      <c r="M848" s="614"/>
      <c r="N848" s="614"/>
      <c r="O848" s="614"/>
      <c r="P848" s="614"/>
      <c r="Q848" s="614"/>
      <c r="R848" s="614"/>
      <c r="S848" s="614"/>
      <c r="T848" s="614"/>
      <c r="U848" s="614"/>
      <c r="V848" s="614"/>
      <c r="W848" s="614"/>
      <c r="X848" s="614"/>
      <c r="Y848" s="614"/>
      <c r="Z848" s="614"/>
      <c r="AA848" s="614"/>
      <c r="AB848" s="614"/>
      <c r="AC848" s="614"/>
      <c r="AJ848" s="614"/>
      <c r="AK848" s="614"/>
      <c r="AL848" s="614"/>
      <c r="AM848" s="614"/>
      <c r="AN848" s="614"/>
      <c r="AO848" s="614"/>
      <c r="AP848" s="616"/>
      <c r="AQ848" s="616"/>
      <c r="AR848" s="616"/>
      <c r="AS848" s="614"/>
      <c r="AT848" s="614"/>
      <c r="AU848" s="614"/>
      <c r="AV848" s="614"/>
      <c r="AW848" s="614"/>
      <c r="AX848" s="614"/>
    </row>
    <row r="849" spans="1:50" x14ac:dyDescent="0.25">
      <c r="A849" s="612"/>
      <c r="B849" s="612"/>
      <c r="C849" s="613"/>
      <c r="D849" s="612"/>
      <c r="E849" s="612"/>
      <c r="F849" s="613"/>
      <c r="G849" s="612"/>
      <c r="H849" s="612"/>
      <c r="I849" s="735"/>
      <c r="J849" s="612"/>
      <c r="K849" s="613"/>
      <c r="L849" s="614"/>
      <c r="M849" s="614"/>
      <c r="N849" s="614"/>
      <c r="O849" s="614"/>
      <c r="P849" s="614"/>
      <c r="Q849" s="614"/>
      <c r="R849" s="614"/>
      <c r="S849" s="614"/>
      <c r="T849" s="614"/>
      <c r="U849" s="614"/>
      <c r="V849" s="614"/>
      <c r="W849" s="614"/>
      <c r="X849" s="614"/>
      <c r="Y849" s="614"/>
      <c r="Z849" s="614"/>
      <c r="AA849" s="614"/>
      <c r="AB849" s="614"/>
      <c r="AC849" s="614"/>
      <c r="AJ849" s="614"/>
      <c r="AK849" s="614"/>
      <c r="AL849" s="614"/>
      <c r="AM849" s="614"/>
      <c r="AN849" s="614"/>
      <c r="AO849" s="614"/>
      <c r="AP849" s="616"/>
      <c r="AQ849" s="616"/>
      <c r="AR849" s="616"/>
      <c r="AS849" s="614"/>
      <c r="AT849" s="614"/>
      <c r="AU849" s="614"/>
      <c r="AV849" s="614"/>
      <c r="AW849" s="614"/>
      <c r="AX849" s="614"/>
    </row>
    <row r="850" spans="1:50" x14ac:dyDescent="0.25">
      <c r="A850" s="612"/>
      <c r="B850" s="612"/>
      <c r="C850" s="613"/>
      <c r="D850" s="612"/>
      <c r="E850" s="612"/>
      <c r="F850" s="613"/>
      <c r="G850" s="612"/>
      <c r="H850" s="612"/>
      <c r="I850" s="735"/>
      <c r="J850" s="612"/>
      <c r="K850" s="613"/>
      <c r="L850" s="614"/>
      <c r="M850" s="614"/>
      <c r="N850" s="614"/>
      <c r="O850" s="614"/>
      <c r="P850" s="614"/>
      <c r="Q850" s="614"/>
      <c r="R850" s="614"/>
      <c r="S850" s="614"/>
      <c r="T850" s="614"/>
      <c r="U850" s="614"/>
      <c r="V850" s="614"/>
      <c r="W850" s="614"/>
      <c r="X850" s="614"/>
      <c r="Y850" s="614"/>
      <c r="Z850" s="614"/>
      <c r="AA850" s="614"/>
      <c r="AB850" s="614"/>
      <c r="AC850" s="614"/>
      <c r="AJ850" s="614"/>
      <c r="AK850" s="614"/>
      <c r="AL850" s="614"/>
      <c r="AM850" s="614"/>
      <c r="AN850" s="614"/>
      <c r="AO850" s="614"/>
      <c r="AP850" s="616"/>
      <c r="AQ850" s="616"/>
      <c r="AR850" s="616"/>
      <c r="AS850" s="614"/>
      <c r="AT850" s="614"/>
      <c r="AU850" s="614"/>
      <c r="AV850" s="614"/>
      <c r="AW850" s="614"/>
      <c r="AX850" s="614"/>
    </row>
    <row r="851" spans="1:50" x14ac:dyDescent="0.25">
      <c r="A851" s="612"/>
      <c r="B851" s="612"/>
      <c r="C851" s="613"/>
      <c r="D851" s="612"/>
      <c r="E851" s="612"/>
      <c r="F851" s="613"/>
      <c r="G851" s="612"/>
      <c r="H851" s="612"/>
      <c r="I851" s="735"/>
      <c r="J851" s="612"/>
      <c r="K851" s="613"/>
      <c r="L851" s="614"/>
      <c r="M851" s="614"/>
      <c r="N851" s="614"/>
      <c r="O851" s="614"/>
      <c r="P851" s="614"/>
      <c r="Q851" s="614"/>
      <c r="R851" s="614"/>
      <c r="S851" s="614"/>
      <c r="T851" s="614"/>
      <c r="U851" s="614"/>
      <c r="V851" s="614"/>
      <c r="W851" s="614"/>
      <c r="X851" s="614"/>
      <c r="Y851" s="614"/>
      <c r="Z851" s="614"/>
      <c r="AA851" s="614"/>
      <c r="AB851" s="614"/>
      <c r="AC851" s="614"/>
      <c r="AJ851" s="614"/>
      <c r="AK851" s="614"/>
      <c r="AL851" s="614"/>
      <c r="AM851" s="614"/>
      <c r="AN851" s="614"/>
      <c r="AO851" s="614"/>
      <c r="AP851" s="616"/>
      <c r="AQ851" s="616"/>
      <c r="AR851" s="616"/>
      <c r="AS851" s="614"/>
      <c r="AT851" s="614"/>
      <c r="AU851" s="614"/>
      <c r="AV851" s="614"/>
      <c r="AW851" s="614"/>
      <c r="AX851" s="614"/>
    </row>
    <row r="852" spans="1:50" x14ac:dyDescent="0.25">
      <c r="A852" s="612"/>
      <c r="B852" s="612"/>
      <c r="C852" s="613"/>
      <c r="D852" s="612"/>
      <c r="E852" s="612"/>
      <c r="F852" s="613"/>
      <c r="G852" s="612"/>
      <c r="H852" s="612"/>
      <c r="I852" s="735"/>
      <c r="J852" s="612"/>
      <c r="K852" s="613"/>
      <c r="L852" s="614"/>
      <c r="M852" s="614"/>
      <c r="N852" s="614"/>
      <c r="O852" s="614"/>
      <c r="P852" s="614"/>
      <c r="Q852" s="614"/>
      <c r="R852" s="614"/>
      <c r="S852" s="614"/>
      <c r="T852" s="614"/>
      <c r="U852" s="614"/>
      <c r="V852" s="614"/>
      <c r="W852" s="614"/>
      <c r="X852" s="614"/>
      <c r="Y852" s="614"/>
      <c r="Z852" s="614"/>
      <c r="AA852" s="614"/>
      <c r="AB852" s="614"/>
      <c r="AC852" s="614"/>
      <c r="AJ852" s="614"/>
      <c r="AK852" s="614"/>
      <c r="AL852" s="614"/>
      <c r="AM852" s="614"/>
      <c r="AN852" s="614"/>
      <c r="AO852" s="614"/>
      <c r="AP852" s="616"/>
      <c r="AQ852" s="616"/>
      <c r="AR852" s="616"/>
      <c r="AS852" s="614"/>
      <c r="AT852" s="614"/>
      <c r="AU852" s="614"/>
      <c r="AV852" s="614"/>
      <c r="AW852" s="614"/>
      <c r="AX852" s="614"/>
    </row>
    <row r="853" spans="1:50" x14ac:dyDescent="0.25">
      <c r="A853" s="612"/>
      <c r="B853" s="612"/>
      <c r="C853" s="613"/>
      <c r="D853" s="612"/>
      <c r="E853" s="612"/>
      <c r="F853" s="613"/>
      <c r="G853" s="612"/>
      <c r="H853" s="612"/>
      <c r="I853" s="735"/>
      <c r="J853" s="612"/>
      <c r="K853" s="613"/>
      <c r="L853" s="614"/>
      <c r="M853" s="614"/>
      <c r="N853" s="614"/>
      <c r="O853" s="614"/>
      <c r="P853" s="614"/>
      <c r="Q853" s="614"/>
      <c r="R853" s="614"/>
      <c r="S853" s="614"/>
      <c r="T853" s="614"/>
      <c r="U853" s="614"/>
      <c r="V853" s="614"/>
      <c r="W853" s="614"/>
      <c r="X853" s="614"/>
      <c r="Y853" s="614"/>
      <c r="Z853" s="614"/>
      <c r="AA853" s="614"/>
      <c r="AB853" s="614"/>
      <c r="AC853" s="614"/>
      <c r="AJ853" s="614"/>
      <c r="AK853" s="614"/>
      <c r="AL853" s="614"/>
      <c r="AM853" s="614"/>
      <c r="AN853" s="614"/>
      <c r="AO853" s="614"/>
      <c r="AP853" s="616"/>
      <c r="AQ853" s="616"/>
      <c r="AR853" s="616"/>
      <c r="AS853" s="614"/>
      <c r="AT853" s="614"/>
      <c r="AU853" s="614"/>
      <c r="AV853" s="614"/>
      <c r="AW853" s="614"/>
      <c r="AX853" s="614"/>
    </row>
    <row r="854" spans="1:50" x14ac:dyDescent="0.25">
      <c r="A854" s="612"/>
      <c r="B854" s="612"/>
      <c r="C854" s="613"/>
      <c r="D854" s="612"/>
      <c r="E854" s="612"/>
      <c r="F854" s="613"/>
      <c r="G854" s="612"/>
      <c r="H854" s="612"/>
      <c r="I854" s="735"/>
      <c r="J854" s="612"/>
      <c r="K854" s="613"/>
      <c r="L854" s="614"/>
      <c r="M854" s="614"/>
      <c r="N854" s="614"/>
      <c r="O854" s="614"/>
      <c r="P854" s="614"/>
      <c r="Q854" s="614"/>
      <c r="R854" s="614"/>
      <c r="S854" s="614"/>
      <c r="T854" s="614"/>
      <c r="U854" s="614"/>
      <c r="V854" s="614"/>
      <c r="W854" s="614"/>
      <c r="X854" s="614"/>
      <c r="Y854" s="614"/>
      <c r="Z854" s="614"/>
      <c r="AA854" s="614"/>
      <c r="AB854" s="614"/>
      <c r="AC854" s="614"/>
      <c r="AJ854" s="614"/>
      <c r="AK854" s="614"/>
      <c r="AL854" s="614"/>
      <c r="AM854" s="614"/>
      <c r="AN854" s="614"/>
      <c r="AO854" s="614"/>
      <c r="AP854" s="616"/>
      <c r="AQ854" s="616"/>
      <c r="AR854" s="616"/>
      <c r="AS854" s="614"/>
      <c r="AT854" s="614"/>
      <c r="AU854" s="614"/>
      <c r="AV854" s="614"/>
      <c r="AW854" s="614"/>
      <c r="AX854" s="614"/>
    </row>
    <row r="855" spans="1:50" x14ac:dyDescent="0.25">
      <c r="A855" s="612"/>
      <c r="B855" s="612"/>
      <c r="C855" s="613"/>
      <c r="D855" s="612"/>
      <c r="E855" s="612"/>
      <c r="F855" s="613"/>
      <c r="G855" s="612"/>
      <c r="H855" s="612"/>
      <c r="I855" s="735"/>
      <c r="J855" s="612"/>
      <c r="K855" s="613"/>
      <c r="L855" s="614"/>
      <c r="M855" s="614"/>
      <c r="N855" s="614"/>
      <c r="O855" s="614"/>
      <c r="P855" s="614"/>
      <c r="Q855" s="614"/>
      <c r="R855" s="614"/>
      <c r="S855" s="614"/>
      <c r="T855" s="614"/>
      <c r="U855" s="614"/>
      <c r="V855" s="614"/>
      <c r="W855" s="614"/>
      <c r="X855" s="614"/>
      <c r="Y855" s="614"/>
      <c r="Z855" s="614"/>
      <c r="AA855" s="614"/>
      <c r="AB855" s="614"/>
      <c r="AC855" s="614"/>
      <c r="AJ855" s="614"/>
      <c r="AK855" s="614"/>
      <c r="AL855" s="614"/>
      <c r="AM855" s="614"/>
      <c r="AN855" s="614"/>
      <c r="AO855" s="614"/>
      <c r="AP855" s="616"/>
      <c r="AQ855" s="616"/>
      <c r="AR855" s="616"/>
      <c r="AS855" s="614"/>
      <c r="AT855" s="614"/>
      <c r="AU855" s="614"/>
      <c r="AV855" s="614"/>
      <c r="AW855" s="614"/>
      <c r="AX855" s="614"/>
    </row>
    <row r="856" spans="1:50" x14ac:dyDescent="0.25">
      <c r="A856" s="612"/>
      <c r="B856" s="612"/>
      <c r="C856" s="613"/>
      <c r="D856" s="612"/>
      <c r="E856" s="612"/>
      <c r="F856" s="613"/>
      <c r="G856" s="612"/>
      <c r="H856" s="612"/>
      <c r="I856" s="735"/>
      <c r="J856" s="612"/>
      <c r="K856" s="613"/>
      <c r="L856" s="614"/>
      <c r="M856" s="614"/>
      <c r="N856" s="614"/>
      <c r="O856" s="614"/>
      <c r="P856" s="614"/>
      <c r="Q856" s="614"/>
      <c r="R856" s="614"/>
      <c r="S856" s="614"/>
      <c r="T856" s="614"/>
      <c r="U856" s="614"/>
      <c r="V856" s="614"/>
      <c r="W856" s="614"/>
      <c r="X856" s="614"/>
      <c r="Y856" s="614"/>
      <c r="Z856" s="614"/>
      <c r="AA856" s="614"/>
      <c r="AB856" s="614"/>
      <c r="AC856" s="614"/>
      <c r="AJ856" s="614"/>
      <c r="AK856" s="614"/>
      <c r="AL856" s="614"/>
      <c r="AM856" s="614"/>
      <c r="AN856" s="614"/>
      <c r="AO856" s="614"/>
      <c r="AP856" s="616"/>
      <c r="AQ856" s="616"/>
      <c r="AR856" s="616"/>
      <c r="AS856" s="614"/>
      <c r="AT856" s="614"/>
      <c r="AU856" s="614"/>
      <c r="AV856" s="614"/>
      <c r="AW856" s="614"/>
      <c r="AX856" s="614"/>
    </row>
    <row r="857" spans="1:50" x14ac:dyDescent="0.25">
      <c r="A857" s="612"/>
      <c r="B857" s="612"/>
      <c r="C857" s="613"/>
      <c r="D857" s="612"/>
      <c r="E857" s="612"/>
      <c r="F857" s="613"/>
      <c r="G857" s="612"/>
      <c r="H857" s="612"/>
      <c r="I857" s="735"/>
      <c r="J857" s="612"/>
      <c r="K857" s="613"/>
      <c r="L857" s="614"/>
      <c r="M857" s="614"/>
      <c r="N857" s="614"/>
      <c r="O857" s="614"/>
      <c r="P857" s="614"/>
      <c r="Q857" s="614"/>
      <c r="R857" s="614"/>
      <c r="S857" s="614"/>
      <c r="T857" s="614"/>
      <c r="U857" s="614"/>
      <c r="V857" s="614"/>
      <c r="W857" s="614"/>
      <c r="X857" s="614"/>
      <c r="Y857" s="614"/>
      <c r="Z857" s="614"/>
      <c r="AA857" s="614"/>
      <c r="AB857" s="614"/>
      <c r="AC857" s="614"/>
      <c r="AJ857" s="614"/>
      <c r="AK857" s="614"/>
      <c r="AL857" s="614"/>
      <c r="AM857" s="614"/>
      <c r="AN857" s="614"/>
      <c r="AO857" s="614"/>
      <c r="AP857" s="616"/>
      <c r="AQ857" s="616"/>
      <c r="AR857" s="616"/>
      <c r="AS857" s="614"/>
      <c r="AT857" s="614"/>
      <c r="AU857" s="614"/>
      <c r="AV857" s="614"/>
      <c r="AW857" s="614"/>
      <c r="AX857" s="614"/>
    </row>
    <row r="858" spans="1:50" x14ac:dyDescent="0.25">
      <c r="A858" s="612"/>
      <c r="B858" s="612"/>
      <c r="C858" s="613"/>
      <c r="D858" s="612"/>
      <c r="E858" s="612"/>
      <c r="F858" s="613"/>
      <c r="G858" s="612"/>
      <c r="H858" s="612"/>
      <c r="I858" s="735"/>
      <c r="J858" s="612"/>
      <c r="K858" s="613"/>
      <c r="L858" s="614"/>
      <c r="M858" s="614"/>
      <c r="N858" s="614"/>
      <c r="O858" s="614"/>
      <c r="P858" s="614"/>
      <c r="Q858" s="614"/>
      <c r="R858" s="614"/>
      <c r="S858" s="614"/>
      <c r="T858" s="614"/>
      <c r="U858" s="614"/>
      <c r="V858" s="614"/>
      <c r="W858" s="614"/>
      <c r="X858" s="614"/>
      <c r="Y858" s="614"/>
      <c r="Z858" s="614"/>
      <c r="AA858" s="614"/>
      <c r="AB858" s="614"/>
      <c r="AC858" s="614"/>
      <c r="AJ858" s="614"/>
      <c r="AK858" s="614"/>
      <c r="AL858" s="614"/>
      <c r="AM858" s="614"/>
      <c r="AN858" s="614"/>
      <c r="AO858" s="614"/>
      <c r="AP858" s="616"/>
      <c r="AQ858" s="616"/>
      <c r="AR858" s="616"/>
      <c r="AS858" s="614"/>
      <c r="AT858" s="614"/>
      <c r="AU858" s="614"/>
      <c r="AV858" s="614"/>
      <c r="AW858" s="614"/>
      <c r="AX858" s="614"/>
    </row>
    <row r="859" spans="1:50" x14ac:dyDescent="0.25">
      <c r="A859" s="612"/>
      <c r="B859" s="612"/>
      <c r="C859" s="613"/>
      <c r="D859" s="612"/>
      <c r="E859" s="612"/>
      <c r="F859" s="613"/>
      <c r="G859" s="612"/>
      <c r="H859" s="612"/>
      <c r="I859" s="735"/>
      <c r="J859" s="612"/>
      <c r="K859" s="613"/>
      <c r="L859" s="614"/>
      <c r="M859" s="614"/>
      <c r="N859" s="614"/>
      <c r="O859" s="614"/>
      <c r="P859" s="614"/>
      <c r="Q859" s="614"/>
      <c r="R859" s="614"/>
      <c r="S859" s="614"/>
      <c r="T859" s="614"/>
      <c r="U859" s="614"/>
      <c r="V859" s="614"/>
      <c r="W859" s="614"/>
      <c r="X859" s="614"/>
      <c r="Y859" s="614"/>
      <c r="Z859" s="614"/>
      <c r="AA859" s="614"/>
      <c r="AB859" s="614"/>
      <c r="AC859" s="614"/>
      <c r="AJ859" s="614"/>
      <c r="AK859" s="614"/>
      <c r="AL859" s="614"/>
      <c r="AM859" s="614"/>
      <c r="AN859" s="614"/>
      <c r="AO859" s="614"/>
      <c r="AP859" s="616"/>
      <c r="AQ859" s="616"/>
      <c r="AR859" s="616"/>
      <c r="AS859" s="614"/>
      <c r="AT859" s="614"/>
      <c r="AU859" s="614"/>
      <c r="AV859" s="614"/>
      <c r="AW859" s="614"/>
      <c r="AX859" s="614"/>
    </row>
    <row r="860" spans="1:50" x14ac:dyDescent="0.25">
      <c r="A860" s="612"/>
      <c r="B860" s="612"/>
      <c r="C860" s="613"/>
      <c r="D860" s="612"/>
      <c r="E860" s="612"/>
      <c r="F860" s="613"/>
      <c r="G860" s="612"/>
      <c r="H860" s="612"/>
      <c r="I860" s="735"/>
      <c r="J860" s="612"/>
      <c r="K860" s="613"/>
      <c r="L860" s="614"/>
      <c r="M860" s="614"/>
      <c r="N860" s="614"/>
      <c r="O860" s="614"/>
      <c r="P860" s="614"/>
      <c r="Q860" s="614"/>
      <c r="R860" s="614"/>
      <c r="S860" s="614"/>
      <c r="T860" s="614"/>
      <c r="U860" s="614"/>
      <c r="V860" s="614"/>
      <c r="W860" s="614"/>
      <c r="X860" s="614"/>
      <c r="Y860" s="614"/>
      <c r="Z860" s="614"/>
      <c r="AA860" s="614"/>
      <c r="AB860" s="614"/>
      <c r="AC860" s="614"/>
      <c r="AJ860" s="614"/>
      <c r="AK860" s="614"/>
      <c r="AL860" s="614"/>
      <c r="AM860" s="614"/>
      <c r="AN860" s="614"/>
      <c r="AO860" s="614"/>
      <c r="AP860" s="616"/>
      <c r="AQ860" s="616"/>
      <c r="AR860" s="616"/>
      <c r="AS860" s="614"/>
      <c r="AT860" s="614"/>
      <c r="AU860" s="614"/>
      <c r="AV860" s="614"/>
      <c r="AW860" s="614"/>
      <c r="AX860" s="614"/>
    </row>
    <row r="861" spans="1:50" x14ac:dyDescent="0.25">
      <c r="A861" s="612"/>
      <c r="B861" s="612"/>
      <c r="C861" s="613"/>
      <c r="D861" s="612"/>
      <c r="E861" s="612"/>
      <c r="F861" s="613"/>
      <c r="G861" s="612"/>
      <c r="H861" s="612"/>
      <c r="I861" s="735"/>
      <c r="J861" s="612"/>
      <c r="K861" s="613"/>
      <c r="L861" s="614"/>
      <c r="M861" s="614"/>
      <c r="N861" s="614"/>
      <c r="O861" s="614"/>
      <c r="P861" s="614"/>
      <c r="Q861" s="614"/>
      <c r="R861" s="614"/>
      <c r="S861" s="614"/>
      <c r="T861" s="614"/>
      <c r="U861" s="614"/>
      <c r="V861" s="614"/>
      <c r="W861" s="614"/>
      <c r="X861" s="614"/>
      <c r="Y861" s="614"/>
      <c r="Z861" s="614"/>
      <c r="AA861" s="614"/>
      <c r="AB861" s="614"/>
      <c r="AC861" s="614"/>
      <c r="AJ861" s="614"/>
      <c r="AK861" s="614"/>
      <c r="AL861" s="614"/>
      <c r="AM861" s="614"/>
      <c r="AN861" s="614"/>
      <c r="AO861" s="614"/>
      <c r="AP861" s="616"/>
      <c r="AQ861" s="616"/>
      <c r="AR861" s="616"/>
      <c r="AS861" s="614"/>
      <c r="AT861" s="614"/>
      <c r="AU861" s="614"/>
      <c r="AV861" s="614"/>
      <c r="AW861" s="614"/>
      <c r="AX861" s="614"/>
    </row>
    <row r="862" spans="1:50" x14ac:dyDescent="0.25">
      <c r="A862" s="612"/>
      <c r="B862" s="612"/>
      <c r="C862" s="613"/>
      <c r="D862" s="612"/>
      <c r="E862" s="612"/>
      <c r="F862" s="613"/>
      <c r="G862" s="612"/>
      <c r="H862" s="612"/>
      <c r="I862" s="735"/>
      <c r="J862" s="612"/>
      <c r="K862" s="613"/>
      <c r="L862" s="614"/>
      <c r="M862" s="614"/>
      <c r="N862" s="614"/>
      <c r="O862" s="614"/>
      <c r="P862" s="614"/>
      <c r="Q862" s="614"/>
      <c r="R862" s="614"/>
      <c r="S862" s="614"/>
      <c r="T862" s="614"/>
      <c r="U862" s="614"/>
      <c r="V862" s="614"/>
      <c r="W862" s="614"/>
      <c r="X862" s="614"/>
      <c r="Y862" s="614"/>
      <c r="Z862" s="614"/>
      <c r="AA862" s="614"/>
      <c r="AB862" s="614"/>
      <c r="AC862" s="614"/>
      <c r="AJ862" s="614"/>
      <c r="AK862" s="614"/>
      <c r="AL862" s="614"/>
      <c r="AM862" s="614"/>
      <c r="AN862" s="614"/>
      <c r="AO862" s="614"/>
      <c r="AP862" s="616"/>
      <c r="AQ862" s="616"/>
      <c r="AR862" s="616"/>
      <c r="AS862" s="614"/>
      <c r="AT862" s="614"/>
      <c r="AU862" s="614"/>
      <c r="AV862" s="614"/>
      <c r="AW862" s="614"/>
      <c r="AX862" s="614"/>
    </row>
    <row r="863" spans="1:50" x14ac:dyDescent="0.25">
      <c r="A863" s="612"/>
      <c r="B863" s="612"/>
      <c r="C863" s="613"/>
      <c r="D863" s="612"/>
      <c r="E863" s="612"/>
      <c r="F863" s="613"/>
      <c r="G863" s="612"/>
      <c r="H863" s="612"/>
      <c r="I863" s="735"/>
      <c r="J863" s="612"/>
      <c r="K863" s="613"/>
      <c r="L863" s="614"/>
      <c r="M863" s="614"/>
      <c r="N863" s="614"/>
      <c r="O863" s="614"/>
      <c r="P863" s="614"/>
      <c r="Q863" s="614"/>
      <c r="R863" s="614"/>
      <c r="S863" s="614"/>
      <c r="T863" s="614"/>
      <c r="U863" s="614"/>
      <c r="V863" s="614"/>
      <c r="W863" s="614"/>
      <c r="X863" s="614"/>
      <c r="Y863" s="614"/>
      <c r="Z863" s="614"/>
      <c r="AA863" s="614"/>
      <c r="AB863" s="614"/>
      <c r="AC863" s="614"/>
      <c r="AJ863" s="614"/>
      <c r="AK863" s="614"/>
      <c r="AL863" s="614"/>
      <c r="AM863" s="614"/>
      <c r="AN863" s="614"/>
      <c r="AO863" s="614"/>
      <c r="AP863" s="616"/>
      <c r="AQ863" s="616"/>
      <c r="AR863" s="616"/>
      <c r="AS863" s="614"/>
      <c r="AT863" s="614"/>
      <c r="AU863" s="614"/>
      <c r="AV863" s="614"/>
      <c r="AW863" s="614"/>
      <c r="AX863" s="614"/>
    </row>
    <row r="864" spans="1:50" x14ac:dyDescent="0.25">
      <c r="A864" s="612"/>
      <c r="B864" s="612"/>
      <c r="C864" s="613"/>
      <c r="D864" s="612"/>
      <c r="E864" s="612"/>
      <c r="F864" s="613"/>
      <c r="G864" s="612"/>
      <c r="H864" s="612"/>
      <c r="I864" s="735"/>
      <c r="J864" s="612"/>
      <c r="K864" s="613"/>
      <c r="L864" s="614"/>
      <c r="M864" s="614"/>
      <c r="N864" s="614"/>
      <c r="O864" s="614"/>
      <c r="P864" s="614"/>
      <c r="Q864" s="614"/>
      <c r="R864" s="614"/>
      <c r="S864" s="614"/>
      <c r="T864" s="614"/>
      <c r="U864" s="614"/>
      <c r="V864" s="614"/>
      <c r="W864" s="614"/>
      <c r="X864" s="614"/>
      <c r="Y864" s="614"/>
      <c r="Z864" s="614"/>
      <c r="AA864" s="614"/>
      <c r="AB864" s="614"/>
      <c r="AC864" s="614"/>
      <c r="AJ864" s="614"/>
      <c r="AK864" s="614"/>
      <c r="AL864" s="614"/>
      <c r="AM864" s="614"/>
      <c r="AN864" s="614"/>
      <c r="AO864" s="614"/>
      <c r="AP864" s="616"/>
      <c r="AQ864" s="616"/>
      <c r="AR864" s="616"/>
      <c r="AS864" s="614"/>
      <c r="AT864" s="614"/>
      <c r="AU864" s="614"/>
      <c r="AV864" s="614"/>
      <c r="AW864" s="614"/>
      <c r="AX864" s="614"/>
    </row>
    <row r="865" spans="1:50" x14ac:dyDescent="0.25">
      <c r="A865" s="612"/>
      <c r="B865" s="612"/>
      <c r="C865" s="613"/>
      <c r="D865" s="612"/>
      <c r="E865" s="612"/>
      <c r="F865" s="613"/>
      <c r="G865" s="612"/>
      <c r="H865" s="612"/>
      <c r="I865" s="735"/>
      <c r="J865" s="612"/>
      <c r="K865" s="613"/>
      <c r="L865" s="614"/>
      <c r="M865" s="614"/>
      <c r="N865" s="614"/>
      <c r="O865" s="614"/>
      <c r="P865" s="614"/>
      <c r="Q865" s="614"/>
      <c r="R865" s="614"/>
      <c r="S865" s="614"/>
      <c r="T865" s="614"/>
      <c r="U865" s="614"/>
      <c r="V865" s="614"/>
      <c r="W865" s="614"/>
      <c r="X865" s="614"/>
      <c r="Y865" s="614"/>
      <c r="Z865" s="614"/>
      <c r="AA865" s="614"/>
      <c r="AB865" s="614"/>
      <c r="AC865" s="614"/>
      <c r="AJ865" s="614"/>
      <c r="AK865" s="614"/>
      <c r="AL865" s="614"/>
      <c r="AM865" s="614"/>
      <c r="AN865" s="614"/>
      <c r="AO865" s="614"/>
      <c r="AP865" s="616"/>
      <c r="AQ865" s="616"/>
      <c r="AR865" s="616"/>
      <c r="AS865" s="614"/>
      <c r="AT865" s="614"/>
      <c r="AU865" s="614"/>
      <c r="AV865" s="614"/>
      <c r="AW865" s="614"/>
      <c r="AX865" s="614"/>
    </row>
    <row r="866" spans="1:50" x14ac:dyDescent="0.25">
      <c r="A866" s="612"/>
      <c r="B866" s="612"/>
      <c r="C866" s="613"/>
      <c r="D866" s="612"/>
      <c r="E866" s="612"/>
      <c r="F866" s="613"/>
      <c r="G866" s="612"/>
      <c r="H866" s="612"/>
      <c r="I866" s="735"/>
      <c r="J866" s="612"/>
      <c r="K866" s="613"/>
      <c r="L866" s="614"/>
      <c r="M866" s="614"/>
      <c r="N866" s="614"/>
      <c r="O866" s="614"/>
      <c r="P866" s="614"/>
      <c r="Q866" s="614"/>
      <c r="R866" s="614"/>
      <c r="S866" s="614"/>
      <c r="T866" s="614"/>
      <c r="U866" s="614"/>
      <c r="V866" s="614"/>
      <c r="W866" s="614"/>
      <c r="X866" s="614"/>
      <c r="Y866" s="614"/>
      <c r="Z866" s="614"/>
      <c r="AA866" s="614"/>
      <c r="AB866" s="614"/>
      <c r="AC866" s="614"/>
      <c r="AJ866" s="614"/>
      <c r="AK866" s="614"/>
      <c r="AL866" s="614"/>
      <c r="AM866" s="614"/>
      <c r="AN866" s="614"/>
      <c r="AO866" s="614"/>
      <c r="AP866" s="616"/>
      <c r="AQ866" s="616"/>
      <c r="AR866" s="616"/>
      <c r="AS866" s="614"/>
      <c r="AT866" s="614"/>
      <c r="AU866" s="614"/>
      <c r="AV866" s="614"/>
      <c r="AW866" s="614"/>
      <c r="AX866" s="614"/>
    </row>
    <row r="867" spans="1:50" x14ac:dyDescent="0.25">
      <c r="A867" s="612"/>
      <c r="B867" s="612"/>
      <c r="C867" s="613"/>
      <c r="D867" s="612"/>
      <c r="E867" s="612"/>
      <c r="F867" s="613"/>
      <c r="G867" s="612"/>
      <c r="H867" s="612"/>
      <c r="I867" s="735"/>
      <c r="J867" s="612"/>
      <c r="K867" s="613"/>
      <c r="L867" s="614"/>
      <c r="M867" s="614"/>
      <c r="N867" s="614"/>
      <c r="O867" s="614"/>
      <c r="P867" s="614"/>
      <c r="Q867" s="614"/>
      <c r="R867" s="614"/>
      <c r="S867" s="614"/>
      <c r="T867" s="614"/>
      <c r="U867" s="614"/>
      <c r="V867" s="614"/>
      <c r="W867" s="614"/>
      <c r="X867" s="614"/>
      <c r="Y867" s="614"/>
      <c r="Z867" s="614"/>
      <c r="AA867" s="614"/>
      <c r="AB867" s="614"/>
      <c r="AC867" s="614"/>
      <c r="AJ867" s="614"/>
      <c r="AK867" s="614"/>
      <c r="AL867" s="614"/>
      <c r="AM867" s="614"/>
      <c r="AN867" s="614"/>
      <c r="AO867" s="614"/>
      <c r="AP867" s="616"/>
      <c r="AQ867" s="616"/>
      <c r="AR867" s="616"/>
      <c r="AS867" s="614"/>
      <c r="AT867" s="614"/>
      <c r="AU867" s="614"/>
      <c r="AV867" s="614"/>
      <c r="AW867" s="614"/>
      <c r="AX867" s="614"/>
    </row>
    <row r="868" spans="1:50" x14ac:dyDescent="0.25">
      <c r="A868" s="612"/>
      <c r="B868" s="612"/>
      <c r="C868" s="613"/>
      <c r="D868" s="612"/>
      <c r="E868" s="612"/>
      <c r="F868" s="613"/>
      <c r="G868" s="612"/>
      <c r="H868" s="612"/>
      <c r="I868" s="735"/>
      <c r="J868" s="612"/>
      <c r="K868" s="613"/>
      <c r="L868" s="614"/>
      <c r="M868" s="614"/>
      <c r="N868" s="614"/>
      <c r="O868" s="614"/>
      <c r="P868" s="614"/>
      <c r="Q868" s="614"/>
      <c r="R868" s="614"/>
      <c r="S868" s="614"/>
      <c r="T868" s="614"/>
      <c r="U868" s="614"/>
      <c r="V868" s="614"/>
      <c r="W868" s="614"/>
      <c r="X868" s="614"/>
      <c r="Y868" s="614"/>
      <c r="Z868" s="614"/>
      <c r="AA868" s="614"/>
      <c r="AB868" s="614"/>
      <c r="AC868" s="614"/>
      <c r="AJ868" s="614"/>
      <c r="AK868" s="614"/>
      <c r="AL868" s="614"/>
      <c r="AM868" s="614"/>
      <c r="AN868" s="614"/>
      <c r="AO868" s="614"/>
      <c r="AP868" s="616"/>
      <c r="AQ868" s="616"/>
      <c r="AR868" s="616"/>
      <c r="AS868" s="614"/>
      <c r="AT868" s="614"/>
      <c r="AU868" s="614"/>
      <c r="AV868" s="614"/>
      <c r="AW868" s="614"/>
      <c r="AX868" s="614"/>
    </row>
    <row r="869" spans="1:50" x14ac:dyDescent="0.25">
      <c r="A869" s="612"/>
      <c r="B869" s="612"/>
      <c r="C869" s="613"/>
      <c r="D869" s="612"/>
      <c r="E869" s="612"/>
      <c r="F869" s="613"/>
      <c r="G869" s="612"/>
      <c r="H869" s="612"/>
      <c r="I869" s="735"/>
      <c r="J869" s="612"/>
      <c r="K869" s="613"/>
      <c r="L869" s="614"/>
      <c r="M869" s="614"/>
      <c r="N869" s="614"/>
      <c r="O869" s="614"/>
      <c r="P869" s="614"/>
      <c r="Q869" s="614"/>
      <c r="R869" s="614"/>
      <c r="S869" s="614"/>
      <c r="T869" s="614"/>
      <c r="U869" s="614"/>
      <c r="V869" s="614"/>
      <c r="W869" s="614"/>
      <c r="X869" s="614"/>
      <c r="Y869" s="614"/>
      <c r="Z869" s="614"/>
      <c r="AA869" s="614"/>
      <c r="AB869" s="614"/>
      <c r="AC869" s="614"/>
      <c r="AJ869" s="614"/>
      <c r="AK869" s="614"/>
      <c r="AL869" s="614"/>
      <c r="AM869" s="614"/>
      <c r="AN869" s="614"/>
      <c r="AO869" s="614"/>
      <c r="AP869" s="616"/>
      <c r="AQ869" s="616"/>
      <c r="AR869" s="616"/>
      <c r="AS869" s="614"/>
      <c r="AT869" s="614"/>
      <c r="AU869" s="614"/>
      <c r="AV869" s="614"/>
      <c r="AW869" s="614"/>
      <c r="AX869" s="614"/>
    </row>
    <row r="870" spans="1:50" x14ac:dyDescent="0.25">
      <c r="A870" s="612"/>
      <c r="B870" s="612"/>
      <c r="C870" s="613"/>
      <c r="D870" s="612"/>
      <c r="E870" s="612"/>
      <c r="F870" s="613"/>
      <c r="G870" s="612"/>
      <c r="H870" s="612"/>
      <c r="I870" s="735"/>
      <c r="J870" s="612"/>
      <c r="K870" s="613"/>
      <c r="L870" s="614"/>
      <c r="M870" s="614"/>
      <c r="N870" s="614"/>
      <c r="O870" s="614"/>
      <c r="P870" s="614"/>
      <c r="Q870" s="614"/>
      <c r="R870" s="614"/>
      <c r="S870" s="614"/>
      <c r="T870" s="614"/>
      <c r="U870" s="614"/>
      <c r="V870" s="614"/>
      <c r="W870" s="614"/>
      <c r="X870" s="614"/>
      <c r="Y870" s="614"/>
      <c r="Z870" s="614"/>
      <c r="AA870" s="614"/>
      <c r="AB870" s="614"/>
      <c r="AC870" s="614"/>
      <c r="AJ870" s="614"/>
      <c r="AK870" s="614"/>
      <c r="AL870" s="614"/>
      <c r="AM870" s="614"/>
      <c r="AN870" s="614"/>
      <c r="AO870" s="614"/>
      <c r="AP870" s="616"/>
      <c r="AQ870" s="616"/>
      <c r="AR870" s="616"/>
      <c r="AS870" s="614"/>
      <c r="AT870" s="614"/>
      <c r="AU870" s="614"/>
      <c r="AV870" s="614"/>
      <c r="AW870" s="614"/>
      <c r="AX870" s="614"/>
    </row>
    <row r="871" spans="1:50" x14ac:dyDescent="0.25">
      <c r="A871" s="612"/>
      <c r="B871" s="612"/>
      <c r="C871" s="613"/>
      <c r="D871" s="612"/>
      <c r="E871" s="612"/>
      <c r="F871" s="613"/>
      <c r="G871" s="612"/>
      <c r="H871" s="612"/>
      <c r="I871" s="735"/>
      <c r="J871" s="612"/>
      <c r="K871" s="613"/>
      <c r="L871" s="614"/>
      <c r="M871" s="614"/>
      <c r="N871" s="614"/>
      <c r="O871" s="614"/>
      <c r="P871" s="614"/>
      <c r="Q871" s="614"/>
      <c r="R871" s="614"/>
      <c r="S871" s="614"/>
      <c r="T871" s="614"/>
      <c r="U871" s="614"/>
      <c r="V871" s="614"/>
      <c r="W871" s="614"/>
      <c r="X871" s="614"/>
      <c r="Y871" s="614"/>
      <c r="Z871" s="614"/>
      <c r="AA871" s="614"/>
      <c r="AB871" s="614"/>
      <c r="AC871" s="614"/>
      <c r="AJ871" s="614"/>
      <c r="AK871" s="614"/>
      <c r="AL871" s="614"/>
      <c r="AM871" s="614"/>
      <c r="AN871" s="614"/>
      <c r="AO871" s="614"/>
      <c r="AP871" s="616"/>
      <c r="AQ871" s="616"/>
      <c r="AR871" s="616"/>
      <c r="AS871" s="614"/>
      <c r="AT871" s="614"/>
      <c r="AU871" s="614"/>
      <c r="AV871" s="614"/>
      <c r="AW871" s="614"/>
      <c r="AX871" s="614"/>
    </row>
    <row r="872" spans="1:50" x14ac:dyDescent="0.25">
      <c r="A872" s="612"/>
      <c r="B872" s="612"/>
      <c r="C872" s="613"/>
      <c r="D872" s="612"/>
      <c r="E872" s="612"/>
      <c r="F872" s="613"/>
      <c r="G872" s="612"/>
      <c r="H872" s="612"/>
      <c r="I872" s="735"/>
      <c r="J872" s="612"/>
      <c r="K872" s="613"/>
      <c r="L872" s="614"/>
      <c r="M872" s="614"/>
      <c r="N872" s="614"/>
      <c r="O872" s="614"/>
      <c r="P872" s="614"/>
      <c r="Q872" s="614"/>
      <c r="R872" s="614"/>
      <c r="S872" s="614"/>
      <c r="T872" s="614"/>
      <c r="U872" s="614"/>
      <c r="V872" s="614"/>
      <c r="W872" s="614"/>
      <c r="X872" s="614"/>
      <c r="Y872" s="614"/>
      <c r="Z872" s="614"/>
      <c r="AA872" s="614"/>
      <c r="AB872" s="614"/>
      <c r="AC872" s="614"/>
      <c r="AJ872" s="614"/>
      <c r="AK872" s="614"/>
      <c r="AL872" s="614"/>
      <c r="AM872" s="614"/>
      <c r="AN872" s="614"/>
      <c r="AO872" s="614"/>
      <c r="AP872" s="616"/>
      <c r="AQ872" s="616"/>
      <c r="AR872" s="616"/>
      <c r="AS872" s="614"/>
      <c r="AT872" s="614"/>
      <c r="AU872" s="614"/>
      <c r="AV872" s="614"/>
      <c r="AW872" s="614"/>
      <c r="AX872" s="614"/>
    </row>
    <row r="873" spans="1:50" x14ac:dyDescent="0.25">
      <c r="A873" s="612"/>
      <c r="B873" s="612"/>
      <c r="C873" s="613"/>
      <c r="D873" s="612"/>
      <c r="E873" s="612"/>
      <c r="F873" s="613"/>
      <c r="G873" s="612"/>
      <c r="H873" s="612"/>
      <c r="I873" s="735"/>
      <c r="J873" s="612"/>
      <c r="K873" s="613"/>
      <c r="L873" s="614"/>
      <c r="M873" s="614"/>
      <c r="N873" s="614"/>
      <c r="O873" s="614"/>
      <c r="P873" s="614"/>
      <c r="Q873" s="614"/>
      <c r="R873" s="614"/>
      <c r="S873" s="614"/>
      <c r="T873" s="614"/>
      <c r="U873" s="614"/>
      <c r="V873" s="614"/>
      <c r="W873" s="614"/>
      <c r="X873" s="614"/>
      <c r="Y873" s="614"/>
      <c r="Z873" s="614"/>
      <c r="AA873" s="614"/>
      <c r="AB873" s="614"/>
      <c r="AC873" s="614"/>
      <c r="AJ873" s="614"/>
      <c r="AK873" s="614"/>
      <c r="AL873" s="614"/>
      <c r="AM873" s="614"/>
      <c r="AN873" s="614"/>
      <c r="AO873" s="614"/>
      <c r="AP873" s="616"/>
      <c r="AQ873" s="616"/>
      <c r="AR873" s="616"/>
      <c r="AS873" s="614"/>
      <c r="AT873" s="614"/>
      <c r="AU873" s="614"/>
      <c r="AV873" s="614"/>
      <c r="AW873" s="614"/>
      <c r="AX873" s="614"/>
    </row>
    <row r="874" spans="1:50" x14ac:dyDescent="0.25">
      <c r="A874" s="612"/>
      <c r="B874" s="612"/>
      <c r="C874" s="613"/>
      <c r="D874" s="612"/>
      <c r="E874" s="612"/>
      <c r="F874" s="613"/>
      <c r="G874" s="612"/>
      <c r="H874" s="612"/>
      <c r="I874" s="735"/>
      <c r="J874" s="612"/>
      <c r="K874" s="613"/>
      <c r="L874" s="614"/>
      <c r="M874" s="614"/>
      <c r="N874" s="614"/>
      <c r="O874" s="614"/>
      <c r="P874" s="614"/>
      <c r="Q874" s="614"/>
      <c r="R874" s="614"/>
      <c r="S874" s="614"/>
      <c r="T874" s="614"/>
      <c r="U874" s="614"/>
      <c r="V874" s="614"/>
      <c r="W874" s="614"/>
      <c r="X874" s="614"/>
      <c r="Y874" s="614"/>
      <c r="Z874" s="614"/>
      <c r="AA874" s="614"/>
      <c r="AB874" s="614"/>
      <c r="AC874" s="614"/>
      <c r="AJ874" s="614"/>
      <c r="AK874" s="614"/>
      <c r="AL874" s="614"/>
      <c r="AM874" s="614"/>
      <c r="AN874" s="614"/>
      <c r="AO874" s="614"/>
      <c r="AP874" s="616"/>
      <c r="AQ874" s="616"/>
      <c r="AR874" s="616"/>
      <c r="AS874" s="614"/>
      <c r="AT874" s="614"/>
      <c r="AU874" s="614"/>
      <c r="AV874" s="614"/>
      <c r="AW874" s="614"/>
      <c r="AX874" s="614"/>
    </row>
    <row r="875" spans="1:50" x14ac:dyDescent="0.25">
      <c r="A875" s="612"/>
      <c r="B875" s="612"/>
      <c r="C875" s="613"/>
      <c r="D875" s="612"/>
      <c r="E875" s="612"/>
      <c r="F875" s="613"/>
      <c r="G875" s="612"/>
      <c r="H875" s="612"/>
      <c r="I875" s="735"/>
      <c r="J875" s="612"/>
      <c r="K875" s="613"/>
      <c r="L875" s="614"/>
      <c r="M875" s="614"/>
      <c r="N875" s="614"/>
      <c r="O875" s="614"/>
      <c r="P875" s="614"/>
      <c r="Q875" s="614"/>
      <c r="R875" s="614"/>
      <c r="S875" s="614"/>
      <c r="T875" s="614"/>
      <c r="U875" s="614"/>
      <c r="V875" s="614"/>
      <c r="W875" s="614"/>
      <c r="X875" s="614"/>
      <c r="Y875" s="614"/>
      <c r="Z875" s="614"/>
      <c r="AA875" s="614"/>
      <c r="AB875" s="614"/>
      <c r="AC875" s="614"/>
      <c r="AJ875" s="614"/>
      <c r="AK875" s="614"/>
      <c r="AL875" s="614"/>
      <c r="AM875" s="614"/>
      <c r="AN875" s="614"/>
      <c r="AO875" s="614"/>
      <c r="AP875" s="616"/>
      <c r="AQ875" s="616"/>
      <c r="AR875" s="616"/>
      <c r="AS875" s="614"/>
      <c r="AT875" s="614"/>
      <c r="AU875" s="614"/>
      <c r="AV875" s="614"/>
      <c r="AW875" s="614"/>
      <c r="AX875" s="614"/>
    </row>
    <row r="876" spans="1:50" x14ac:dyDescent="0.25">
      <c r="A876" s="612"/>
      <c r="B876" s="612"/>
      <c r="C876" s="613"/>
      <c r="D876" s="612"/>
      <c r="E876" s="612"/>
      <c r="F876" s="613"/>
      <c r="G876" s="612"/>
      <c r="H876" s="612"/>
      <c r="I876" s="735"/>
      <c r="J876" s="612"/>
      <c r="K876" s="613"/>
      <c r="L876" s="614"/>
      <c r="M876" s="614"/>
      <c r="N876" s="614"/>
      <c r="O876" s="614"/>
      <c r="P876" s="614"/>
      <c r="Q876" s="614"/>
      <c r="R876" s="614"/>
      <c r="S876" s="614"/>
      <c r="T876" s="614"/>
      <c r="U876" s="614"/>
      <c r="V876" s="614"/>
      <c r="W876" s="614"/>
      <c r="X876" s="614"/>
      <c r="Y876" s="614"/>
      <c r="Z876" s="614"/>
      <c r="AA876" s="614"/>
      <c r="AB876" s="614"/>
      <c r="AC876" s="614"/>
      <c r="AJ876" s="614"/>
      <c r="AK876" s="614"/>
      <c r="AL876" s="614"/>
      <c r="AM876" s="614"/>
      <c r="AN876" s="614"/>
      <c r="AO876" s="614"/>
      <c r="AP876" s="616"/>
      <c r="AQ876" s="616"/>
      <c r="AR876" s="616"/>
      <c r="AS876" s="614"/>
      <c r="AT876" s="614"/>
      <c r="AU876" s="614"/>
      <c r="AV876" s="614"/>
      <c r="AW876" s="614"/>
      <c r="AX876" s="614"/>
    </row>
    <row r="877" spans="1:50" x14ac:dyDescent="0.25">
      <c r="A877" s="612"/>
      <c r="B877" s="612"/>
      <c r="C877" s="613"/>
      <c r="D877" s="612"/>
      <c r="E877" s="612"/>
      <c r="F877" s="613"/>
      <c r="G877" s="612"/>
      <c r="H877" s="612"/>
      <c r="I877" s="735"/>
      <c r="J877" s="612"/>
      <c r="K877" s="613"/>
      <c r="L877" s="614"/>
      <c r="M877" s="614"/>
      <c r="N877" s="614"/>
      <c r="O877" s="614"/>
      <c r="P877" s="614"/>
      <c r="Q877" s="614"/>
      <c r="R877" s="614"/>
      <c r="S877" s="614"/>
      <c r="T877" s="614"/>
      <c r="U877" s="614"/>
      <c r="V877" s="614"/>
      <c r="W877" s="614"/>
      <c r="X877" s="614"/>
      <c r="Y877" s="614"/>
      <c r="Z877" s="614"/>
      <c r="AA877" s="614"/>
      <c r="AB877" s="614"/>
      <c r="AC877" s="614"/>
      <c r="AJ877" s="614"/>
      <c r="AK877" s="614"/>
      <c r="AL877" s="614"/>
      <c r="AM877" s="614"/>
      <c r="AN877" s="614"/>
      <c r="AO877" s="614"/>
      <c r="AP877" s="616"/>
      <c r="AQ877" s="616"/>
      <c r="AR877" s="616"/>
      <c r="AS877" s="614"/>
      <c r="AT877" s="614"/>
      <c r="AU877" s="614"/>
      <c r="AV877" s="614"/>
      <c r="AW877" s="614"/>
      <c r="AX877" s="614"/>
    </row>
    <row r="878" spans="1:50" x14ac:dyDescent="0.25">
      <c r="A878" s="612"/>
      <c r="B878" s="612"/>
      <c r="C878" s="613"/>
      <c r="D878" s="612"/>
      <c r="E878" s="612"/>
      <c r="F878" s="613"/>
      <c r="G878" s="612"/>
      <c r="H878" s="612"/>
      <c r="I878" s="735"/>
      <c r="J878" s="612"/>
      <c r="K878" s="613"/>
      <c r="L878" s="614"/>
      <c r="M878" s="614"/>
      <c r="N878" s="614"/>
      <c r="O878" s="614"/>
      <c r="P878" s="614"/>
      <c r="Q878" s="614"/>
      <c r="R878" s="614"/>
      <c r="S878" s="614"/>
      <c r="T878" s="614"/>
      <c r="U878" s="614"/>
      <c r="V878" s="614"/>
      <c r="W878" s="614"/>
      <c r="X878" s="614"/>
      <c r="Y878" s="614"/>
      <c r="Z878" s="614"/>
      <c r="AA878" s="614"/>
      <c r="AB878" s="614"/>
      <c r="AC878" s="614"/>
      <c r="AJ878" s="614"/>
      <c r="AK878" s="614"/>
      <c r="AL878" s="614"/>
      <c r="AM878" s="614"/>
      <c r="AN878" s="614"/>
      <c r="AO878" s="614"/>
      <c r="AP878" s="616"/>
      <c r="AQ878" s="616"/>
      <c r="AR878" s="616"/>
      <c r="AS878" s="614"/>
      <c r="AT878" s="614"/>
      <c r="AU878" s="614"/>
      <c r="AV878" s="614"/>
      <c r="AW878" s="614"/>
      <c r="AX878" s="614"/>
    </row>
    <row r="879" spans="1:50" x14ac:dyDescent="0.25">
      <c r="A879" s="612"/>
      <c r="B879" s="612"/>
      <c r="C879" s="613"/>
      <c r="D879" s="612"/>
      <c r="E879" s="612"/>
      <c r="F879" s="613"/>
      <c r="G879" s="612"/>
      <c r="H879" s="612"/>
      <c r="I879" s="735"/>
      <c r="J879" s="612"/>
      <c r="K879" s="613"/>
      <c r="L879" s="614"/>
      <c r="M879" s="614"/>
      <c r="N879" s="614"/>
      <c r="O879" s="614"/>
      <c r="P879" s="614"/>
      <c r="Q879" s="614"/>
      <c r="R879" s="614"/>
      <c r="S879" s="614"/>
      <c r="T879" s="614"/>
      <c r="U879" s="614"/>
      <c r="V879" s="614"/>
      <c r="W879" s="614"/>
      <c r="X879" s="614"/>
      <c r="Y879" s="614"/>
      <c r="Z879" s="614"/>
      <c r="AA879" s="614"/>
      <c r="AB879" s="614"/>
      <c r="AC879" s="614"/>
      <c r="AJ879" s="614"/>
      <c r="AK879" s="614"/>
      <c r="AL879" s="614"/>
      <c r="AM879" s="614"/>
      <c r="AN879" s="614"/>
      <c r="AO879" s="614"/>
      <c r="AP879" s="616"/>
      <c r="AQ879" s="616"/>
      <c r="AR879" s="616"/>
      <c r="AS879" s="614"/>
      <c r="AT879" s="614"/>
      <c r="AU879" s="614"/>
      <c r="AV879" s="614"/>
      <c r="AW879" s="614"/>
      <c r="AX879" s="614"/>
    </row>
    <row r="880" spans="1:50" x14ac:dyDescent="0.25">
      <c r="A880" s="612"/>
      <c r="B880" s="612"/>
      <c r="C880" s="613"/>
      <c r="D880" s="612"/>
      <c r="E880" s="612"/>
      <c r="F880" s="613"/>
      <c r="G880" s="612"/>
      <c r="H880" s="612"/>
      <c r="I880" s="735"/>
      <c r="J880" s="612"/>
      <c r="K880" s="613"/>
      <c r="L880" s="614"/>
      <c r="M880" s="614"/>
      <c r="N880" s="614"/>
      <c r="O880" s="614"/>
      <c r="P880" s="614"/>
      <c r="Q880" s="614"/>
      <c r="R880" s="614"/>
      <c r="S880" s="614"/>
      <c r="T880" s="614"/>
      <c r="U880" s="614"/>
      <c r="V880" s="614"/>
      <c r="W880" s="614"/>
      <c r="X880" s="614"/>
      <c r="Y880" s="614"/>
      <c r="Z880" s="614"/>
      <c r="AA880" s="614"/>
      <c r="AB880" s="614"/>
      <c r="AC880" s="614"/>
      <c r="AJ880" s="614"/>
      <c r="AK880" s="614"/>
      <c r="AL880" s="614"/>
      <c r="AM880" s="614"/>
      <c r="AN880" s="614"/>
      <c r="AO880" s="614"/>
      <c r="AP880" s="616"/>
      <c r="AQ880" s="616"/>
      <c r="AR880" s="616"/>
      <c r="AS880" s="614"/>
      <c r="AT880" s="614"/>
      <c r="AU880" s="614"/>
      <c r="AV880" s="614"/>
      <c r="AW880" s="614"/>
      <c r="AX880" s="614"/>
    </row>
    <row r="881" spans="1:50" x14ac:dyDescent="0.25">
      <c r="A881" s="612"/>
      <c r="B881" s="612"/>
      <c r="C881" s="613"/>
      <c r="D881" s="612"/>
      <c r="E881" s="612"/>
      <c r="F881" s="613"/>
      <c r="G881" s="612"/>
      <c r="H881" s="612"/>
      <c r="I881" s="735"/>
      <c r="J881" s="612"/>
      <c r="K881" s="613"/>
      <c r="L881" s="614"/>
      <c r="M881" s="614"/>
      <c r="N881" s="614"/>
      <c r="O881" s="614"/>
      <c r="P881" s="614"/>
      <c r="Q881" s="614"/>
      <c r="R881" s="614"/>
      <c r="S881" s="614"/>
      <c r="T881" s="614"/>
      <c r="U881" s="614"/>
      <c r="V881" s="614"/>
      <c r="W881" s="614"/>
      <c r="X881" s="614"/>
      <c r="Y881" s="614"/>
      <c r="Z881" s="614"/>
      <c r="AA881" s="614"/>
      <c r="AB881" s="614"/>
      <c r="AC881" s="614"/>
      <c r="AJ881" s="614"/>
      <c r="AK881" s="614"/>
      <c r="AL881" s="614"/>
      <c r="AM881" s="614"/>
      <c r="AN881" s="614"/>
      <c r="AO881" s="614"/>
      <c r="AP881" s="616"/>
      <c r="AQ881" s="616"/>
      <c r="AR881" s="616"/>
      <c r="AS881" s="614"/>
      <c r="AT881" s="614"/>
      <c r="AU881" s="614"/>
      <c r="AV881" s="614"/>
      <c r="AW881" s="614"/>
      <c r="AX881" s="614"/>
    </row>
    <row r="882" spans="1:50" x14ac:dyDescent="0.25">
      <c r="A882" s="612"/>
      <c r="B882" s="612"/>
      <c r="C882" s="613"/>
      <c r="D882" s="612"/>
      <c r="E882" s="612"/>
      <c r="F882" s="613"/>
      <c r="G882" s="612"/>
      <c r="H882" s="612"/>
      <c r="I882" s="735"/>
      <c r="J882" s="612"/>
      <c r="K882" s="613"/>
      <c r="L882" s="614"/>
      <c r="M882" s="614"/>
      <c r="N882" s="614"/>
      <c r="O882" s="614"/>
      <c r="P882" s="614"/>
      <c r="Q882" s="614"/>
      <c r="R882" s="614"/>
      <c r="S882" s="614"/>
      <c r="T882" s="614"/>
      <c r="U882" s="614"/>
      <c r="V882" s="614"/>
      <c r="W882" s="614"/>
      <c r="X882" s="614"/>
      <c r="Y882" s="614"/>
      <c r="Z882" s="614"/>
      <c r="AA882" s="614"/>
      <c r="AB882" s="614"/>
      <c r="AC882" s="614"/>
      <c r="AJ882" s="614"/>
      <c r="AK882" s="614"/>
      <c r="AL882" s="614"/>
      <c r="AM882" s="614"/>
      <c r="AN882" s="614"/>
      <c r="AO882" s="614"/>
      <c r="AP882" s="616"/>
      <c r="AQ882" s="616"/>
      <c r="AR882" s="616"/>
      <c r="AS882" s="614"/>
      <c r="AT882" s="614"/>
      <c r="AU882" s="614"/>
      <c r="AV882" s="614"/>
      <c r="AW882" s="614"/>
      <c r="AX882" s="614"/>
    </row>
    <row r="883" spans="1:50" x14ac:dyDescent="0.25">
      <c r="A883" s="612"/>
      <c r="B883" s="612"/>
      <c r="C883" s="613"/>
      <c r="D883" s="612"/>
      <c r="E883" s="612"/>
      <c r="F883" s="613"/>
      <c r="G883" s="612"/>
      <c r="H883" s="612"/>
      <c r="I883" s="735"/>
      <c r="J883" s="612"/>
      <c r="K883" s="613"/>
      <c r="L883" s="614"/>
      <c r="M883" s="614"/>
      <c r="N883" s="614"/>
      <c r="O883" s="614"/>
      <c r="P883" s="614"/>
      <c r="Q883" s="614"/>
      <c r="R883" s="614"/>
      <c r="S883" s="614"/>
      <c r="T883" s="614"/>
      <c r="U883" s="614"/>
      <c r="V883" s="614"/>
      <c r="W883" s="614"/>
      <c r="X883" s="614"/>
      <c r="Y883" s="614"/>
      <c r="Z883" s="614"/>
      <c r="AA883" s="614"/>
      <c r="AB883" s="614"/>
      <c r="AC883" s="614"/>
      <c r="AJ883" s="614"/>
      <c r="AK883" s="614"/>
      <c r="AL883" s="614"/>
      <c r="AM883" s="614"/>
      <c r="AN883" s="614"/>
      <c r="AO883" s="614"/>
      <c r="AP883" s="616"/>
      <c r="AQ883" s="616"/>
      <c r="AR883" s="616"/>
      <c r="AS883" s="614"/>
      <c r="AT883" s="614"/>
      <c r="AU883" s="614"/>
      <c r="AV883" s="614"/>
      <c r="AW883" s="614"/>
      <c r="AX883" s="614"/>
    </row>
    <row r="884" spans="1:50" x14ac:dyDescent="0.25">
      <c r="A884" s="612"/>
      <c r="B884" s="612"/>
      <c r="C884" s="613"/>
      <c r="D884" s="612"/>
      <c r="E884" s="612"/>
      <c r="F884" s="613"/>
      <c r="G884" s="612"/>
      <c r="H884" s="612"/>
      <c r="I884" s="735"/>
      <c r="J884" s="612"/>
      <c r="K884" s="613"/>
      <c r="L884" s="614"/>
      <c r="M884" s="614"/>
      <c r="N884" s="614"/>
      <c r="O884" s="614"/>
      <c r="P884" s="614"/>
      <c r="Q884" s="614"/>
      <c r="R884" s="614"/>
      <c r="S884" s="614"/>
      <c r="T884" s="614"/>
      <c r="U884" s="614"/>
      <c r="V884" s="614"/>
      <c r="W884" s="614"/>
      <c r="X884" s="614"/>
      <c r="Y884" s="614"/>
      <c r="Z884" s="614"/>
      <c r="AA884" s="614"/>
      <c r="AB884" s="614"/>
      <c r="AC884" s="614"/>
      <c r="AJ884" s="614"/>
      <c r="AK884" s="614"/>
      <c r="AL884" s="614"/>
      <c r="AM884" s="614"/>
      <c r="AN884" s="614"/>
      <c r="AO884" s="614"/>
      <c r="AP884" s="616"/>
      <c r="AQ884" s="616"/>
      <c r="AR884" s="616"/>
      <c r="AS884" s="614"/>
      <c r="AT884" s="614"/>
      <c r="AU884" s="614"/>
      <c r="AV884" s="614"/>
      <c r="AW884" s="614"/>
      <c r="AX884" s="614"/>
    </row>
    <row r="885" spans="1:50" x14ac:dyDescent="0.25">
      <c r="A885" s="612"/>
      <c r="B885" s="612"/>
      <c r="C885" s="613"/>
      <c r="D885" s="612"/>
      <c r="E885" s="612"/>
      <c r="F885" s="613"/>
      <c r="G885" s="612"/>
      <c r="H885" s="612"/>
      <c r="I885" s="735"/>
      <c r="J885" s="612"/>
      <c r="K885" s="613"/>
      <c r="L885" s="614"/>
      <c r="M885" s="614"/>
      <c r="N885" s="614"/>
      <c r="O885" s="614"/>
      <c r="P885" s="614"/>
      <c r="Q885" s="614"/>
      <c r="R885" s="614"/>
      <c r="S885" s="614"/>
      <c r="T885" s="614"/>
      <c r="U885" s="614"/>
      <c r="V885" s="614"/>
      <c r="W885" s="614"/>
      <c r="X885" s="614"/>
      <c r="Y885" s="614"/>
      <c r="Z885" s="614"/>
      <c r="AA885" s="614"/>
      <c r="AB885" s="614"/>
      <c r="AC885" s="614"/>
      <c r="AJ885" s="614"/>
      <c r="AK885" s="614"/>
      <c r="AL885" s="614"/>
      <c r="AM885" s="614"/>
      <c r="AN885" s="614"/>
      <c r="AO885" s="614"/>
      <c r="AP885" s="616"/>
      <c r="AQ885" s="616"/>
      <c r="AR885" s="616"/>
      <c r="AS885" s="614"/>
      <c r="AT885" s="614"/>
      <c r="AU885" s="614"/>
      <c r="AV885" s="614"/>
      <c r="AW885" s="614"/>
      <c r="AX885" s="614"/>
    </row>
    <row r="886" spans="1:50" x14ac:dyDescent="0.25">
      <c r="A886" s="612"/>
      <c r="B886" s="612"/>
      <c r="C886" s="613"/>
      <c r="D886" s="612"/>
      <c r="E886" s="612"/>
      <c r="F886" s="613"/>
      <c r="G886" s="612"/>
      <c r="H886" s="612"/>
      <c r="I886" s="735"/>
      <c r="J886" s="612"/>
      <c r="K886" s="613"/>
      <c r="L886" s="614"/>
      <c r="M886" s="614"/>
      <c r="N886" s="614"/>
      <c r="O886" s="614"/>
      <c r="P886" s="614"/>
      <c r="Q886" s="614"/>
      <c r="R886" s="614"/>
      <c r="S886" s="614"/>
      <c r="T886" s="614"/>
      <c r="U886" s="614"/>
      <c r="V886" s="614"/>
      <c r="W886" s="614"/>
      <c r="X886" s="614"/>
      <c r="Y886" s="614"/>
      <c r="Z886" s="614"/>
      <c r="AA886" s="614"/>
      <c r="AB886" s="614"/>
      <c r="AC886" s="614"/>
      <c r="AJ886" s="614"/>
      <c r="AK886" s="614"/>
      <c r="AL886" s="614"/>
      <c r="AM886" s="614"/>
      <c r="AN886" s="614"/>
      <c r="AO886" s="614"/>
      <c r="AP886" s="616"/>
      <c r="AQ886" s="616"/>
      <c r="AR886" s="616"/>
      <c r="AS886" s="614"/>
      <c r="AT886" s="614"/>
      <c r="AU886" s="614"/>
      <c r="AV886" s="614"/>
      <c r="AW886" s="614"/>
      <c r="AX886" s="614"/>
    </row>
    <row r="887" spans="1:50" x14ac:dyDescent="0.25">
      <c r="A887" s="612"/>
      <c r="B887" s="612"/>
      <c r="C887" s="613"/>
      <c r="D887" s="612"/>
      <c r="E887" s="612"/>
      <c r="F887" s="613"/>
      <c r="G887" s="612"/>
      <c r="H887" s="612"/>
      <c r="I887" s="735"/>
      <c r="J887" s="612"/>
      <c r="K887" s="613"/>
      <c r="L887" s="614"/>
      <c r="M887" s="614"/>
      <c r="N887" s="614"/>
      <c r="O887" s="614"/>
      <c r="P887" s="614"/>
      <c r="Q887" s="614"/>
      <c r="R887" s="614"/>
      <c r="S887" s="614"/>
      <c r="T887" s="614"/>
      <c r="U887" s="614"/>
      <c r="V887" s="614"/>
      <c r="W887" s="614"/>
      <c r="X887" s="614"/>
      <c r="Y887" s="614"/>
      <c r="Z887" s="614"/>
      <c r="AA887" s="614"/>
      <c r="AB887" s="614"/>
      <c r="AC887" s="614"/>
      <c r="AJ887" s="614"/>
      <c r="AK887" s="614"/>
      <c r="AL887" s="614"/>
      <c r="AM887" s="614"/>
      <c r="AN887" s="614"/>
      <c r="AO887" s="614"/>
      <c r="AP887" s="616"/>
      <c r="AQ887" s="616"/>
      <c r="AR887" s="616"/>
      <c r="AS887" s="614"/>
      <c r="AT887" s="614"/>
      <c r="AU887" s="614"/>
      <c r="AV887" s="614"/>
      <c r="AW887" s="614"/>
      <c r="AX887" s="614"/>
    </row>
    <row r="888" spans="1:50" x14ac:dyDescent="0.25">
      <c r="A888" s="612"/>
      <c r="B888" s="612"/>
      <c r="C888" s="613"/>
      <c r="D888" s="612"/>
      <c r="E888" s="612"/>
      <c r="F888" s="613"/>
      <c r="G888" s="612"/>
      <c r="H888" s="612"/>
      <c r="I888" s="735"/>
      <c r="J888" s="612"/>
      <c r="K888" s="613"/>
      <c r="L888" s="614"/>
      <c r="M888" s="614"/>
      <c r="N888" s="614"/>
      <c r="O888" s="614"/>
      <c r="P888" s="614"/>
      <c r="Q888" s="614"/>
      <c r="R888" s="614"/>
      <c r="S888" s="614"/>
      <c r="T888" s="614"/>
      <c r="U888" s="614"/>
      <c r="V888" s="614"/>
      <c r="W888" s="614"/>
      <c r="X888" s="614"/>
      <c r="Y888" s="614"/>
      <c r="Z888" s="614"/>
      <c r="AA888" s="614"/>
      <c r="AB888" s="614"/>
      <c r="AC888" s="614"/>
      <c r="AJ888" s="614"/>
      <c r="AK888" s="614"/>
      <c r="AL888" s="614"/>
      <c r="AM888" s="614"/>
      <c r="AN888" s="614"/>
      <c r="AO888" s="614"/>
      <c r="AP888" s="616"/>
      <c r="AQ888" s="616"/>
      <c r="AR888" s="616"/>
      <c r="AS888" s="614"/>
      <c r="AT888" s="614"/>
      <c r="AU888" s="614"/>
      <c r="AV888" s="614"/>
      <c r="AW888" s="614"/>
      <c r="AX888" s="614"/>
    </row>
    <row r="889" spans="1:50" x14ac:dyDescent="0.25">
      <c r="A889" s="612"/>
      <c r="B889" s="612"/>
      <c r="C889" s="613"/>
      <c r="D889" s="612"/>
      <c r="E889" s="612"/>
      <c r="F889" s="613"/>
      <c r="G889" s="612"/>
      <c r="H889" s="612"/>
      <c r="I889" s="735"/>
      <c r="J889" s="612"/>
      <c r="K889" s="613"/>
      <c r="L889" s="614"/>
      <c r="M889" s="614"/>
      <c r="N889" s="614"/>
      <c r="O889" s="614"/>
      <c r="P889" s="614"/>
      <c r="Q889" s="614"/>
      <c r="R889" s="614"/>
      <c r="S889" s="614"/>
      <c r="T889" s="614"/>
      <c r="U889" s="614"/>
      <c r="V889" s="614"/>
      <c r="W889" s="614"/>
      <c r="X889" s="614"/>
      <c r="Y889" s="614"/>
      <c r="Z889" s="614"/>
      <c r="AA889" s="614"/>
      <c r="AB889" s="614"/>
      <c r="AC889" s="614"/>
      <c r="AJ889" s="614"/>
      <c r="AK889" s="614"/>
      <c r="AL889" s="614"/>
      <c r="AM889" s="614"/>
      <c r="AN889" s="614"/>
      <c r="AO889" s="614"/>
      <c r="AP889" s="616"/>
      <c r="AQ889" s="616"/>
      <c r="AR889" s="616"/>
      <c r="AS889" s="614"/>
      <c r="AT889" s="614"/>
      <c r="AU889" s="614"/>
      <c r="AV889" s="614"/>
      <c r="AW889" s="614"/>
      <c r="AX889" s="614"/>
    </row>
    <row r="890" spans="1:50" x14ac:dyDescent="0.25">
      <c r="A890" s="612"/>
      <c r="B890" s="612"/>
      <c r="C890" s="613"/>
      <c r="D890" s="612"/>
      <c r="E890" s="612"/>
      <c r="F890" s="613"/>
      <c r="G890" s="612"/>
      <c r="H890" s="612"/>
      <c r="I890" s="735"/>
      <c r="J890" s="612"/>
      <c r="K890" s="613"/>
      <c r="L890" s="614"/>
      <c r="M890" s="614"/>
      <c r="N890" s="614"/>
      <c r="O890" s="614"/>
      <c r="P890" s="614"/>
      <c r="Q890" s="614"/>
      <c r="R890" s="614"/>
      <c r="S890" s="614"/>
      <c r="T890" s="614"/>
      <c r="U890" s="614"/>
      <c r="V890" s="614"/>
      <c r="W890" s="614"/>
      <c r="X890" s="614"/>
      <c r="Y890" s="614"/>
      <c r="Z890" s="614"/>
      <c r="AA890" s="614"/>
      <c r="AB890" s="614"/>
      <c r="AC890" s="614"/>
      <c r="AJ890" s="614"/>
      <c r="AK890" s="614"/>
      <c r="AL890" s="614"/>
      <c r="AM890" s="614"/>
      <c r="AN890" s="614"/>
      <c r="AO890" s="614"/>
      <c r="AP890" s="616"/>
      <c r="AQ890" s="616"/>
      <c r="AR890" s="616"/>
      <c r="AS890" s="614"/>
      <c r="AT890" s="614"/>
      <c r="AU890" s="614"/>
      <c r="AV890" s="614"/>
      <c r="AW890" s="614"/>
      <c r="AX890" s="614"/>
    </row>
    <row r="891" spans="1:50" x14ac:dyDescent="0.25">
      <c r="A891" s="612"/>
      <c r="B891" s="612"/>
      <c r="C891" s="613"/>
      <c r="D891" s="612"/>
      <c r="E891" s="612"/>
      <c r="F891" s="613"/>
      <c r="G891" s="612"/>
      <c r="H891" s="612"/>
      <c r="I891" s="735"/>
      <c r="J891" s="612"/>
      <c r="K891" s="613"/>
      <c r="L891" s="614"/>
      <c r="M891" s="614"/>
      <c r="N891" s="614"/>
      <c r="O891" s="614"/>
      <c r="P891" s="614"/>
      <c r="Q891" s="614"/>
      <c r="R891" s="614"/>
      <c r="S891" s="614"/>
      <c r="T891" s="614"/>
      <c r="U891" s="614"/>
      <c r="V891" s="614"/>
      <c r="W891" s="614"/>
      <c r="X891" s="614"/>
      <c r="Y891" s="614"/>
      <c r="Z891" s="614"/>
      <c r="AA891" s="614"/>
      <c r="AB891" s="614"/>
      <c r="AC891" s="614"/>
      <c r="AJ891" s="614"/>
      <c r="AK891" s="614"/>
      <c r="AL891" s="614"/>
      <c r="AM891" s="614"/>
      <c r="AN891" s="614"/>
      <c r="AO891" s="614"/>
      <c r="AP891" s="616"/>
      <c r="AQ891" s="616"/>
      <c r="AR891" s="616"/>
      <c r="AS891" s="614"/>
      <c r="AT891" s="614"/>
      <c r="AU891" s="614"/>
      <c r="AV891" s="614"/>
      <c r="AW891" s="614"/>
      <c r="AX891" s="614"/>
    </row>
    <row r="892" spans="1:50" x14ac:dyDescent="0.25">
      <c r="A892" s="612"/>
      <c r="B892" s="612"/>
      <c r="C892" s="613"/>
      <c r="D892" s="612"/>
      <c r="E892" s="612"/>
      <c r="F892" s="613"/>
      <c r="G892" s="612"/>
      <c r="H892" s="612"/>
      <c r="I892" s="735"/>
      <c r="J892" s="612"/>
      <c r="K892" s="613"/>
      <c r="L892" s="614"/>
      <c r="M892" s="614"/>
      <c r="N892" s="614"/>
      <c r="O892" s="614"/>
      <c r="P892" s="614"/>
      <c r="Q892" s="614"/>
      <c r="R892" s="614"/>
      <c r="S892" s="614"/>
      <c r="T892" s="614"/>
      <c r="U892" s="614"/>
      <c r="V892" s="614"/>
      <c r="W892" s="614"/>
      <c r="X892" s="614"/>
      <c r="Y892" s="614"/>
      <c r="Z892" s="614"/>
      <c r="AA892" s="614"/>
      <c r="AB892" s="614"/>
      <c r="AC892" s="614"/>
      <c r="AJ892" s="614"/>
      <c r="AK892" s="614"/>
      <c r="AL892" s="614"/>
      <c r="AM892" s="614"/>
      <c r="AN892" s="614"/>
      <c r="AO892" s="614"/>
      <c r="AP892" s="616"/>
      <c r="AQ892" s="616"/>
      <c r="AR892" s="616"/>
      <c r="AS892" s="614"/>
      <c r="AT892" s="614"/>
      <c r="AU892" s="614"/>
      <c r="AV892" s="614"/>
      <c r="AW892" s="614"/>
      <c r="AX892" s="614"/>
    </row>
    <row r="893" spans="1:50" x14ac:dyDescent="0.25">
      <c r="A893" s="612"/>
      <c r="B893" s="612"/>
      <c r="C893" s="613"/>
      <c r="D893" s="612"/>
      <c r="E893" s="612"/>
      <c r="F893" s="613"/>
      <c r="G893" s="612"/>
      <c r="H893" s="612"/>
      <c r="I893" s="735"/>
      <c r="J893" s="612"/>
      <c r="K893" s="613"/>
      <c r="L893" s="614"/>
      <c r="M893" s="614"/>
      <c r="N893" s="614"/>
      <c r="O893" s="614"/>
      <c r="P893" s="614"/>
      <c r="Q893" s="614"/>
      <c r="R893" s="614"/>
      <c r="S893" s="614"/>
      <c r="T893" s="614"/>
      <c r="U893" s="614"/>
      <c r="V893" s="614"/>
      <c r="W893" s="614"/>
      <c r="X893" s="614"/>
      <c r="Y893" s="614"/>
      <c r="Z893" s="614"/>
      <c r="AA893" s="614"/>
      <c r="AB893" s="614"/>
      <c r="AC893" s="614"/>
      <c r="AJ893" s="614"/>
      <c r="AK893" s="614"/>
      <c r="AL893" s="614"/>
      <c r="AM893" s="614"/>
      <c r="AN893" s="614"/>
      <c r="AO893" s="614"/>
      <c r="AP893" s="616"/>
      <c r="AQ893" s="616"/>
      <c r="AR893" s="616"/>
      <c r="AS893" s="614"/>
      <c r="AT893" s="614"/>
      <c r="AU893" s="614"/>
      <c r="AV893" s="614"/>
      <c r="AW893" s="614"/>
      <c r="AX893" s="614"/>
    </row>
    <row r="894" spans="1:50" x14ac:dyDescent="0.25">
      <c r="A894" s="612"/>
      <c r="B894" s="612"/>
      <c r="C894" s="613"/>
      <c r="D894" s="612"/>
      <c r="E894" s="612"/>
      <c r="F894" s="613"/>
      <c r="G894" s="612"/>
      <c r="H894" s="612"/>
      <c r="I894" s="735"/>
      <c r="J894" s="612"/>
      <c r="K894" s="613"/>
      <c r="L894" s="614"/>
      <c r="M894" s="614"/>
      <c r="N894" s="614"/>
      <c r="O894" s="614"/>
      <c r="P894" s="614"/>
      <c r="Q894" s="614"/>
      <c r="R894" s="614"/>
      <c r="S894" s="614"/>
      <c r="T894" s="614"/>
      <c r="U894" s="614"/>
      <c r="V894" s="614"/>
      <c r="W894" s="614"/>
      <c r="X894" s="614"/>
      <c r="Y894" s="614"/>
      <c r="Z894" s="614"/>
      <c r="AA894" s="614"/>
      <c r="AB894" s="614"/>
      <c r="AC894" s="614"/>
      <c r="AJ894" s="614"/>
      <c r="AK894" s="614"/>
      <c r="AL894" s="614"/>
      <c r="AM894" s="614"/>
      <c r="AN894" s="614"/>
      <c r="AO894" s="614"/>
      <c r="AP894" s="616"/>
      <c r="AQ894" s="616"/>
      <c r="AR894" s="616"/>
      <c r="AS894" s="614"/>
      <c r="AT894" s="614"/>
      <c r="AU894" s="614"/>
      <c r="AV894" s="614"/>
      <c r="AW894" s="614"/>
      <c r="AX894" s="614"/>
    </row>
    <row r="895" spans="1:50" x14ac:dyDescent="0.25">
      <c r="A895" s="612"/>
      <c r="B895" s="612"/>
      <c r="C895" s="613"/>
      <c r="D895" s="612"/>
      <c r="E895" s="612"/>
      <c r="F895" s="613"/>
      <c r="G895" s="612"/>
      <c r="H895" s="612"/>
      <c r="I895" s="735"/>
      <c r="J895" s="612"/>
      <c r="K895" s="613"/>
      <c r="L895" s="614"/>
      <c r="M895" s="614"/>
      <c r="N895" s="614"/>
      <c r="O895" s="614"/>
      <c r="P895" s="614"/>
      <c r="Q895" s="614"/>
      <c r="R895" s="614"/>
      <c r="S895" s="614"/>
      <c r="T895" s="614"/>
      <c r="U895" s="614"/>
      <c r="V895" s="614"/>
      <c r="W895" s="614"/>
      <c r="X895" s="614"/>
      <c r="Y895" s="614"/>
      <c r="Z895" s="614"/>
      <c r="AA895" s="614"/>
      <c r="AB895" s="614"/>
      <c r="AC895" s="614"/>
      <c r="AJ895" s="614"/>
      <c r="AK895" s="614"/>
      <c r="AL895" s="614"/>
      <c r="AM895" s="614"/>
      <c r="AN895" s="614"/>
      <c r="AO895" s="614"/>
      <c r="AP895" s="616"/>
      <c r="AQ895" s="616"/>
      <c r="AR895" s="616"/>
      <c r="AS895" s="614"/>
      <c r="AT895" s="614"/>
      <c r="AU895" s="614"/>
      <c r="AV895" s="614"/>
      <c r="AW895" s="614"/>
      <c r="AX895" s="614"/>
    </row>
    <row r="896" spans="1:50" x14ac:dyDescent="0.25">
      <c r="A896" s="612"/>
      <c r="B896" s="612"/>
      <c r="C896" s="613"/>
      <c r="D896" s="612"/>
      <c r="E896" s="612"/>
      <c r="F896" s="613"/>
      <c r="G896" s="612"/>
      <c r="H896" s="612"/>
      <c r="I896" s="735"/>
      <c r="J896" s="612"/>
      <c r="K896" s="613"/>
      <c r="L896" s="614"/>
      <c r="M896" s="614"/>
      <c r="N896" s="614"/>
      <c r="O896" s="614"/>
      <c r="P896" s="614"/>
      <c r="Q896" s="614"/>
      <c r="R896" s="614"/>
      <c r="S896" s="614"/>
      <c r="T896" s="614"/>
      <c r="U896" s="614"/>
      <c r="V896" s="614"/>
      <c r="W896" s="614"/>
      <c r="X896" s="614"/>
      <c r="Y896" s="614"/>
      <c r="Z896" s="614"/>
      <c r="AA896" s="614"/>
      <c r="AB896" s="614"/>
      <c r="AC896" s="614"/>
      <c r="AJ896" s="614"/>
      <c r="AK896" s="614"/>
      <c r="AL896" s="614"/>
      <c r="AM896" s="614"/>
      <c r="AN896" s="614"/>
      <c r="AO896" s="614"/>
      <c r="AP896" s="616"/>
      <c r="AQ896" s="616"/>
      <c r="AR896" s="616"/>
      <c r="AS896" s="614"/>
      <c r="AT896" s="614"/>
      <c r="AU896" s="614"/>
      <c r="AV896" s="614"/>
      <c r="AW896" s="614"/>
      <c r="AX896" s="614"/>
    </row>
    <row r="897" spans="1:50" x14ac:dyDescent="0.25">
      <c r="A897" s="612"/>
      <c r="B897" s="612"/>
      <c r="C897" s="613"/>
      <c r="D897" s="612"/>
      <c r="E897" s="612"/>
      <c r="F897" s="613"/>
      <c r="G897" s="612"/>
      <c r="H897" s="612"/>
      <c r="I897" s="735"/>
      <c r="J897" s="612"/>
      <c r="K897" s="613"/>
      <c r="L897" s="614"/>
      <c r="M897" s="614"/>
      <c r="N897" s="614"/>
      <c r="O897" s="614"/>
      <c r="P897" s="614"/>
      <c r="Q897" s="614"/>
      <c r="R897" s="614"/>
      <c r="S897" s="614"/>
      <c r="T897" s="614"/>
      <c r="U897" s="614"/>
      <c r="V897" s="614"/>
      <c r="W897" s="614"/>
      <c r="X897" s="614"/>
      <c r="Y897" s="614"/>
      <c r="Z897" s="614"/>
      <c r="AA897" s="614"/>
      <c r="AB897" s="614"/>
      <c r="AC897" s="614"/>
      <c r="AJ897" s="614"/>
      <c r="AK897" s="614"/>
      <c r="AL897" s="614"/>
      <c r="AM897" s="614"/>
      <c r="AN897" s="614"/>
      <c r="AO897" s="614"/>
      <c r="AP897" s="616"/>
      <c r="AQ897" s="616"/>
      <c r="AR897" s="616"/>
      <c r="AS897" s="614"/>
      <c r="AT897" s="614"/>
      <c r="AU897" s="614"/>
      <c r="AV897" s="614"/>
      <c r="AW897" s="614"/>
      <c r="AX897" s="614"/>
    </row>
    <row r="898" spans="1:50" x14ac:dyDescent="0.25">
      <c r="A898" s="612"/>
      <c r="B898" s="612"/>
      <c r="C898" s="613"/>
      <c r="D898" s="612"/>
      <c r="E898" s="612"/>
      <c r="F898" s="613"/>
      <c r="G898" s="612"/>
      <c r="H898" s="612"/>
      <c r="I898" s="735"/>
      <c r="J898" s="612"/>
      <c r="K898" s="613"/>
      <c r="L898" s="614"/>
      <c r="M898" s="614"/>
      <c r="N898" s="614"/>
      <c r="O898" s="614"/>
      <c r="P898" s="614"/>
      <c r="Q898" s="614"/>
      <c r="R898" s="614"/>
      <c r="S898" s="614"/>
      <c r="T898" s="614"/>
      <c r="U898" s="614"/>
      <c r="V898" s="614"/>
      <c r="W898" s="614"/>
      <c r="X898" s="614"/>
      <c r="Y898" s="614"/>
      <c r="Z898" s="614"/>
      <c r="AA898" s="614"/>
      <c r="AB898" s="614"/>
      <c r="AC898" s="614"/>
      <c r="AJ898" s="614"/>
      <c r="AK898" s="614"/>
      <c r="AL898" s="614"/>
      <c r="AM898" s="614"/>
      <c r="AN898" s="614"/>
      <c r="AO898" s="614"/>
      <c r="AP898" s="616"/>
      <c r="AQ898" s="616"/>
      <c r="AR898" s="616"/>
      <c r="AS898" s="614"/>
      <c r="AT898" s="614"/>
      <c r="AU898" s="614"/>
      <c r="AV898" s="614"/>
      <c r="AW898" s="614"/>
      <c r="AX898" s="614"/>
    </row>
    <row r="899" spans="1:50" x14ac:dyDescent="0.25">
      <c r="A899" s="612"/>
      <c r="B899" s="612"/>
      <c r="C899" s="613"/>
      <c r="D899" s="612"/>
      <c r="E899" s="612"/>
      <c r="F899" s="613"/>
      <c r="G899" s="612"/>
      <c r="H899" s="612"/>
      <c r="I899" s="735"/>
      <c r="J899" s="612"/>
      <c r="K899" s="613"/>
      <c r="L899" s="614"/>
      <c r="M899" s="614"/>
      <c r="N899" s="614"/>
      <c r="O899" s="614"/>
      <c r="P899" s="614"/>
      <c r="Q899" s="614"/>
      <c r="R899" s="614"/>
      <c r="S899" s="614"/>
      <c r="T899" s="614"/>
      <c r="U899" s="614"/>
      <c r="V899" s="614"/>
      <c r="W899" s="614"/>
      <c r="X899" s="614"/>
      <c r="Y899" s="614"/>
      <c r="Z899" s="614"/>
      <c r="AA899" s="614"/>
      <c r="AB899" s="614"/>
      <c r="AC899" s="614"/>
      <c r="AJ899" s="614"/>
      <c r="AK899" s="614"/>
      <c r="AL899" s="614"/>
      <c r="AM899" s="614"/>
      <c r="AN899" s="614"/>
      <c r="AO899" s="614"/>
      <c r="AP899" s="616"/>
      <c r="AQ899" s="616"/>
      <c r="AR899" s="616"/>
      <c r="AS899" s="614"/>
      <c r="AT899" s="614"/>
      <c r="AU899" s="614"/>
      <c r="AV899" s="614"/>
      <c r="AW899" s="614"/>
      <c r="AX899" s="614"/>
    </row>
    <row r="900" spans="1:50" x14ac:dyDescent="0.25">
      <c r="A900" s="612"/>
      <c r="B900" s="612"/>
      <c r="C900" s="613"/>
      <c r="D900" s="612"/>
      <c r="E900" s="612"/>
      <c r="F900" s="613"/>
      <c r="G900" s="612"/>
      <c r="H900" s="612"/>
      <c r="I900" s="735"/>
      <c r="J900" s="612"/>
      <c r="K900" s="613"/>
      <c r="L900" s="614"/>
      <c r="M900" s="614"/>
      <c r="N900" s="614"/>
      <c r="O900" s="614"/>
      <c r="P900" s="614"/>
      <c r="Q900" s="614"/>
      <c r="R900" s="614"/>
      <c r="S900" s="614"/>
      <c r="T900" s="614"/>
      <c r="U900" s="614"/>
      <c r="V900" s="614"/>
      <c r="W900" s="614"/>
      <c r="X900" s="614"/>
      <c r="Y900" s="614"/>
      <c r="Z900" s="614"/>
      <c r="AA900" s="614"/>
      <c r="AB900" s="614"/>
      <c r="AC900" s="614"/>
      <c r="AJ900" s="614"/>
      <c r="AK900" s="614"/>
      <c r="AL900" s="614"/>
      <c r="AM900" s="614"/>
      <c r="AN900" s="614"/>
      <c r="AO900" s="614"/>
      <c r="AP900" s="616"/>
      <c r="AQ900" s="616"/>
      <c r="AR900" s="616"/>
      <c r="AS900" s="614"/>
      <c r="AT900" s="614"/>
      <c r="AU900" s="614"/>
      <c r="AV900" s="614"/>
      <c r="AW900" s="614"/>
      <c r="AX900" s="614"/>
    </row>
    <row r="901" spans="1:50" x14ac:dyDescent="0.25">
      <c r="A901" s="612"/>
      <c r="B901" s="612"/>
      <c r="C901" s="613"/>
      <c r="D901" s="612"/>
      <c r="E901" s="612"/>
      <c r="F901" s="613"/>
      <c r="G901" s="612"/>
      <c r="H901" s="612"/>
      <c r="I901" s="735"/>
      <c r="J901" s="612"/>
      <c r="K901" s="613"/>
      <c r="L901" s="614"/>
      <c r="M901" s="614"/>
      <c r="N901" s="614"/>
      <c r="O901" s="614"/>
      <c r="P901" s="614"/>
      <c r="Q901" s="614"/>
      <c r="R901" s="614"/>
      <c r="S901" s="614"/>
      <c r="T901" s="614"/>
      <c r="U901" s="614"/>
      <c r="V901" s="614"/>
      <c r="W901" s="614"/>
      <c r="X901" s="614"/>
      <c r="Y901" s="614"/>
      <c r="Z901" s="614"/>
      <c r="AA901" s="614"/>
      <c r="AB901" s="614"/>
      <c r="AC901" s="614"/>
      <c r="AJ901" s="614"/>
      <c r="AK901" s="614"/>
      <c r="AL901" s="614"/>
      <c r="AM901" s="614"/>
      <c r="AN901" s="614"/>
      <c r="AO901" s="614"/>
      <c r="AP901" s="616"/>
      <c r="AQ901" s="616"/>
      <c r="AR901" s="616"/>
      <c r="AS901" s="614"/>
      <c r="AT901" s="614"/>
      <c r="AU901" s="614"/>
      <c r="AV901" s="614"/>
      <c r="AW901" s="614"/>
      <c r="AX901" s="614"/>
    </row>
    <row r="902" spans="1:50" x14ac:dyDescent="0.25">
      <c r="A902" s="612"/>
      <c r="B902" s="612"/>
      <c r="C902" s="613"/>
      <c r="D902" s="612"/>
      <c r="E902" s="612"/>
      <c r="F902" s="613"/>
      <c r="G902" s="612"/>
      <c r="H902" s="612"/>
      <c r="I902" s="735"/>
      <c r="J902" s="612"/>
      <c r="K902" s="613"/>
      <c r="L902" s="614"/>
      <c r="M902" s="614"/>
      <c r="N902" s="614"/>
      <c r="O902" s="614"/>
      <c r="P902" s="614"/>
      <c r="Q902" s="614"/>
      <c r="R902" s="614"/>
      <c r="S902" s="614"/>
      <c r="T902" s="614"/>
      <c r="U902" s="614"/>
      <c r="V902" s="614"/>
      <c r="W902" s="614"/>
      <c r="X902" s="614"/>
      <c r="Y902" s="614"/>
      <c r="Z902" s="614"/>
      <c r="AA902" s="614"/>
      <c r="AB902" s="614"/>
      <c r="AC902" s="614"/>
      <c r="AJ902" s="614"/>
      <c r="AK902" s="614"/>
      <c r="AL902" s="614"/>
      <c r="AM902" s="614"/>
      <c r="AN902" s="614"/>
      <c r="AO902" s="614"/>
      <c r="AP902" s="616"/>
      <c r="AQ902" s="616"/>
      <c r="AR902" s="616"/>
      <c r="AS902" s="614"/>
      <c r="AT902" s="614"/>
      <c r="AU902" s="614"/>
      <c r="AV902" s="614"/>
      <c r="AW902" s="614"/>
      <c r="AX902" s="614"/>
    </row>
    <row r="903" spans="1:50" x14ac:dyDescent="0.25">
      <c r="A903" s="612"/>
      <c r="B903" s="612"/>
      <c r="C903" s="613"/>
      <c r="D903" s="612"/>
      <c r="E903" s="612"/>
      <c r="F903" s="613"/>
      <c r="G903" s="612"/>
      <c r="H903" s="612"/>
      <c r="I903" s="735"/>
      <c r="J903" s="612"/>
      <c r="K903" s="613"/>
      <c r="L903" s="614"/>
      <c r="M903" s="614"/>
      <c r="N903" s="614"/>
      <c r="O903" s="614"/>
      <c r="P903" s="614"/>
      <c r="Q903" s="614"/>
      <c r="R903" s="614"/>
      <c r="S903" s="614"/>
      <c r="T903" s="614"/>
      <c r="U903" s="614"/>
      <c r="V903" s="614"/>
      <c r="W903" s="614"/>
      <c r="X903" s="614"/>
      <c r="Y903" s="614"/>
      <c r="Z903" s="614"/>
      <c r="AA903" s="614"/>
      <c r="AB903" s="614"/>
      <c r="AC903" s="614"/>
      <c r="AJ903" s="614"/>
      <c r="AK903" s="614"/>
      <c r="AL903" s="614"/>
      <c r="AM903" s="614"/>
      <c r="AN903" s="614"/>
      <c r="AO903" s="614"/>
      <c r="AP903" s="616"/>
      <c r="AQ903" s="616"/>
      <c r="AR903" s="616"/>
      <c r="AS903" s="614"/>
      <c r="AT903" s="614"/>
      <c r="AU903" s="614"/>
      <c r="AV903" s="614"/>
      <c r="AW903" s="614"/>
      <c r="AX903" s="614"/>
    </row>
    <row r="904" spans="1:50" x14ac:dyDescent="0.25">
      <c r="A904" s="612"/>
      <c r="B904" s="612"/>
      <c r="C904" s="613"/>
      <c r="D904" s="612"/>
      <c r="E904" s="612"/>
      <c r="F904" s="613"/>
      <c r="G904" s="612"/>
      <c r="H904" s="612"/>
      <c r="I904" s="735"/>
      <c r="J904" s="612"/>
      <c r="K904" s="613"/>
      <c r="L904" s="614"/>
      <c r="M904" s="614"/>
      <c r="N904" s="614"/>
      <c r="O904" s="614"/>
      <c r="P904" s="614"/>
      <c r="Q904" s="614"/>
      <c r="R904" s="614"/>
      <c r="S904" s="614"/>
      <c r="T904" s="614"/>
      <c r="U904" s="614"/>
      <c r="V904" s="614"/>
      <c r="W904" s="614"/>
      <c r="X904" s="614"/>
      <c r="Y904" s="614"/>
      <c r="Z904" s="614"/>
      <c r="AA904" s="614"/>
      <c r="AB904" s="614"/>
      <c r="AC904" s="614"/>
      <c r="AJ904" s="614"/>
      <c r="AK904" s="614"/>
      <c r="AL904" s="614"/>
      <c r="AM904" s="614"/>
      <c r="AN904" s="614"/>
      <c r="AO904" s="614"/>
      <c r="AP904" s="616"/>
      <c r="AQ904" s="616"/>
      <c r="AR904" s="616"/>
      <c r="AS904" s="614"/>
      <c r="AT904" s="614"/>
      <c r="AU904" s="614"/>
      <c r="AV904" s="614"/>
      <c r="AW904" s="614"/>
      <c r="AX904" s="614"/>
    </row>
    <row r="905" spans="1:50" x14ac:dyDescent="0.25">
      <c r="A905" s="612"/>
      <c r="B905" s="612"/>
      <c r="C905" s="613"/>
      <c r="D905" s="612"/>
      <c r="E905" s="612"/>
      <c r="F905" s="613"/>
      <c r="G905" s="612"/>
      <c r="H905" s="612"/>
      <c r="I905" s="735"/>
      <c r="J905" s="612"/>
      <c r="K905" s="613"/>
      <c r="L905" s="614"/>
      <c r="M905" s="614"/>
      <c r="N905" s="614"/>
      <c r="O905" s="614"/>
      <c r="P905" s="614"/>
      <c r="Q905" s="614"/>
      <c r="R905" s="614"/>
      <c r="S905" s="614"/>
      <c r="T905" s="614"/>
      <c r="U905" s="614"/>
      <c r="V905" s="614"/>
      <c r="W905" s="614"/>
      <c r="X905" s="614"/>
      <c r="Y905" s="614"/>
      <c r="Z905" s="614"/>
      <c r="AA905" s="614"/>
      <c r="AB905" s="614"/>
      <c r="AC905" s="614"/>
      <c r="AJ905" s="614"/>
      <c r="AK905" s="614"/>
      <c r="AL905" s="614"/>
      <c r="AM905" s="614"/>
      <c r="AN905" s="614"/>
      <c r="AO905" s="614"/>
      <c r="AP905" s="616"/>
      <c r="AQ905" s="616"/>
      <c r="AR905" s="616"/>
      <c r="AS905" s="614"/>
      <c r="AT905" s="614"/>
      <c r="AU905" s="614"/>
      <c r="AV905" s="614"/>
      <c r="AW905" s="614"/>
      <c r="AX905" s="614"/>
    </row>
    <row r="906" spans="1:50" x14ac:dyDescent="0.25">
      <c r="A906" s="612"/>
      <c r="B906" s="612"/>
      <c r="C906" s="613"/>
      <c r="D906" s="612"/>
      <c r="E906" s="612"/>
      <c r="F906" s="613"/>
      <c r="G906" s="612"/>
      <c r="H906" s="612"/>
      <c r="I906" s="735"/>
      <c r="J906" s="612"/>
      <c r="K906" s="613"/>
      <c r="L906" s="614"/>
      <c r="M906" s="614"/>
      <c r="N906" s="614"/>
      <c r="O906" s="614"/>
      <c r="P906" s="614"/>
      <c r="Q906" s="614"/>
      <c r="R906" s="614"/>
      <c r="S906" s="614"/>
      <c r="T906" s="614"/>
      <c r="U906" s="614"/>
      <c r="V906" s="614"/>
      <c r="W906" s="614"/>
      <c r="X906" s="614"/>
      <c r="Y906" s="614"/>
      <c r="Z906" s="614"/>
      <c r="AA906" s="614"/>
      <c r="AB906" s="614"/>
      <c r="AC906" s="614"/>
      <c r="AJ906" s="614"/>
      <c r="AK906" s="614"/>
      <c r="AL906" s="614"/>
      <c r="AM906" s="614"/>
      <c r="AN906" s="614"/>
      <c r="AO906" s="614"/>
      <c r="AP906" s="616"/>
      <c r="AQ906" s="616"/>
      <c r="AR906" s="616"/>
      <c r="AS906" s="614"/>
      <c r="AT906" s="614"/>
      <c r="AU906" s="614"/>
      <c r="AV906" s="614"/>
      <c r="AW906" s="614"/>
      <c r="AX906" s="614"/>
    </row>
    <row r="907" spans="1:50" x14ac:dyDescent="0.25">
      <c r="A907" s="612"/>
      <c r="B907" s="612"/>
      <c r="C907" s="613"/>
      <c r="D907" s="612"/>
      <c r="E907" s="612"/>
      <c r="F907" s="613"/>
      <c r="G907" s="612"/>
      <c r="H907" s="612"/>
      <c r="I907" s="735"/>
      <c r="J907" s="612"/>
      <c r="K907" s="613"/>
      <c r="L907" s="614"/>
      <c r="M907" s="614"/>
      <c r="N907" s="614"/>
      <c r="O907" s="614"/>
      <c r="P907" s="614"/>
      <c r="Q907" s="614"/>
      <c r="R907" s="614"/>
      <c r="S907" s="614"/>
      <c r="T907" s="614"/>
      <c r="U907" s="614"/>
      <c r="V907" s="614"/>
      <c r="W907" s="614"/>
      <c r="X907" s="614"/>
      <c r="Y907" s="614"/>
      <c r="Z907" s="614"/>
      <c r="AA907" s="614"/>
      <c r="AB907" s="614"/>
      <c r="AC907" s="614"/>
      <c r="AJ907" s="614"/>
      <c r="AK907" s="614"/>
      <c r="AL907" s="614"/>
      <c r="AM907" s="614"/>
      <c r="AN907" s="614"/>
      <c r="AO907" s="614"/>
      <c r="AP907" s="616"/>
      <c r="AQ907" s="616"/>
      <c r="AR907" s="616"/>
      <c r="AS907" s="614"/>
      <c r="AT907" s="614"/>
      <c r="AU907" s="614"/>
      <c r="AV907" s="614"/>
      <c r="AW907" s="614"/>
      <c r="AX907" s="614"/>
    </row>
    <row r="908" spans="1:50" x14ac:dyDescent="0.25">
      <c r="A908" s="612"/>
      <c r="B908" s="612"/>
      <c r="C908" s="613"/>
      <c r="D908" s="612"/>
      <c r="E908" s="612"/>
      <c r="F908" s="613"/>
      <c r="G908" s="612"/>
      <c r="H908" s="612"/>
      <c r="I908" s="735"/>
      <c r="J908" s="612"/>
      <c r="K908" s="613"/>
      <c r="L908" s="614"/>
      <c r="M908" s="614"/>
      <c r="N908" s="614"/>
      <c r="O908" s="614"/>
      <c r="P908" s="614"/>
      <c r="Q908" s="614"/>
      <c r="R908" s="614"/>
      <c r="S908" s="614"/>
      <c r="T908" s="614"/>
      <c r="U908" s="614"/>
      <c r="V908" s="614"/>
      <c r="W908" s="614"/>
      <c r="X908" s="614"/>
      <c r="Y908" s="614"/>
      <c r="Z908" s="614"/>
      <c r="AA908" s="614"/>
      <c r="AB908" s="614"/>
      <c r="AC908" s="614"/>
      <c r="AJ908" s="614"/>
      <c r="AK908" s="614"/>
      <c r="AL908" s="614"/>
      <c r="AM908" s="614"/>
      <c r="AN908" s="614"/>
      <c r="AO908" s="614"/>
      <c r="AP908" s="616"/>
      <c r="AQ908" s="616"/>
      <c r="AR908" s="616"/>
      <c r="AS908" s="614"/>
      <c r="AT908" s="614"/>
      <c r="AU908" s="614"/>
      <c r="AV908" s="614"/>
      <c r="AW908" s="614"/>
      <c r="AX908" s="614"/>
    </row>
    <row r="909" spans="1:50" x14ac:dyDescent="0.25">
      <c r="A909" s="612"/>
      <c r="B909" s="612"/>
      <c r="C909" s="613"/>
      <c r="D909" s="612"/>
      <c r="E909" s="612"/>
      <c r="F909" s="613"/>
      <c r="G909" s="612"/>
      <c r="H909" s="612"/>
      <c r="I909" s="735"/>
      <c r="J909" s="612"/>
      <c r="K909" s="613"/>
      <c r="L909" s="614"/>
      <c r="M909" s="614"/>
      <c r="N909" s="614"/>
      <c r="O909" s="614"/>
      <c r="P909" s="614"/>
      <c r="Q909" s="614"/>
      <c r="R909" s="614"/>
      <c r="S909" s="614"/>
      <c r="T909" s="614"/>
      <c r="U909" s="614"/>
      <c r="V909" s="614"/>
      <c r="W909" s="614"/>
      <c r="X909" s="614"/>
      <c r="Y909" s="614"/>
      <c r="Z909" s="614"/>
      <c r="AA909" s="614"/>
      <c r="AB909" s="614"/>
      <c r="AC909" s="614"/>
      <c r="AJ909" s="614"/>
      <c r="AK909" s="614"/>
      <c r="AL909" s="614"/>
      <c r="AM909" s="614"/>
      <c r="AN909" s="614"/>
      <c r="AO909" s="614"/>
      <c r="AP909" s="616"/>
      <c r="AQ909" s="616"/>
      <c r="AR909" s="616"/>
      <c r="AS909" s="614"/>
      <c r="AT909" s="614"/>
      <c r="AU909" s="614"/>
      <c r="AV909" s="614"/>
      <c r="AW909" s="614"/>
      <c r="AX909" s="614"/>
    </row>
    <row r="910" spans="1:50" x14ac:dyDescent="0.25">
      <c r="A910" s="612"/>
      <c r="B910" s="612"/>
      <c r="C910" s="613"/>
      <c r="D910" s="612"/>
      <c r="E910" s="612"/>
      <c r="F910" s="613"/>
      <c r="G910" s="612"/>
      <c r="H910" s="612"/>
      <c r="I910" s="735"/>
      <c r="J910" s="612"/>
      <c r="K910" s="613"/>
      <c r="L910" s="614"/>
      <c r="M910" s="614"/>
      <c r="N910" s="614"/>
      <c r="O910" s="614"/>
      <c r="P910" s="614"/>
      <c r="Q910" s="614"/>
      <c r="R910" s="614"/>
      <c r="S910" s="614"/>
      <c r="T910" s="614"/>
      <c r="U910" s="614"/>
      <c r="V910" s="614"/>
      <c r="W910" s="614"/>
      <c r="X910" s="614"/>
      <c r="Y910" s="614"/>
      <c r="Z910" s="614"/>
      <c r="AA910" s="614"/>
      <c r="AB910" s="614"/>
      <c r="AC910" s="614"/>
      <c r="AJ910" s="614"/>
      <c r="AK910" s="614"/>
      <c r="AL910" s="614"/>
      <c r="AM910" s="614"/>
      <c r="AN910" s="614"/>
      <c r="AO910" s="614"/>
      <c r="AP910" s="616"/>
      <c r="AQ910" s="616"/>
      <c r="AR910" s="616"/>
      <c r="AS910" s="614"/>
      <c r="AT910" s="614"/>
      <c r="AU910" s="614"/>
      <c r="AV910" s="614"/>
      <c r="AW910" s="614"/>
      <c r="AX910" s="614"/>
    </row>
    <row r="911" spans="1:50" x14ac:dyDescent="0.25">
      <c r="A911" s="612"/>
      <c r="B911" s="612"/>
      <c r="C911" s="613"/>
      <c r="D911" s="612"/>
      <c r="E911" s="612"/>
      <c r="F911" s="613"/>
      <c r="G911" s="612"/>
      <c r="H911" s="612"/>
      <c r="I911" s="735"/>
      <c r="J911" s="612"/>
      <c r="K911" s="613"/>
      <c r="L911" s="614"/>
      <c r="M911" s="614"/>
      <c r="N911" s="614"/>
      <c r="O911" s="614"/>
      <c r="P911" s="614"/>
      <c r="Q911" s="614"/>
      <c r="R911" s="614"/>
      <c r="S911" s="614"/>
      <c r="T911" s="614"/>
      <c r="U911" s="614"/>
      <c r="V911" s="614"/>
      <c r="W911" s="614"/>
      <c r="X911" s="614"/>
      <c r="Y911" s="614"/>
      <c r="Z911" s="614"/>
      <c r="AA911" s="614"/>
      <c r="AB911" s="614"/>
      <c r="AC911" s="614"/>
      <c r="AJ911" s="614"/>
      <c r="AK911" s="614"/>
      <c r="AL911" s="614"/>
      <c r="AM911" s="614"/>
      <c r="AN911" s="614"/>
      <c r="AO911" s="614"/>
      <c r="AP911" s="616"/>
      <c r="AQ911" s="616"/>
      <c r="AR911" s="616"/>
      <c r="AS911" s="614"/>
      <c r="AT911" s="614"/>
      <c r="AU911" s="614"/>
      <c r="AV911" s="614"/>
      <c r="AW911" s="614"/>
      <c r="AX911" s="614"/>
    </row>
    <row r="912" spans="1:50" x14ac:dyDescent="0.25">
      <c r="A912" s="612"/>
      <c r="B912" s="612"/>
      <c r="C912" s="613"/>
      <c r="D912" s="612"/>
      <c r="E912" s="612"/>
      <c r="F912" s="613"/>
      <c r="G912" s="612"/>
      <c r="H912" s="612"/>
      <c r="I912" s="735"/>
      <c r="J912" s="612"/>
      <c r="K912" s="613"/>
      <c r="L912" s="614"/>
      <c r="M912" s="614"/>
      <c r="N912" s="614"/>
      <c r="O912" s="614"/>
      <c r="P912" s="614"/>
      <c r="Q912" s="614"/>
      <c r="R912" s="614"/>
      <c r="S912" s="614"/>
      <c r="T912" s="614"/>
      <c r="U912" s="614"/>
      <c r="V912" s="614"/>
      <c r="W912" s="614"/>
      <c r="X912" s="614"/>
      <c r="Y912" s="614"/>
      <c r="Z912" s="614"/>
      <c r="AA912" s="614"/>
      <c r="AB912" s="614"/>
      <c r="AC912" s="614"/>
      <c r="AJ912" s="614"/>
      <c r="AK912" s="614"/>
      <c r="AL912" s="614"/>
      <c r="AM912" s="614"/>
      <c r="AN912" s="614"/>
      <c r="AO912" s="614"/>
      <c r="AP912" s="616"/>
      <c r="AQ912" s="616"/>
      <c r="AR912" s="616"/>
      <c r="AS912" s="614"/>
      <c r="AT912" s="614"/>
      <c r="AU912" s="614"/>
      <c r="AV912" s="614"/>
      <c r="AW912" s="614"/>
      <c r="AX912" s="614"/>
    </row>
    <row r="913" spans="1:50" x14ac:dyDescent="0.25">
      <c r="A913" s="612"/>
      <c r="B913" s="612"/>
      <c r="C913" s="613"/>
      <c r="D913" s="612"/>
      <c r="E913" s="612"/>
      <c r="F913" s="613"/>
      <c r="G913" s="612"/>
      <c r="H913" s="612"/>
      <c r="I913" s="735"/>
      <c r="J913" s="612"/>
      <c r="K913" s="613"/>
      <c r="L913" s="614"/>
      <c r="M913" s="614"/>
      <c r="N913" s="614"/>
      <c r="O913" s="614"/>
      <c r="P913" s="614"/>
      <c r="Q913" s="614"/>
      <c r="R913" s="614"/>
      <c r="S913" s="614"/>
      <c r="T913" s="614"/>
      <c r="U913" s="614"/>
      <c r="V913" s="614"/>
      <c r="W913" s="614"/>
      <c r="X913" s="614"/>
      <c r="Y913" s="614"/>
      <c r="Z913" s="614"/>
      <c r="AA913" s="614"/>
      <c r="AB913" s="614"/>
      <c r="AC913" s="614"/>
      <c r="AJ913" s="614"/>
      <c r="AK913" s="614"/>
      <c r="AL913" s="614"/>
      <c r="AM913" s="614"/>
      <c r="AN913" s="614"/>
      <c r="AO913" s="614"/>
      <c r="AP913" s="616"/>
      <c r="AQ913" s="616"/>
      <c r="AR913" s="616"/>
      <c r="AS913" s="614"/>
      <c r="AT913" s="614"/>
      <c r="AU913" s="614"/>
      <c r="AV913" s="614"/>
      <c r="AW913" s="614"/>
      <c r="AX913" s="614"/>
    </row>
    <row r="914" spans="1:50" x14ac:dyDescent="0.25">
      <c r="A914" s="612"/>
      <c r="B914" s="612"/>
      <c r="C914" s="613"/>
      <c r="D914" s="612"/>
      <c r="E914" s="612"/>
      <c r="F914" s="613"/>
      <c r="G914" s="612"/>
      <c r="H914" s="612"/>
      <c r="I914" s="735"/>
      <c r="J914" s="612"/>
      <c r="K914" s="613"/>
      <c r="L914" s="614"/>
      <c r="M914" s="614"/>
      <c r="N914" s="614"/>
      <c r="O914" s="614"/>
      <c r="P914" s="614"/>
      <c r="Q914" s="614"/>
      <c r="R914" s="614"/>
      <c r="S914" s="614"/>
      <c r="T914" s="614"/>
      <c r="U914" s="614"/>
      <c r="V914" s="614"/>
      <c r="W914" s="614"/>
      <c r="X914" s="614"/>
      <c r="Y914" s="614"/>
      <c r="Z914" s="614"/>
      <c r="AA914" s="614"/>
      <c r="AB914" s="614"/>
      <c r="AC914" s="614"/>
      <c r="AJ914" s="614"/>
      <c r="AK914" s="614"/>
      <c r="AL914" s="614"/>
      <c r="AM914" s="614"/>
      <c r="AN914" s="614"/>
      <c r="AO914" s="614"/>
      <c r="AP914" s="616"/>
      <c r="AQ914" s="616"/>
      <c r="AR914" s="616"/>
      <c r="AS914" s="614"/>
      <c r="AT914" s="614"/>
      <c r="AU914" s="614"/>
      <c r="AV914" s="614"/>
      <c r="AW914" s="614"/>
      <c r="AX914" s="614"/>
    </row>
    <row r="915" spans="1:50" x14ac:dyDescent="0.25">
      <c r="A915" s="612"/>
      <c r="B915" s="612"/>
      <c r="C915" s="613"/>
      <c r="D915" s="612"/>
      <c r="E915" s="612"/>
      <c r="F915" s="613"/>
      <c r="G915" s="612"/>
      <c r="H915" s="612"/>
      <c r="I915" s="735"/>
      <c r="J915" s="612"/>
      <c r="K915" s="613"/>
      <c r="L915" s="614"/>
      <c r="M915" s="614"/>
      <c r="N915" s="614"/>
      <c r="O915" s="614"/>
      <c r="P915" s="614"/>
      <c r="Q915" s="614"/>
      <c r="R915" s="614"/>
      <c r="S915" s="614"/>
      <c r="T915" s="614"/>
      <c r="U915" s="614"/>
      <c r="V915" s="614"/>
      <c r="W915" s="614"/>
      <c r="X915" s="614"/>
      <c r="Y915" s="614"/>
      <c r="Z915" s="614"/>
      <c r="AA915" s="614"/>
      <c r="AB915" s="614"/>
      <c r="AC915" s="614"/>
      <c r="AJ915" s="614"/>
      <c r="AK915" s="614"/>
      <c r="AL915" s="614"/>
      <c r="AM915" s="614"/>
      <c r="AN915" s="614"/>
      <c r="AO915" s="614"/>
      <c r="AP915" s="616"/>
      <c r="AQ915" s="616"/>
      <c r="AR915" s="616"/>
      <c r="AS915" s="614"/>
      <c r="AT915" s="614"/>
      <c r="AU915" s="614"/>
      <c r="AV915" s="614"/>
      <c r="AW915" s="614"/>
      <c r="AX915" s="614"/>
    </row>
    <row r="916" spans="1:50" x14ac:dyDescent="0.25">
      <c r="A916" s="612"/>
      <c r="B916" s="612"/>
      <c r="C916" s="613"/>
      <c r="D916" s="612"/>
      <c r="E916" s="612"/>
      <c r="F916" s="613"/>
      <c r="G916" s="612"/>
      <c r="H916" s="612"/>
      <c r="I916" s="735"/>
      <c r="J916" s="612"/>
      <c r="K916" s="613"/>
      <c r="L916" s="614"/>
      <c r="M916" s="614"/>
      <c r="N916" s="614"/>
      <c r="O916" s="614"/>
      <c r="P916" s="614"/>
      <c r="Q916" s="614"/>
      <c r="R916" s="614"/>
      <c r="S916" s="614"/>
      <c r="T916" s="614"/>
      <c r="U916" s="614"/>
      <c r="V916" s="614"/>
      <c r="W916" s="614"/>
      <c r="X916" s="614"/>
      <c r="Y916" s="614"/>
      <c r="Z916" s="614"/>
      <c r="AA916" s="614"/>
      <c r="AB916" s="614"/>
      <c r="AC916" s="614"/>
      <c r="AJ916" s="614"/>
      <c r="AK916" s="614"/>
      <c r="AL916" s="614"/>
      <c r="AM916" s="614"/>
      <c r="AN916" s="614"/>
      <c r="AO916" s="614"/>
      <c r="AP916" s="616"/>
      <c r="AQ916" s="616"/>
      <c r="AR916" s="616"/>
      <c r="AS916" s="614"/>
      <c r="AT916" s="614"/>
      <c r="AU916" s="614"/>
      <c r="AV916" s="614"/>
      <c r="AW916" s="614"/>
      <c r="AX916" s="614"/>
    </row>
    <row r="917" spans="1:50" x14ac:dyDescent="0.25">
      <c r="A917" s="612"/>
      <c r="B917" s="612"/>
      <c r="C917" s="613"/>
      <c r="D917" s="612"/>
      <c r="E917" s="612"/>
      <c r="F917" s="613"/>
      <c r="G917" s="612"/>
      <c r="H917" s="612"/>
      <c r="I917" s="735"/>
      <c r="J917" s="612"/>
      <c r="K917" s="613"/>
      <c r="L917" s="614"/>
      <c r="M917" s="614"/>
      <c r="N917" s="614"/>
      <c r="O917" s="614"/>
      <c r="P917" s="614"/>
      <c r="Q917" s="614"/>
      <c r="R917" s="614"/>
      <c r="S917" s="614"/>
      <c r="T917" s="614"/>
      <c r="U917" s="614"/>
      <c r="V917" s="614"/>
      <c r="W917" s="614"/>
      <c r="X917" s="614"/>
      <c r="Y917" s="614"/>
      <c r="Z917" s="614"/>
      <c r="AA917" s="614"/>
      <c r="AB917" s="614"/>
      <c r="AC917" s="614"/>
      <c r="AJ917" s="614"/>
      <c r="AK917" s="614"/>
      <c r="AL917" s="614"/>
      <c r="AM917" s="614"/>
      <c r="AN917" s="614"/>
      <c r="AO917" s="614"/>
      <c r="AP917" s="616"/>
      <c r="AQ917" s="616"/>
      <c r="AR917" s="616"/>
      <c r="AS917" s="614"/>
      <c r="AT917" s="614"/>
      <c r="AU917" s="614"/>
      <c r="AV917" s="614"/>
      <c r="AW917" s="614"/>
      <c r="AX917" s="614"/>
    </row>
    <row r="918" spans="1:50" x14ac:dyDescent="0.25">
      <c r="A918" s="612"/>
      <c r="B918" s="612"/>
      <c r="C918" s="613"/>
      <c r="D918" s="612"/>
      <c r="E918" s="612"/>
      <c r="F918" s="613"/>
      <c r="G918" s="612"/>
      <c r="H918" s="612"/>
      <c r="I918" s="735"/>
      <c r="J918" s="612"/>
      <c r="K918" s="613"/>
      <c r="L918" s="614"/>
      <c r="M918" s="614"/>
      <c r="N918" s="614"/>
      <c r="O918" s="614"/>
      <c r="P918" s="614"/>
      <c r="Q918" s="614"/>
      <c r="R918" s="614"/>
      <c r="S918" s="614"/>
      <c r="T918" s="614"/>
      <c r="U918" s="614"/>
      <c r="V918" s="614"/>
      <c r="W918" s="614"/>
      <c r="X918" s="614"/>
      <c r="Y918" s="614"/>
      <c r="Z918" s="614"/>
      <c r="AA918" s="614"/>
      <c r="AB918" s="614"/>
      <c r="AC918" s="614"/>
      <c r="AJ918" s="614"/>
      <c r="AK918" s="614"/>
      <c r="AL918" s="614"/>
      <c r="AM918" s="614"/>
      <c r="AN918" s="614"/>
      <c r="AO918" s="614"/>
      <c r="AP918" s="616"/>
      <c r="AQ918" s="616"/>
      <c r="AR918" s="616"/>
      <c r="AS918" s="614"/>
      <c r="AT918" s="614"/>
      <c r="AU918" s="614"/>
      <c r="AV918" s="614"/>
      <c r="AW918" s="614"/>
      <c r="AX918" s="614"/>
    </row>
    <row r="919" spans="1:50" x14ac:dyDescent="0.25">
      <c r="A919" s="612"/>
      <c r="B919" s="612"/>
      <c r="C919" s="613"/>
      <c r="D919" s="612"/>
      <c r="E919" s="612"/>
      <c r="F919" s="613"/>
      <c r="G919" s="612"/>
      <c r="H919" s="612"/>
      <c r="I919" s="735"/>
      <c r="J919" s="612"/>
      <c r="K919" s="613"/>
      <c r="L919" s="614"/>
      <c r="M919" s="614"/>
      <c r="N919" s="614"/>
      <c r="O919" s="614"/>
      <c r="P919" s="614"/>
      <c r="Q919" s="614"/>
      <c r="R919" s="614"/>
      <c r="S919" s="614"/>
      <c r="T919" s="614"/>
      <c r="U919" s="614"/>
      <c r="V919" s="614"/>
      <c r="W919" s="614"/>
      <c r="X919" s="614"/>
      <c r="Y919" s="614"/>
      <c r="Z919" s="614"/>
      <c r="AA919" s="614"/>
      <c r="AB919" s="614"/>
      <c r="AC919" s="614"/>
      <c r="AJ919" s="614"/>
      <c r="AK919" s="614"/>
      <c r="AL919" s="614"/>
      <c r="AM919" s="614"/>
      <c r="AN919" s="614"/>
      <c r="AO919" s="614"/>
      <c r="AP919" s="616"/>
      <c r="AQ919" s="616"/>
      <c r="AR919" s="616"/>
      <c r="AS919" s="614"/>
      <c r="AT919" s="614"/>
      <c r="AU919" s="614"/>
      <c r="AV919" s="614"/>
      <c r="AW919" s="614"/>
      <c r="AX919" s="614"/>
    </row>
    <row r="920" spans="1:50" x14ac:dyDescent="0.25">
      <c r="A920" s="612"/>
      <c r="B920" s="612"/>
      <c r="C920" s="613"/>
      <c r="D920" s="612"/>
      <c r="E920" s="612"/>
      <c r="F920" s="613"/>
      <c r="G920" s="612"/>
      <c r="H920" s="612"/>
      <c r="I920" s="735"/>
      <c r="J920" s="612"/>
      <c r="K920" s="613"/>
      <c r="L920" s="614"/>
      <c r="M920" s="614"/>
      <c r="N920" s="614"/>
      <c r="O920" s="614"/>
      <c r="P920" s="614"/>
      <c r="Q920" s="614"/>
      <c r="R920" s="614"/>
      <c r="S920" s="614"/>
      <c r="T920" s="614"/>
      <c r="U920" s="614"/>
      <c r="V920" s="614"/>
      <c r="W920" s="614"/>
      <c r="X920" s="614"/>
      <c r="Y920" s="614"/>
      <c r="Z920" s="614"/>
      <c r="AA920" s="614"/>
      <c r="AB920" s="614"/>
      <c r="AC920" s="614"/>
      <c r="AJ920" s="614"/>
      <c r="AK920" s="614"/>
      <c r="AL920" s="614"/>
      <c r="AM920" s="614"/>
      <c r="AN920" s="614"/>
      <c r="AO920" s="614"/>
      <c r="AP920" s="616"/>
      <c r="AQ920" s="616"/>
      <c r="AR920" s="616"/>
      <c r="AS920" s="614"/>
      <c r="AT920" s="614"/>
      <c r="AU920" s="614"/>
      <c r="AV920" s="614"/>
      <c r="AW920" s="614"/>
      <c r="AX920" s="614"/>
    </row>
    <row r="921" spans="1:50" x14ac:dyDescent="0.25">
      <c r="A921" s="612"/>
      <c r="B921" s="612"/>
      <c r="C921" s="613"/>
      <c r="D921" s="612"/>
      <c r="E921" s="612"/>
      <c r="F921" s="613"/>
      <c r="G921" s="612"/>
      <c r="H921" s="612"/>
      <c r="I921" s="735"/>
      <c r="J921" s="612"/>
      <c r="K921" s="613"/>
      <c r="L921" s="614"/>
      <c r="M921" s="614"/>
      <c r="N921" s="614"/>
      <c r="O921" s="614"/>
      <c r="P921" s="614"/>
      <c r="Q921" s="614"/>
      <c r="R921" s="614"/>
      <c r="S921" s="614"/>
      <c r="T921" s="614"/>
      <c r="U921" s="614"/>
      <c r="V921" s="614"/>
      <c r="W921" s="614"/>
      <c r="X921" s="614"/>
      <c r="Y921" s="614"/>
      <c r="Z921" s="614"/>
      <c r="AA921" s="614"/>
      <c r="AB921" s="614"/>
      <c r="AC921" s="614"/>
      <c r="AJ921" s="614"/>
      <c r="AK921" s="614"/>
      <c r="AL921" s="614"/>
      <c r="AM921" s="614"/>
      <c r="AN921" s="614"/>
      <c r="AO921" s="614"/>
      <c r="AP921" s="616"/>
      <c r="AQ921" s="616"/>
      <c r="AR921" s="616"/>
      <c r="AS921" s="614"/>
      <c r="AT921" s="614"/>
      <c r="AU921" s="614"/>
      <c r="AV921" s="614"/>
      <c r="AW921" s="614"/>
      <c r="AX921" s="614"/>
    </row>
    <row r="922" spans="1:50" x14ac:dyDescent="0.25">
      <c r="A922" s="612"/>
      <c r="B922" s="612"/>
      <c r="C922" s="613"/>
      <c r="D922" s="612"/>
      <c r="E922" s="612"/>
      <c r="F922" s="613"/>
      <c r="G922" s="612"/>
      <c r="H922" s="612"/>
      <c r="I922" s="735"/>
      <c r="J922" s="612"/>
      <c r="K922" s="613"/>
      <c r="L922" s="614"/>
      <c r="M922" s="614"/>
      <c r="N922" s="614"/>
      <c r="O922" s="614"/>
      <c r="P922" s="614"/>
      <c r="Q922" s="614"/>
      <c r="R922" s="614"/>
      <c r="S922" s="614"/>
      <c r="T922" s="614"/>
      <c r="U922" s="614"/>
      <c r="V922" s="614"/>
      <c r="W922" s="614"/>
      <c r="X922" s="614"/>
      <c r="Y922" s="614"/>
      <c r="Z922" s="614"/>
      <c r="AA922" s="614"/>
      <c r="AB922" s="614"/>
      <c r="AC922" s="614"/>
      <c r="AJ922" s="614"/>
      <c r="AK922" s="614"/>
      <c r="AL922" s="614"/>
      <c r="AM922" s="614"/>
      <c r="AN922" s="614"/>
      <c r="AO922" s="614"/>
      <c r="AP922" s="616"/>
      <c r="AQ922" s="616"/>
      <c r="AR922" s="616"/>
      <c r="AS922" s="614"/>
      <c r="AT922" s="614"/>
      <c r="AU922" s="614"/>
      <c r="AV922" s="614"/>
      <c r="AW922" s="614"/>
      <c r="AX922" s="614"/>
    </row>
    <row r="923" spans="1:50" x14ac:dyDescent="0.25">
      <c r="A923" s="612"/>
      <c r="B923" s="612"/>
      <c r="C923" s="613"/>
      <c r="D923" s="612"/>
      <c r="E923" s="612"/>
      <c r="F923" s="613"/>
      <c r="G923" s="612"/>
      <c r="H923" s="612"/>
      <c r="I923" s="735"/>
      <c r="J923" s="612"/>
      <c r="K923" s="613"/>
      <c r="L923" s="614"/>
      <c r="M923" s="614"/>
      <c r="N923" s="614"/>
      <c r="O923" s="614"/>
      <c r="P923" s="614"/>
      <c r="Q923" s="614"/>
      <c r="R923" s="614"/>
      <c r="S923" s="614"/>
      <c r="T923" s="614"/>
      <c r="U923" s="614"/>
      <c r="V923" s="614"/>
      <c r="W923" s="614"/>
      <c r="X923" s="614"/>
      <c r="Y923" s="614"/>
      <c r="Z923" s="614"/>
      <c r="AA923" s="614"/>
      <c r="AB923" s="614"/>
      <c r="AC923" s="614"/>
      <c r="AJ923" s="614"/>
      <c r="AK923" s="614"/>
      <c r="AL923" s="614"/>
      <c r="AM923" s="614"/>
      <c r="AN923" s="614"/>
      <c r="AO923" s="614"/>
      <c r="AP923" s="616"/>
      <c r="AQ923" s="616"/>
      <c r="AR923" s="616"/>
      <c r="AS923" s="614"/>
      <c r="AT923" s="614"/>
      <c r="AU923" s="614"/>
      <c r="AV923" s="614"/>
      <c r="AW923" s="614"/>
      <c r="AX923" s="614"/>
    </row>
    <row r="924" spans="1:50" x14ac:dyDescent="0.25">
      <c r="A924" s="612"/>
      <c r="B924" s="612"/>
      <c r="C924" s="613"/>
      <c r="D924" s="612"/>
      <c r="E924" s="612"/>
      <c r="F924" s="613"/>
      <c r="G924" s="612"/>
      <c r="H924" s="612"/>
      <c r="I924" s="735"/>
      <c r="J924" s="612"/>
      <c r="K924" s="613"/>
      <c r="L924" s="614"/>
      <c r="M924" s="614"/>
      <c r="N924" s="614"/>
      <c r="O924" s="614"/>
      <c r="P924" s="614"/>
      <c r="Q924" s="614"/>
      <c r="R924" s="614"/>
      <c r="S924" s="614"/>
      <c r="T924" s="614"/>
      <c r="U924" s="614"/>
      <c r="V924" s="614"/>
      <c r="W924" s="614"/>
      <c r="X924" s="614"/>
      <c r="Y924" s="614"/>
      <c r="Z924" s="614"/>
      <c r="AA924" s="614"/>
      <c r="AB924" s="614"/>
      <c r="AC924" s="614"/>
      <c r="AJ924" s="614"/>
      <c r="AK924" s="614"/>
      <c r="AL924" s="614"/>
      <c r="AM924" s="614"/>
      <c r="AN924" s="614"/>
      <c r="AO924" s="614"/>
      <c r="AP924" s="616"/>
      <c r="AQ924" s="616"/>
      <c r="AR924" s="616"/>
      <c r="AS924" s="614"/>
      <c r="AT924" s="614"/>
      <c r="AU924" s="614"/>
      <c r="AV924" s="614"/>
      <c r="AW924" s="614"/>
      <c r="AX924" s="614"/>
    </row>
    <row r="925" spans="1:50" x14ac:dyDescent="0.25">
      <c r="A925" s="612"/>
      <c r="B925" s="612"/>
      <c r="C925" s="613"/>
      <c r="D925" s="612"/>
      <c r="E925" s="612"/>
      <c r="F925" s="613"/>
      <c r="G925" s="612"/>
      <c r="H925" s="612"/>
      <c r="I925" s="735"/>
      <c r="J925" s="612"/>
      <c r="K925" s="613"/>
      <c r="L925" s="614"/>
      <c r="M925" s="614"/>
      <c r="N925" s="614"/>
      <c r="O925" s="614"/>
      <c r="P925" s="614"/>
      <c r="Q925" s="614"/>
      <c r="R925" s="614"/>
      <c r="S925" s="614"/>
      <c r="T925" s="614"/>
      <c r="U925" s="614"/>
      <c r="V925" s="614"/>
      <c r="W925" s="614"/>
      <c r="X925" s="614"/>
      <c r="Y925" s="614"/>
      <c r="Z925" s="614"/>
      <c r="AA925" s="614"/>
      <c r="AB925" s="614"/>
      <c r="AC925" s="614"/>
      <c r="AJ925" s="614"/>
      <c r="AK925" s="614"/>
      <c r="AL925" s="614"/>
      <c r="AM925" s="614"/>
      <c r="AN925" s="614"/>
      <c r="AO925" s="614"/>
      <c r="AP925" s="616"/>
      <c r="AQ925" s="616"/>
      <c r="AR925" s="616"/>
      <c r="AS925" s="614"/>
      <c r="AT925" s="614"/>
      <c r="AU925" s="614"/>
      <c r="AV925" s="614"/>
      <c r="AW925" s="614"/>
      <c r="AX925" s="614"/>
    </row>
    <row r="926" spans="1:50" x14ac:dyDescent="0.25">
      <c r="A926" s="612"/>
      <c r="B926" s="612"/>
      <c r="C926" s="613"/>
      <c r="D926" s="612"/>
      <c r="E926" s="612"/>
      <c r="F926" s="613"/>
      <c r="G926" s="612"/>
      <c r="H926" s="612"/>
      <c r="I926" s="735"/>
      <c r="J926" s="612"/>
      <c r="K926" s="613"/>
      <c r="L926" s="614"/>
      <c r="M926" s="614"/>
      <c r="N926" s="614"/>
      <c r="O926" s="614"/>
      <c r="P926" s="614"/>
      <c r="Q926" s="614"/>
      <c r="R926" s="614"/>
      <c r="S926" s="614"/>
      <c r="T926" s="614"/>
      <c r="U926" s="614"/>
      <c r="V926" s="614"/>
      <c r="W926" s="614"/>
      <c r="X926" s="614"/>
      <c r="Y926" s="614"/>
      <c r="Z926" s="614"/>
      <c r="AA926" s="614"/>
      <c r="AB926" s="614"/>
      <c r="AC926" s="614"/>
      <c r="AJ926" s="614"/>
      <c r="AK926" s="614"/>
      <c r="AL926" s="614"/>
      <c r="AM926" s="614"/>
      <c r="AN926" s="614"/>
      <c r="AO926" s="614"/>
      <c r="AP926" s="616"/>
      <c r="AQ926" s="616"/>
      <c r="AR926" s="616"/>
      <c r="AS926" s="614"/>
      <c r="AT926" s="614"/>
      <c r="AU926" s="614"/>
      <c r="AV926" s="614"/>
      <c r="AW926" s="614"/>
      <c r="AX926" s="614"/>
    </row>
    <row r="927" spans="1:50" x14ac:dyDescent="0.25">
      <c r="A927" s="612"/>
      <c r="B927" s="612"/>
      <c r="C927" s="613"/>
      <c r="D927" s="612"/>
      <c r="E927" s="612"/>
      <c r="F927" s="613"/>
      <c r="G927" s="612"/>
      <c r="H927" s="612"/>
      <c r="I927" s="735"/>
      <c r="J927" s="612"/>
      <c r="K927" s="613"/>
      <c r="L927" s="614"/>
      <c r="M927" s="614"/>
      <c r="N927" s="614"/>
      <c r="O927" s="614"/>
      <c r="P927" s="614"/>
      <c r="Q927" s="614"/>
      <c r="R927" s="614"/>
      <c r="S927" s="614"/>
      <c r="T927" s="614"/>
      <c r="U927" s="614"/>
      <c r="V927" s="614"/>
      <c r="W927" s="614"/>
      <c r="X927" s="614"/>
      <c r="Y927" s="614"/>
      <c r="Z927" s="614"/>
      <c r="AA927" s="614"/>
      <c r="AB927" s="614"/>
      <c r="AC927" s="614"/>
      <c r="AJ927" s="614"/>
      <c r="AK927" s="614"/>
      <c r="AL927" s="614"/>
      <c r="AM927" s="614"/>
      <c r="AN927" s="614"/>
      <c r="AO927" s="614"/>
      <c r="AP927" s="616"/>
      <c r="AQ927" s="616"/>
      <c r="AR927" s="616"/>
      <c r="AS927" s="614"/>
      <c r="AT927" s="614"/>
      <c r="AU927" s="614"/>
      <c r="AV927" s="614"/>
      <c r="AW927" s="614"/>
      <c r="AX927" s="614"/>
    </row>
    <row r="928" spans="1:50" x14ac:dyDescent="0.25">
      <c r="A928" s="612"/>
      <c r="B928" s="612"/>
      <c r="C928" s="613"/>
      <c r="D928" s="612"/>
      <c r="E928" s="612"/>
      <c r="F928" s="613"/>
      <c r="G928" s="612"/>
      <c r="H928" s="612"/>
      <c r="I928" s="735"/>
      <c r="J928" s="612"/>
      <c r="K928" s="613"/>
      <c r="L928" s="614"/>
      <c r="M928" s="614"/>
      <c r="N928" s="614"/>
      <c r="O928" s="614"/>
      <c r="P928" s="614"/>
      <c r="Q928" s="614"/>
      <c r="R928" s="614"/>
      <c r="S928" s="614"/>
      <c r="T928" s="614"/>
      <c r="U928" s="614"/>
      <c r="V928" s="614"/>
      <c r="W928" s="614"/>
      <c r="X928" s="614"/>
      <c r="Y928" s="614"/>
      <c r="Z928" s="614"/>
      <c r="AA928" s="614"/>
      <c r="AB928" s="614"/>
      <c r="AC928" s="614"/>
      <c r="AJ928" s="614"/>
      <c r="AK928" s="614"/>
      <c r="AL928" s="614"/>
      <c r="AM928" s="614"/>
      <c r="AN928" s="614"/>
      <c r="AO928" s="614"/>
      <c r="AP928" s="616"/>
      <c r="AQ928" s="616"/>
      <c r="AR928" s="616"/>
      <c r="AS928" s="614"/>
      <c r="AT928" s="614"/>
      <c r="AU928" s="614"/>
      <c r="AV928" s="614"/>
      <c r="AW928" s="614"/>
      <c r="AX928" s="614"/>
    </row>
    <row r="929" spans="1:50" x14ac:dyDescent="0.25">
      <c r="A929" s="612"/>
      <c r="B929" s="612"/>
      <c r="C929" s="613"/>
      <c r="D929" s="612"/>
      <c r="E929" s="612"/>
      <c r="F929" s="613"/>
      <c r="G929" s="612"/>
      <c r="H929" s="612"/>
      <c r="I929" s="735"/>
      <c r="J929" s="612"/>
      <c r="K929" s="613"/>
      <c r="L929" s="614"/>
      <c r="M929" s="614"/>
      <c r="N929" s="614"/>
      <c r="O929" s="614"/>
      <c r="P929" s="614"/>
      <c r="Q929" s="614"/>
      <c r="R929" s="614"/>
      <c r="S929" s="614"/>
      <c r="T929" s="614"/>
      <c r="U929" s="614"/>
      <c r="V929" s="614"/>
      <c r="W929" s="614"/>
      <c r="X929" s="614"/>
      <c r="Y929" s="614"/>
      <c r="Z929" s="614"/>
      <c r="AA929" s="614"/>
      <c r="AB929" s="614"/>
      <c r="AC929" s="614"/>
      <c r="AJ929" s="614"/>
      <c r="AK929" s="614"/>
      <c r="AL929" s="614"/>
      <c r="AM929" s="614"/>
      <c r="AN929" s="614"/>
      <c r="AO929" s="614"/>
      <c r="AP929" s="616"/>
      <c r="AQ929" s="616"/>
      <c r="AR929" s="616"/>
      <c r="AS929" s="614"/>
      <c r="AT929" s="614"/>
      <c r="AU929" s="614"/>
      <c r="AV929" s="614"/>
      <c r="AW929" s="614"/>
      <c r="AX929" s="614"/>
    </row>
    <row r="930" spans="1:50" x14ac:dyDescent="0.25">
      <c r="A930" s="612"/>
      <c r="B930" s="612"/>
      <c r="C930" s="613"/>
      <c r="D930" s="612"/>
      <c r="E930" s="612"/>
      <c r="F930" s="613"/>
      <c r="G930" s="612"/>
      <c r="H930" s="612"/>
      <c r="I930" s="735"/>
      <c r="J930" s="612"/>
      <c r="K930" s="613"/>
      <c r="L930" s="614"/>
      <c r="M930" s="614"/>
      <c r="N930" s="614"/>
      <c r="O930" s="614"/>
      <c r="P930" s="614"/>
      <c r="Q930" s="614"/>
      <c r="R930" s="614"/>
      <c r="S930" s="614"/>
      <c r="T930" s="614"/>
      <c r="U930" s="614"/>
      <c r="V930" s="614"/>
      <c r="W930" s="614"/>
      <c r="X930" s="614"/>
      <c r="Y930" s="614"/>
      <c r="Z930" s="614"/>
      <c r="AA930" s="614"/>
      <c r="AB930" s="614"/>
      <c r="AC930" s="614"/>
      <c r="AJ930" s="614"/>
      <c r="AK930" s="614"/>
      <c r="AL930" s="614"/>
      <c r="AM930" s="614"/>
      <c r="AN930" s="614"/>
      <c r="AO930" s="614"/>
      <c r="AP930" s="616"/>
      <c r="AQ930" s="616"/>
      <c r="AR930" s="616"/>
      <c r="AS930" s="614"/>
      <c r="AT930" s="614"/>
      <c r="AU930" s="614"/>
      <c r="AV930" s="614"/>
      <c r="AW930" s="614"/>
      <c r="AX930" s="614"/>
    </row>
    <row r="931" spans="1:50" x14ac:dyDescent="0.25">
      <c r="A931" s="612"/>
      <c r="B931" s="612"/>
      <c r="C931" s="613"/>
      <c r="D931" s="612"/>
      <c r="E931" s="612"/>
      <c r="F931" s="613"/>
      <c r="G931" s="612"/>
      <c r="H931" s="612"/>
      <c r="I931" s="735"/>
      <c r="J931" s="612"/>
      <c r="K931" s="613"/>
      <c r="L931" s="614"/>
      <c r="M931" s="614"/>
      <c r="N931" s="614"/>
      <c r="O931" s="614"/>
      <c r="P931" s="614"/>
      <c r="Q931" s="614"/>
      <c r="R931" s="614"/>
      <c r="S931" s="614"/>
      <c r="T931" s="614"/>
      <c r="U931" s="614"/>
      <c r="V931" s="614"/>
      <c r="W931" s="614"/>
      <c r="X931" s="614"/>
      <c r="Y931" s="614"/>
      <c r="Z931" s="614"/>
      <c r="AA931" s="614"/>
      <c r="AB931" s="614"/>
      <c r="AC931" s="614"/>
      <c r="AJ931" s="614"/>
      <c r="AK931" s="614"/>
      <c r="AL931" s="614"/>
      <c r="AM931" s="614"/>
      <c r="AN931" s="614"/>
      <c r="AO931" s="614"/>
      <c r="AP931" s="616"/>
      <c r="AQ931" s="616"/>
      <c r="AR931" s="616"/>
      <c r="AS931" s="614"/>
      <c r="AT931" s="614"/>
      <c r="AU931" s="614"/>
      <c r="AV931" s="614"/>
      <c r="AW931" s="614"/>
      <c r="AX931" s="614"/>
    </row>
    <row r="932" spans="1:50" x14ac:dyDescent="0.25">
      <c r="A932" s="612"/>
      <c r="B932" s="612"/>
      <c r="C932" s="613"/>
      <c r="D932" s="612"/>
      <c r="E932" s="612"/>
      <c r="F932" s="613"/>
      <c r="G932" s="612"/>
      <c r="H932" s="612"/>
      <c r="I932" s="735"/>
      <c r="J932" s="612"/>
      <c r="K932" s="613"/>
      <c r="L932" s="614"/>
      <c r="M932" s="614"/>
      <c r="N932" s="614"/>
      <c r="O932" s="614"/>
      <c r="P932" s="614"/>
      <c r="Q932" s="614"/>
      <c r="R932" s="614"/>
      <c r="S932" s="614"/>
      <c r="T932" s="614"/>
      <c r="U932" s="614"/>
      <c r="V932" s="614"/>
      <c r="W932" s="614"/>
      <c r="X932" s="614"/>
      <c r="Y932" s="614"/>
      <c r="Z932" s="614"/>
      <c r="AA932" s="614"/>
      <c r="AB932" s="614"/>
      <c r="AC932" s="614"/>
      <c r="AJ932" s="614"/>
      <c r="AK932" s="614"/>
      <c r="AL932" s="614"/>
      <c r="AM932" s="614"/>
      <c r="AN932" s="614"/>
      <c r="AO932" s="614"/>
      <c r="AP932" s="616"/>
      <c r="AQ932" s="616"/>
      <c r="AR932" s="616"/>
      <c r="AS932" s="614"/>
      <c r="AT932" s="614"/>
      <c r="AU932" s="614"/>
      <c r="AV932" s="614"/>
      <c r="AW932" s="614"/>
      <c r="AX932" s="614"/>
    </row>
    <row r="933" spans="1:50" x14ac:dyDescent="0.25">
      <c r="A933" s="612"/>
      <c r="B933" s="612"/>
      <c r="C933" s="613"/>
      <c r="D933" s="612"/>
      <c r="E933" s="612"/>
      <c r="F933" s="613"/>
      <c r="G933" s="612"/>
      <c r="H933" s="612"/>
      <c r="I933" s="735"/>
      <c r="J933" s="612"/>
      <c r="K933" s="613"/>
      <c r="L933" s="614"/>
      <c r="M933" s="614"/>
      <c r="N933" s="614"/>
      <c r="O933" s="614"/>
      <c r="P933" s="614"/>
      <c r="Q933" s="614"/>
      <c r="R933" s="614"/>
      <c r="S933" s="614"/>
      <c r="T933" s="614"/>
      <c r="U933" s="614"/>
      <c r="V933" s="614"/>
      <c r="W933" s="614"/>
      <c r="X933" s="614"/>
      <c r="Y933" s="614"/>
      <c r="Z933" s="614"/>
      <c r="AA933" s="614"/>
      <c r="AB933" s="614"/>
      <c r="AC933" s="614"/>
      <c r="AJ933" s="614"/>
      <c r="AK933" s="614"/>
      <c r="AL933" s="614"/>
      <c r="AM933" s="614"/>
      <c r="AN933" s="614"/>
      <c r="AO933" s="614"/>
      <c r="AP933" s="616"/>
      <c r="AQ933" s="616"/>
      <c r="AR933" s="616"/>
      <c r="AS933" s="614"/>
      <c r="AT933" s="614"/>
      <c r="AU933" s="614"/>
      <c r="AV933" s="614"/>
      <c r="AW933" s="614"/>
      <c r="AX933" s="614"/>
    </row>
    <row r="934" spans="1:50" x14ac:dyDescent="0.25">
      <c r="A934" s="612"/>
      <c r="B934" s="612"/>
      <c r="C934" s="613"/>
      <c r="D934" s="612"/>
      <c r="E934" s="612"/>
      <c r="F934" s="613"/>
      <c r="G934" s="612"/>
      <c r="H934" s="612"/>
      <c r="I934" s="735"/>
      <c r="J934" s="612"/>
      <c r="K934" s="613"/>
      <c r="L934" s="614"/>
      <c r="M934" s="614"/>
      <c r="N934" s="614"/>
      <c r="O934" s="614"/>
      <c r="P934" s="614"/>
      <c r="Q934" s="614"/>
      <c r="R934" s="614"/>
      <c r="S934" s="614"/>
      <c r="T934" s="614"/>
      <c r="U934" s="614"/>
      <c r="V934" s="614"/>
      <c r="W934" s="614"/>
      <c r="X934" s="614"/>
      <c r="Y934" s="614"/>
      <c r="Z934" s="614"/>
      <c r="AA934" s="614"/>
      <c r="AB934" s="614"/>
      <c r="AC934" s="614"/>
      <c r="AJ934" s="614"/>
      <c r="AK934" s="614"/>
      <c r="AL934" s="614"/>
      <c r="AM934" s="614"/>
      <c r="AN934" s="614"/>
      <c r="AO934" s="614"/>
      <c r="AP934" s="616"/>
      <c r="AQ934" s="616"/>
      <c r="AR934" s="616"/>
      <c r="AS934" s="614"/>
      <c r="AT934" s="614"/>
      <c r="AU934" s="614"/>
      <c r="AV934" s="614"/>
      <c r="AW934" s="614"/>
      <c r="AX934" s="614"/>
    </row>
    <row r="935" spans="1:50" x14ac:dyDescent="0.25">
      <c r="A935" s="612"/>
      <c r="B935" s="612"/>
      <c r="C935" s="613"/>
      <c r="D935" s="612"/>
      <c r="E935" s="612"/>
      <c r="F935" s="613"/>
      <c r="G935" s="612"/>
      <c r="H935" s="612"/>
      <c r="I935" s="735"/>
      <c r="J935" s="612"/>
      <c r="K935" s="613"/>
      <c r="L935" s="614"/>
      <c r="M935" s="614"/>
      <c r="N935" s="614"/>
      <c r="O935" s="614"/>
      <c r="P935" s="614"/>
      <c r="Q935" s="614"/>
      <c r="R935" s="614"/>
      <c r="S935" s="614"/>
      <c r="T935" s="614"/>
      <c r="U935" s="614"/>
      <c r="V935" s="614"/>
      <c r="W935" s="614"/>
      <c r="X935" s="614"/>
      <c r="Y935" s="614"/>
      <c r="Z935" s="614"/>
      <c r="AA935" s="614"/>
      <c r="AB935" s="614"/>
      <c r="AC935" s="614"/>
      <c r="AJ935" s="614"/>
      <c r="AK935" s="614"/>
      <c r="AL935" s="614"/>
      <c r="AM935" s="614"/>
      <c r="AN935" s="614"/>
      <c r="AO935" s="614"/>
      <c r="AP935" s="616"/>
      <c r="AQ935" s="616"/>
      <c r="AR935" s="616"/>
      <c r="AS935" s="614"/>
      <c r="AT935" s="614"/>
      <c r="AU935" s="614"/>
      <c r="AV935" s="614"/>
      <c r="AW935" s="614"/>
      <c r="AX935" s="614"/>
    </row>
    <row r="936" spans="1:50" x14ac:dyDescent="0.25">
      <c r="A936" s="612"/>
      <c r="B936" s="612"/>
      <c r="C936" s="613"/>
      <c r="D936" s="612"/>
      <c r="E936" s="612"/>
      <c r="F936" s="613"/>
      <c r="G936" s="612"/>
      <c r="H936" s="612"/>
      <c r="I936" s="735"/>
      <c r="J936" s="612"/>
      <c r="K936" s="613"/>
      <c r="L936" s="614"/>
      <c r="M936" s="614"/>
      <c r="N936" s="614"/>
      <c r="O936" s="614"/>
      <c r="P936" s="614"/>
      <c r="Q936" s="614"/>
      <c r="R936" s="614"/>
      <c r="S936" s="614"/>
      <c r="T936" s="614"/>
      <c r="U936" s="614"/>
      <c r="V936" s="614"/>
      <c r="W936" s="614"/>
      <c r="X936" s="614"/>
      <c r="Y936" s="614"/>
      <c r="Z936" s="614"/>
      <c r="AA936" s="614"/>
      <c r="AB936" s="614"/>
      <c r="AC936" s="614"/>
      <c r="AJ936" s="614"/>
      <c r="AK936" s="614"/>
      <c r="AL936" s="614"/>
      <c r="AM936" s="614"/>
      <c r="AN936" s="614"/>
      <c r="AO936" s="614"/>
      <c r="AP936" s="616"/>
      <c r="AQ936" s="616"/>
      <c r="AR936" s="616"/>
      <c r="AS936" s="614"/>
      <c r="AT936" s="614"/>
      <c r="AU936" s="614"/>
      <c r="AV936" s="614"/>
      <c r="AW936" s="614"/>
      <c r="AX936" s="614"/>
    </row>
    <row r="937" spans="1:50" x14ac:dyDescent="0.25">
      <c r="A937" s="612"/>
      <c r="B937" s="612"/>
      <c r="C937" s="613"/>
      <c r="D937" s="612"/>
      <c r="E937" s="612"/>
      <c r="F937" s="613"/>
      <c r="G937" s="612"/>
      <c r="H937" s="612"/>
      <c r="I937" s="735"/>
      <c r="J937" s="612"/>
      <c r="K937" s="613"/>
      <c r="L937" s="614"/>
      <c r="M937" s="614"/>
      <c r="N937" s="614"/>
      <c r="O937" s="614"/>
      <c r="P937" s="614"/>
      <c r="Q937" s="614"/>
      <c r="R937" s="614"/>
      <c r="S937" s="614"/>
      <c r="T937" s="614"/>
      <c r="U937" s="614"/>
      <c r="V937" s="614"/>
      <c r="W937" s="614"/>
      <c r="X937" s="614"/>
      <c r="Y937" s="614"/>
      <c r="Z937" s="614"/>
      <c r="AA937" s="614"/>
      <c r="AB937" s="614"/>
      <c r="AC937" s="614"/>
      <c r="AJ937" s="614"/>
      <c r="AK937" s="614"/>
      <c r="AL937" s="614"/>
      <c r="AM937" s="614"/>
      <c r="AN937" s="614"/>
      <c r="AO937" s="614"/>
      <c r="AP937" s="616"/>
      <c r="AQ937" s="616"/>
      <c r="AR937" s="616"/>
      <c r="AS937" s="614"/>
      <c r="AT937" s="614"/>
      <c r="AU937" s="614"/>
      <c r="AV937" s="614"/>
      <c r="AW937" s="614"/>
      <c r="AX937" s="614"/>
    </row>
    <row r="938" spans="1:50" x14ac:dyDescent="0.25">
      <c r="A938" s="612"/>
      <c r="B938" s="612"/>
      <c r="C938" s="613"/>
      <c r="D938" s="612"/>
      <c r="E938" s="612"/>
      <c r="F938" s="613"/>
      <c r="G938" s="612"/>
      <c r="H938" s="612"/>
      <c r="I938" s="735"/>
      <c r="J938" s="612"/>
      <c r="K938" s="613"/>
      <c r="L938" s="614"/>
      <c r="M938" s="614"/>
      <c r="N938" s="614"/>
      <c r="O938" s="614"/>
      <c r="P938" s="614"/>
      <c r="Q938" s="614"/>
      <c r="R938" s="614"/>
      <c r="S938" s="614"/>
      <c r="T938" s="614"/>
      <c r="U938" s="614"/>
      <c r="V938" s="614"/>
      <c r="W938" s="614"/>
      <c r="X938" s="614"/>
      <c r="Y938" s="614"/>
      <c r="Z938" s="614"/>
      <c r="AA938" s="614"/>
      <c r="AB938" s="614"/>
      <c r="AC938" s="614"/>
      <c r="AJ938" s="614"/>
      <c r="AK938" s="614"/>
      <c r="AL938" s="614"/>
      <c r="AM938" s="614"/>
      <c r="AN938" s="614"/>
      <c r="AO938" s="614"/>
      <c r="AP938" s="616"/>
      <c r="AQ938" s="616"/>
      <c r="AR938" s="616"/>
      <c r="AS938" s="614"/>
      <c r="AT938" s="614"/>
      <c r="AU938" s="614"/>
      <c r="AV938" s="614"/>
      <c r="AW938" s="614"/>
      <c r="AX938" s="614"/>
    </row>
    <row r="939" spans="1:50" x14ac:dyDescent="0.25">
      <c r="A939" s="612"/>
      <c r="B939" s="612"/>
      <c r="C939" s="613"/>
      <c r="D939" s="612"/>
      <c r="E939" s="612"/>
      <c r="F939" s="613"/>
      <c r="G939" s="612"/>
      <c r="H939" s="612"/>
      <c r="I939" s="735"/>
      <c r="J939" s="612"/>
      <c r="K939" s="613"/>
      <c r="L939" s="614"/>
      <c r="M939" s="614"/>
      <c r="N939" s="614"/>
      <c r="O939" s="614"/>
      <c r="P939" s="614"/>
      <c r="Q939" s="614"/>
      <c r="R939" s="614"/>
      <c r="S939" s="614"/>
      <c r="T939" s="614"/>
      <c r="U939" s="614"/>
      <c r="V939" s="614"/>
      <c r="W939" s="614"/>
      <c r="X939" s="614"/>
      <c r="Y939" s="614"/>
      <c r="Z939" s="614"/>
      <c r="AA939" s="614"/>
      <c r="AB939" s="614"/>
      <c r="AC939" s="614"/>
      <c r="AJ939" s="614"/>
      <c r="AK939" s="614"/>
      <c r="AL939" s="614"/>
      <c r="AM939" s="614"/>
      <c r="AN939" s="614"/>
      <c r="AO939" s="614"/>
      <c r="AP939" s="616"/>
      <c r="AQ939" s="616"/>
      <c r="AR939" s="616"/>
      <c r="AS939" s="614"/>
      <c r="AT939" s="614"/>
      <c r="AU939" s="614"/>
      <c r="AV939" s="614"/>
      <c r="AW939" s="614"/>
      <c r="AX939" s="614"/>
    </row>
    <row r="940" spans="1:50" x14ac:dyDescent="0.25">
      <c r="A940" s="612"/>
      <c r="B940" s="612"/>
      <c r="C940" s="613"/>
      <c r="D940" s="612"/>
      <c r="E940" s="612"/>
      <c r="F940" s="613"/>
      <c r="G940" s="612"/>
      <c r="H940" s="612"/>
      <c r="I940" s="735"/>
      <c r="J940" s="612"/>
      <c r="K940" s="613"/>
      <c r="L940" s="614"/>
      <c r="M940" s="614"/>
      <c r="N940" s="614"/>
      <c r="O940" s="614"/>
      <c r="P940" s="614"/>
      <c r="Q940" s="614"/>
      <c r="R940" s="614"/>
      <c r="S940" s="614"/>
      <c r="T940" s="614"/>
      <c r="U940" s="614"/>
      <c r="V940" s="614"/>
      <c r="W940" s="614"/>
      <c r="X940" s="614"/>
      <c r="Y940" s="614"/>
      <c r="Z940" s="614"/>
      <c r="AA940" s="614"/>
      <c r="AB940" s="614"/>
      <c r="AC940" s="614"/>
      <c r="AJ940" s="614"/>
      <c r="AK940" s="614"/>
      <c r="AL940" s="614"/>
      <c r="AM940" s="614"/>
      <c r="AN940" s="614"/>
      <c r="AO940" s="614"/>
      <c r="AP940" s="616"/>
      <c r="AQ940" s="616"/>
      <c r="AR940" s="616"/>
      <c r="AS940" s="614"/>
      <c r="AT940" s="614"/>
      <c r="AU940" s="614"/>
      <c r="AV940" s="614"/>
      <c r="AW940" s="614"/>
      <c r="AX940" s="614"/>
    </row>
    <row r="941" spans="1:50" x14ac:dyDescent="0.25">
      <c r="A941" s="612"/>
      <c r="B941" s="612"/>
      <c r="C941" s="613"/>
      <c r="D941" s="612"/>
      <c r="E941" s="612"/>
      <c r="F941" s="613"/>
      <c r="G941" s="612"/>
      <c r="H941" s="612"/>
      <c r="I941" s="735"/>
      <c r="J941" s="612"/>
      <c r="K941" s="613"/>
      <c r="L941" s="614"/>
      <c r="M941" s="614"/>
      <c r="N941" s="614"/>
      <c r="O941" s="614"/>
      <c r="P941" s="614"/>
      <c r="Q941" s="614"/>
      <c r="R941" s="614"/>
      <c r="S941" s="614"/>
      <c r="T941" s="614"/>
      <c r="U941" s="614"/>
      <c r="V941" s="614"/>
      <c r="W941" s="614"/>
      <c r="X941" s="614"/>
      <c r="Y941" s="614"/>
      <c r="Z941" s="614"/>
      <c r="AA941" s="614"/>
      <c r="AB941" s="614"/>
      <c r="AC941" s="614"/>
      <c r="AJ941" s="614"/>
      <c r="AK941" s="614"/>
      <c r="AL941" s="614"/>
      <c r="AM941" s="614"/>
      <c r="AN941" s="614"/>
      <c r="AO941" s="614"/>
      <c r="AP941" s="616"/>
      <c r="AQ941" s="616"/>
      <c r="AR941" s="616"/>
      <c r="AS941" s="614"/>
      <c r="AT941" s="614"/>
      <c r="AU941" s="614"/>
      <c r="AV941" s="614"/>
      <c r="AW941" s="614"/>
      <c r="AX941" s="614"/>
    </row>
    <row r="942" spans="1:50" x14ac:dyDescent="0.25">
      <c r="A942" s="612"/>
      <c r="B942" s="612"/>
      <c r="C942" s="613"/>
      <c r="D942" s="612"/>
      <c r="E942" s="612"/>
      <c r="F942" s="613"/>
      <c r="G942" s="612"/>
      <c r="H942" s="612"/>
      <c r="I942" s="735"/>
      <c r="J942" s="612"/>
      <c r="K942" s="613"/>
      <c r="L942" s="614"/>
      <c r="M942" s="614"/>
      <c r="N942" s="614"/>
      <c r="O942" s="614"/>
      <c r="P942" s="614"/>
      <c r="Q942" s="614"/>
      <c r="R942" s="614"/>
      <c r="S942" s="614"/>
      <c r="T942" s="614"/>
      <c r="U942" s="614"/>
      <c r="V942" s="614"/>
      <c r="W942" s="614"/>
      <c r="X942" s="614"/>
      <c r="Y942" s="614"/>
      <c r="Z942" s="614"/>
      <c r="AA942" s="614"/>
      <c r="AB942" s="614"/>
      <c r="AC942" s="614"/>
      <c r="AJ942" s="614"/>
      <c r="AK942" s="614"/>
      <c r="AL942" s="614"/>
      <c r="AM942" s="614"/>
      <c r="AN942" s="614"/>
      <c r="AO942" s="614"/>
      <c r="AP942" s="616"/>
      <c r="AQ942" s="616"/>
      <c r="AR942" s="616"/>
      <c r="AS942" s="614"/>
      <c r="AT942" s="614"/>
      <c r="AU942" s="614"/>
      <c r="AV942" s="614"/>
      <c r="AW942" s="614"/>
      <c r="AX942" s="614"/>
    </row>
    <row r="943" spans="1:50" x14ac:dyDescent="0.25">
      <c r="A943" s="612"/>
      <c r="B943" s="612"/>
      <c r="C943" s="613"/>
      <c r="D943" s="612"/>
      <c r="E943" s="612"/>
      <c r="F943" s="613"/>
      <c r="G943" s="612"/>
      <c r="H943" s="612"/>
      <c r="I943" s="735"/>
      <c r="J943" s="612"/>
      <c r="K943" s="613"/>
      <c r="L943" s="614"/>
      <c r="M943" s="614"/>
      <c r="N943" s="614"/>
      <c r="O943" s="614"/>
      <c r="P943" s="614"/>
      <c r="Q943" s="614"/>
      <c r="R943" s="614"/>
      <c r="S943" s="614"/>
      <c r="T943" s="614"/>
      <c r="U943" s="614"/>
      <c r="V943" s="614"/>
      <c r="W943" s="614"/>
      <c r="X943" s="614"/>
      <c r="Y943" s="614"/>
      <c r="Z943" s="614"/>
      <c r="AA943" s="614"/>
      <c r="AB943" s="614"/>
      <c r="AC943" s="614"/>
      <c r="AJ943" s="614"/>
      <c r="AK943" s="614"/>
      <c r="AL943" s="614"/>
      <c r="AM943" s="614"/>
      <c r="AN943" s="614"/>
      <c r="AO943" s="614"/>
      <c r="AP943" s="616"/>
      <c r="AQ943" s="616"/>
      <c r="AR943" s="616"/>
      <c r="AS943" s="614"/>
      <c r="AT943" s="614"/>
      <c r="AU943" s="614"/>
      <c r="AV943" s="614"/>
      <c r="AW943" s="614"/>
      <c r="AX943" s="614"/>
    </row>
    <row r="944" spans="1:50" x14ac:dyDescent="0.25">
      <c r="A944" s="612"/>
      <c r="B944" s="612"/>
      <c r="C944" s="613"/>
      <c r="D944" s="612"/>
      <c r="E944" s="612"/>
      <c r="F944" s="613"/>
      <c r="G944" s="612"/>
      <c r="H944" s="612"/>
      <c r="I944" s="735"/>
      <c r="J944" s="612"/>
      <c r="K944" s="613"/>
      <c r="L944" s="614"/>
      <c r="M944" s="614"/>
      <c r="N944" s="614"/>
      <c r="O944" s="614"/>
      <c r="P944" s="614"/>
      <c r="Q944" s="614"/>
      <c r="R944" s="614"/>
      <c r="S944" s="614"/>
      <c r="T944" s="614"/>
      <c r="U944" s="614"/>
      <c r="V944" s="614"/>
      <c r="W944" s="614"/>
      <c r="X944" s="614"/>
      <c r="Y944" s="614"/>
      <c r="Z944" s="614"/>
      <c r="AA944" s="614"/>
      <c r="AB944" s="614"/>
      <c r="AC944" s="614"/>
      <c r="AJ944" s="614"/>
      <c r="AK944" s="614"/>
      <c r="AL944" s="614"/>
      <c r="AM944" s="614"/>
      <c r="AN944" s="614"/>
      <c r="AO944" s="614"/>
      <c r="AP944" s="616"/>
      <c r="AQ944" s="616"/>
      <c r="AR944" s="616"/>
      <c r="AS944" s="614"/>
      <c r="AT944" s="614"/>
      <c r="AU944" s="614"/>
      <c r="AV944" s="614"/>
      <c r="AW944" s="614"/>
      <c r="AX944" s="614"/>
    </row>
    <row r="945" spans="1:50" x14ac:dyDescent="0.25">
      <c r="A945" s="612"/>
      <c r="B945" s="612"/>
      <c r="C945" s="613"/>
      <c r="D945" s="612"/>
      <c r="E945" s="612"/>
      <c r="F945" s="613"/>
      <c r="G945" s="612"/>
      <c r="H945" s="612"/>
      <c r="I945" s="735"/>
      <c r="J945" s="612"/>
      <c r="K945" s="613"/>
      <c r="L945" s="614"/>
      <c r="M945" s="614"/>
      <c r="N945" s="614"/>
      <c r="O945" s="614"/>
      <c r="P945" s="614"/>
      <c r="Q945" s="614"/>
      <c r="R945" s="614"/>
      <c r="S945" s="614"/>
      <c r="T945" s="614"/>
      <c r="U945" s="614"/>
      <c r="V945" s="614"/>
      <c r="W945" s="614"/>
      <c r="X945" s="614"/>
      <c r="Y945" s="614"/>
      <c r="Z945" s="614"/>
      <c r="AA945" s="614"/>
      <c r="AB945" s="614"/>
      <c r="AC945" s="614"/>
      <c r="AJ945" s="614"/>
      <c r="AK945" s="614"/>
      <c r="AL945" s="614"/>
      <c r="AM945" s="614"/>
      <c r="AN945" s="614"/>
      <c r="AO945" s="614"/>
      <c r="AP945" s="616"/>
      <c r="AQ945" s="616"/>
      <c r="AR945" s="616"/>
      <c r="AS945" s="614"/>
      <c r="AT945" s="614"/>
      <c r="AU945" s="614"/>
      <c r="AV945" s="614"/>
      <c r="AW945" s="614"/>
      <c r="AX945" s="614"/>
    </row>
    <row r="946" spans="1:50" x14ac:dyDescent="0.25">
      <c r="A946" s="612"/>
      <c r="B946" s="612"/>
      <c r="C946" s="613"/>
      <c r="D946" s="612"/>
      <c r="E946" s="612"/>
      <c r="F946" s="613"/>
      <c r="G946" s="612"/>
      <c r="H946" s="612"/>
      <c r="I946" s="735"/>
      <c r="J946" s="612"/>
      <c r="K946" s="613"/>
      <c r="L946" s="614"/>
      <c r="M946" s="614"/>
      <c r="N946" s="614"/>
      <c r="O946" s="614"/>
      <c r="P946" s="614"/>
      <c r="Q946" s="614"/>
      <c r="R946" s="614"/>
      <c r="S946" s="614"/>
      <c r="T946" s="614"/>
      <c r="U946" s="614"/>
      <c r="V946" s="614"/>
      <c r="W946" s="614"/>
      <c r="X946" s="614"/>
      <c r="Y946" s="614"/>
      <c r="Z946" s="614"/>
      <c r="AA946" s="614"/>
      <c r="AB946" s="614"/>
      <c r="AC946" s="614"/>
      <c r="AJ946" s="614"/>
      <c r="AK946" s="614"/>
      <c r="AL946" s="614"/>
      <c r="AM946" s="614"/>
      <c r="AN946" s="614"/>
      <c r="AO946" s="614"/>
      <c r="AP946" s="616"/>
      <c r="AQ946" s="616"/>
      <c r="AR946" s="616"/>
      <c r="AS946" s="614"/>
      <c r="AT946" s="614"/>
      <c r="AU946" s="614"/>
      <c r="AV946" s="614"/>
      <c r="AW946" s="614"/>
      <c r="AX946" s="614"/>
    </row>
    <row r="947" spans="1:50" x14ac:dyDescent="0.25">
      <c r="A947" s="612"/>
      <c r="B947" s="612"/>
      <c r="C947" s="613"/>
      <c r="D947" s="612"/>
      <c r="E947" s="612"/>
      <c r="F947" s="613"/>
      <c r="G947" s="612"/>
      <c r="H947" s="612"/>
      <c r="I947" s="735"/>
      <c r="J947" s="612"/>
      <c r="K947" s="613"/>
      <c r="L947" s="614"/>
      <c r="M947" s="614"/>
      <c r="N947" s="614"/>
      <c r="O947" s="614"/>
      <c r="P947" s="614"/>
      <c r="Q947" s="614"/>
      <c r="R947" s="614"/>
      <c r="S947" s="614"/>
      <c r="T947" s="614"/>
      <c r="U947" s="614"/>
      <c r="V947" s="614"/>
      <c r="W947" s="614"/>
      <c r="X947" s="614"/>
      <c r="Y947" s="614"/>
      <c r="Z947" s="614"/>
      <c r="AA947" s="614"/>
      <c r="AB947" s="614"/>
      <c r="AC947" s="614"/>
      <c r="AJ947" s="614"/>
      <c r="AK947" s="614"/>
      <c r="AL947" s="614"/>
      <c r="AM947" s="614"/>
      <c r="AN947" s="614"/>
      <c r="AO947" s="614"/>
      <c r="AP947" s="616"/>
      <c r="AQ947" s="616"/>
      <c r="AR947" s="616"/>
      <c r="AS947" s="614"/>
      <c r="AT947" s="614"/>
      <c r="AU947" s="614"/>
      <c r="AV947" s="614"/>
      <c r="AW947" s="614"/>
      <c r="AX947" s="614"/>
    </row>
    <row r="948" spans="1:50" x14ac:dyDescent="0.25">
      <c r="A948" s="612"/>
      <c r="B948" s="612"/>
      <c r="C948" s="613"/>
      <c r="D948" s="612"/>
      <c r="E948" s="612"/>
      <c r="F948" s="613"/>
      <c r="G948" s="612"/>
      <c r="H948" s="612"/>
      <c r="I948" s="735"/>
      <c r="J948" s="612"/>
      <c r="K948" s="613"/>
      <c r="L948" s="614"/>
      <c r="M948" s="614"/>
      <c r="N948" s="614"/>
      <c r="O948" s="614"/>
      <c r="P948" s="614"/>
      <c r="Q948" s="614"/>
      <c r="R948" s="614"/>
      <c r="S948" s="614"/>
      <c r="T948" s="614"/>
      <c r="U948" s="614"/>
      <c r="V948" s="614"/>
      <c r="W948" s="614"/>
      <c r="X948" s="614"/>
      <c r="Y948" s="614"/>
      <c r="Z948" s="614"/>
      <c r="AA948" s="614"/>
      <c r="AB948" s="614"/>
      <c r="AC948" s="614"/>
      <c r="AJ948" s="614"/>
      <c r="AK948" s="614"/>
      <c r="AL948" s="614"/>
      <c r="AM948" s="614"/>
      <c r="AN948" s="614"/>
      <c r="AO948" s="614"/>
      <c r="AP948" s="616"/>
      <c r="AQ948" s="616"/>
      <c r="AR948" s="616"/>
      <c r="AS948" s="614"/>
      <c r="AT948" s="614"/>
      <c r="AU948" s="614"/>
      <c r="AV948" s="614"/>
      <c r="AW948" s="614"/>
      <c r="AX948" s="614"/>
    </row>
    <row r="949" spans="1:50" x14ac:dyDescent="0.25">
      <c r="A949" s="612"/>
      <c r="B949" s="612"/>
      <c r="C949" s="613"/>
      <c r="D949" s="612"/>
      <c r="E949" s="612"/>
      <c r="F949" s="613"/>
      <c r="G949" s="612"/>
      <c r="H949" s="612"/>
      <c r="I949" s="735"/>
      <c r="J949" s="612"/>
      <c r="K949" s="613"/>
      <c r="L949" s="614"/>
      <c r="M949" s="614"/>
      <c r="N949" s="614"/>
      <c r="O949" s="614"/>
      <c r="P949" s="614"/>
      <c r="Q949" s="614"/>
      <c r="R949" s="614"/>
      <c r="S949" s="614"/>
      <c r="T949" s="614"/>
      <c r="U949" s="614"/>
      <c r="V949" s="614"/>
      <c r="W949" s="614"/>
      <c r="X949" s="614"/>
      <c r="Y949" s="614"/>
      <c r="Z949" s="614"/>
      <c r="AA949" s="614"/>
      <c r="AB949" s="614"/>
      <c r="AC949" s="614"/>
      <c r="AJ949" s="614"/>
      <c r="AK949" s="614"/>
      <c r="AL949" s="614"/>
      <c r="AM949" s="614"/>
      <c r="AN949" s="614"/>
      <c r="AO949" s="614"/>
      <c r="AP949" s="616"/>
      <c r="AQ949" s="616"/>
      <c r="AR949" s="616"/>
      <c r="AS949" s="614"/>
      <c r="AT949" s="614"/>
      <c r="AU949" s="614"/>
      <c r="AV949" s="614"/>
      <c r="AW949" s="614"/>
      <c r="AX949" s="614"/>
    </row>
    <row r="950" spans="1:50" x14ac:dyDescent="0.25">
      <c r="A950" s="612"/>
      <c r="B950" s="612"/>
      <c r="C950" s="613"/>
      <c r="D950" s="612"/>
      <c r="E950" s="612"/>
      <c r="F950" s="613"/>
      <c r="G950" s="612"/>
      <c r="H950" s="612"/>
      <c r="I950" s="735"/>
      <c r="J950" s="612"/>
      <c r="K950" s="613"/>
      <c r="L950" s="614"/>
      <c r="M950" s="614"/>
      <c r="N950" s="614"/>
      <c r="O950" s="614"/>
      <c r="P950" s="614"/>
      <c r="Q950" s="614"/>
      <c r="R950" s="614"/>
      <c r="S950" s="614"/>
      <c r="T950" s="614"/>
      <c r="U950" s="614"/>
      <c r="V950" s="614"/>
      <c r="W950" s="614"/>
      <c r="X950" s="614"/>
      <c r="Y950" s="614"/>
      <c r="Z950" s="614"/>
      <c r="AA950" s="614"/>
      <c r="AB950" s="614"/>
      <c r="AC950" s="614"/>
      <c r="AJ950" s="614"/>
      <c r="AK950" s="614"/>
      <c r="AL950" s="614"/>
      <c r="AM950" s="614"/>
      <c r="AN950" s="614"/>
      <c r="AO950" s="614"/>
      <c r="AP950" s="616"/>
      <c r="AQ950" s="616"/>
      <c r="AR950" s="616"/>
      <c r="AS950" s="614"/>
      <c r="AT950" s="614"/>
      <c r="AU950" s="614"/>
      <c r="AV950" s="614"/>
      <c r="AW950" s="614"/>
      <c r="AX950" s="614"/>
    </row>
    <row r="951" spans="1:50" x14ac:dyDescent="0.25">
      <c r="A951" s="612"/>
      <c r="B951" s="612"/>
      <c r="C951" s="613"/>
      <c r="D951" s="612"/>
      <c r="E951" s="612"/>
      <c r="F951" s="613"/>
      <c r="G951" s="612"/>
      <c r="H951" s="612"/>
      <c r="I951" s="735"/>
      <c r="J951" s="612"/>
      <c r="K951" s="613"/>
      <c r="L951" s="614"/>
      <c r="M951" s="614"/>
      <c r="N951" s="614"/>
      <c r="O951" s="614"/>
      <c r="P951" s="614"/>
      <c r="Q951" s="614"/>
      <c r="R951" s="614"/>
      <c r="S951" s="614"/>
      <c r="T951" s="614"/>
      <c r="U951" s="614"/>
      <c r="V951" s="614"/>
      <c r="W951" s="614"/>
      <c r="X951" s="614"/>
      <c r="Y951" s="614"/>
      <c r="Z951" s="614"/>
      <c r="AA951" s="614"/>
      <c r="AB951" s="614"/>
      <c r="AC951" s="614"/>
      <c r="AJ951" s="614"/>
      <c r="AK951" s="614"/>
      <c r="AL951" s="614"/>
      <c r="AM951" s="614"/>
      <c r="AN951" s="614"/>
      <c r="AO951" s="614"/>
      <c r="AP951" s="616"/>
      <c r="AQ951" s="616"/>
      <c r="AR951" s="616"/>
      <c r="AS951" s="614"/>
      <c r="AT951" s="614"/>
      <c r="AU951" s="614"/>
      <c r="AV951" s="614"/>
      <c r="AW951" s="614"/>
      <c r="AX951" s="614"/>
    </row>
    <row r="952" spans="1:50" x14ac:dyDescent="0.25">
      <c r="A952" s="612"/>
      <c r="B952" s="612"/>
      <c r="C952" s="613"/>
      <c r="D952" s="612"/>
      <c r="E952" s="612"/>
      <c r="F952" s="613"/>
      <c r="G952" s="612"/>
      <c r="H952" s="612"/>
      <c r="I952" s="735"/>
      <c r="J952" s="612"/>
      <c r="K952" s="613"/>
      <c r="L952" s="614"/>
      <c r="M952" s="614"/>
      <c r="N952" s="614"/>
      <c r="O952" s="614"/>
      <c r="P952" s="614"/>
      <c r="Q952" s="614"/>
      <c r="R952" s="614"/>
      <c r="S952" s="614"/>
      <c r="T952" s="614"/>
      <c r="U952" s="614"/>
      <c r="V952" s="614"/>
      <c r="W952" s="614"/>
      <c r="X952" s="614"/>
      <c r="Y952" s="614"/>
      <c r="Z952" s="614"/>
      <c r="AA952" s="614"/>
      <c r="AB952" s="614"/>
      <c r="AC952" s="614"/>
      <c r="AJ952" s="614"/>
      <c r="AK952" s="614"/>
      <c r="AL952" s="614"/>
      <c r="AM952" s="614"/>
      <c r="AN952" s="614"/>
      <c r="AO952" s="614"/>
      <c r="AP952" s="616"/>
      <c r="AQ952" s="616"/>
      <c r="AR952" s="616"/>
      <c r="AS952" s="614"/>
      <c r="AT952" s="614"/>
      <c r="AU952" s="614"/>
      <c r="AV952" s="614"/>
      <c r="AW952" s="614"/>
      <c r="AX952" s="614"/>
    </row>
    <row r="953" spans="1:50" x14ac:dyDescent="0.25">
      <c r="A953" s="612"/>
      <c r="B953" s="612"/>
      <c r="C953" s="613"/>
      <c r="D953" s="612"/>
      <c r="E953" s="612"/>
      <c r="F953" s="613"/>
      <c r="G953" s="612"/>
      <c r="H953" s="612"/>
      <c r="I953" s="735"/>
      <c r="J953" s="612"/>
      <c r="K953" s="613"/>
      <c r="L953" s="614"/>
      <c r="M953" s="614"/>
      <c r="N953" s="614"/>
      <c r="O953" s="614"/>
      <c r="P953" s="614"/>
      <c r="Q953" s="614"/>
      <c r="R953" s="614"/>
      <c r="S953" s="614"/>
      <c r="T953" s="614"/>
      <c r="U953" s="614"/>
      <c r="V953" s="614"/>
      <c r="W953" s="614"/>
      <c r="X953" s="614"/>
      <c r="Y953" s="614"/>
      <c r="Z953" s="614"/>
      <c r="AA953" s="614"/>
      <c r="AB953" s="614"/>
      <c r="AC953" s="614"/>
      <c r="AJ953" s="614"/>
      <c r="AK953" s="614"/>
      <c r="AL953" s="614"/>
      <c r="AM953" s="614"/>
      <c r="AN953" s="614"/>
      <c r="AO953" s="614"/>
      <c r="AP953" s="616"/>
      <c r="AQ953" s="616"/>
      <c r="AR953" s="616"/>
      <c r="AS953" s="614"/>
      <c r="AT953" s="614"/>
      <c r="AU953" s="614"/>
      <c r="AV953" s="614"/>
      <c r="AW953" s="614"/>
      <c r="AX953" s="614"/>
    </row>
    <row r="954" spans="1:50" x14ac:dyDescent="0.25">
      <c r="A954" s="612"/>
      <c r="B954" s="612"/>
      <c r="C954" s="613"/>
      <c r="D954" s="612"/>
      <c r="E954" s="612"/>
      <c r="F954" s="613"/>
      <c r="G954" s="612"/>
      <c r="H954" s="612"/>
      <c r="I954" s="735"/>
      <c r="J954" s="612"/>
      <c r="K954" s="613"/>
      <c r="L954" s="614"/>
      <c r="M954" s="614"/>
      <c r="N954" s="614"/>
      <c r="O954" s="614"/>
      <c r="P954" s="614"/>
      <c r="Q954" s="614"/>
      <c r="R954" s="614"/>
      <c r="S954" s="614"/>
      <c r="T954" s="614"/>
      <c r="U954" s="614"/>
      <c r="V954" s="614"/>
      <c r="W954" s="614"/>
      <c r="X954" s="614"/>
      <c r="Y954" s="614"/>
      <c r="Z954" s="614"/>
      <c r="AA954" s="614"/>
      <c r="AB954" s="614"/>
      <c r="AC954" s="614"/>
      <c r="AJ954" s="614"/>
      <c r="AK954" s="614"/>
      <c r="AL954" s="614"/>
      <c r="AM954" s="614"/>
      <c r="AN954" s="614"/>
      <c r="AO954" s="614"/>
      <c r="AP954" s="616"/>
      <c r="AQ954" s="616"/>
      <c r="AR954" s="616"/>
      <c r="AS954" s="614"/>
      <c r="AT954" s="614"/>
      <c r="AU954" s="614"/>
      <c r="AV954" s="614"/>
      <c r="AW954" s="614"/>
      <c r="AX954" s="614"/>
    </row>
    <row r="955" spans="1:50" x14ac:dyDescent="0.25">
      <c r="A955" s="612"/>
      <c r="B955" s="612"/>
      <c r="C955" s="613"/>
      <c r="D955" s="612"/>
      <c r="E955" s="612"/>
      <c r="F955" s="613"/>
      <c r="G955" s="612"/>
      <c r="H955" s="612"/>
      <c r="I955" s="735"/>
      <c r="J955" s="612"/>
      <c r="K955" s="613"/>
      <c r="L955" s="614"/>
      <c r="M955" s="614"/>
      <c r="N955" s="614"/>
      <c r="O955" s="614"/>
      <c r="P955" s="614"/>
      <c r="Q955" s="614"/>
      <c r="R955" s="614"/>
      <c r="S955" s="614"/>
      <c r="T955" s="614"/>
      <c r="U955" s="614"/>
      <c r="V955" s="614"/>
      <c r="W955" s="614"/>
      <c r="X955" s="614"/>
      <c r="Y955" s="614"/>
      <c r="Z955" s="614"/>
      <c r="AA955" s="614"/>
      <c r="AB955" s="614"/>
      <c r="AC955" s="614"/>
      <c r="AJ955" s="614"/>
      <c r="AK955" s="614"/>
      <c r="AL955" s="614"/>
      <c r="AM955" s="614"/>
      <c r="AN955" s="614"/>
      <c r="AO955" s="614"/>
      <c r="AP955" s="616"/>
      <c r="AQ955" s="616"/>
      <c r="AR955" s="616"/>
      <c r="AS955" s="614"/>
      <c r="AT955" s="614"/>
      <c r="AU955" s="614"/>
      <c r="AV955" s="614"/>
      <c r="AW955" s="614"/>
      <c r="AX955" s="614"/>
    </row>
    <row r="956" spans="1:50" x14ac:dyDescent="0.25">
      <c r="A956" s="612"/>
      <c r="B956" s="612"/>
      <c r="C956" s="613"/>
      <c r="D956" s="612"/>
      <c r="E956" s="612"/>
      <c r="F956" s="613"/>
      <c r="G956" s="612"/>
      <c r="H956" s="612"/>
      <c r="I956" s="735"/>
      <c r="J956" s="612"/>
      <c r="K956" s="613"/>
      <c r="L956" s="614"/>
      <c r="M956" s="614"/>
      <c r="N956" s="614"/>
      <c r="O956" s="614"/>
      <c r="P956" s="614"/>
      <c r="Q956" s="614"/>
      <c r="R956" s="614"/>
      <c r="S956" s="614"/>
      <c r="T956" s="614"/>
      <c r="U956" s="614"/>
      <c r="V956" s="614"/>
      <c r="W956" s="614"/>
      <c r="X956" s="614"/>
      <c r="Y956" s="614"/>
      <c r="Z956" s="614"/>
      <c r="AA956" s="614"/>
      <c r="AB956" s="614"/>
      <c r="AC956" s="614"/>
      <c r="AJ956" s="614"/>
      <c r="AK956" s="614"/>
      <c r="AL956" s="614"/>
      <c r="AM956" s="614"/>
      <c r="AN956" s="614"/>
      <c r="AO956" s="614"/>
      <c r="AP956" s="616"/>
      <c r="AQ956" s="616"/>
      <c r="AR956" s="616"/>
      <c r="AS956" s="614"/>
      <c r="AT956" s="614"/>
      <c r="AU956" s="614"/>
      <c r="AV956" s="614"/>
      <c r="AW956" s="614"/>
      <c r="AX956" s="614"/>
    </row>
    <row r="957" spans="1:50" x14ac:dyDescent="0.25">
      <c r="A957" s="612"/>
      <c r="B957" s="612"/>
      <c r="C957" s="613"/>
      <c r="D957" s="612"/>
      <c r="E957" s="612"/>
      <c r="F957" s="613"/>
      <c r="G957" s="612"/>
      <c r="H957" s="612"/>
      <c r="I957" s="735"/>
      <c r="J957" s="612"/>
      <c r="K957" s="613"/>
      <c r="L957" s="614"/>
      <c r="M957" s="614"/>
      <c r="N957" s="614"/>
      <c r="O957" s="614"/>
      <c r="P957" s="614"/>
      <c r="Q957" s="614"/>
      <c r="R957" s="614"/>
      <c r="S957" s="614"/>
      <c r="T957" s="614"/>
      <c r="U957" s="614"/>
      <c r="V957" s="614"/>
      <c r="W957" s="614"/>
      <c r="X957" s="614"/>
      <c r="Y957" s="614"/>
      <c r="Z957" s="614"/>
      <c r="AA957" s="614"/>
      <c r="AB957" s="614"/>
      <c r="AC957" s="614"/>
      <c r="AJ957" s="614"/>
      <c r="AK957" s="614"/>
      <c r="AL957" s="614"/>
      <c r="AM957" s="614"/>
      <c r="AN957" s="614"/>
      <c r="AO957" s="614"/>
      <c r="AP957" s="616"/>
      <c r="AQ957" s="616"/>
      <c r="AR957" s="616"/>
      <c r="AS957" s="614"/>
      <c r="AT957" s="614"/>
      <c r="AU957" s="614"/>
      <c r="AV957" s="614"/>
      <c r="AW957" s="614"/>
      <c r="AX957" s="614"/>
    </row>
    <row r="958" spans="1:50" x14ac:dyDescent="0.25">
      <c r="A958" s="612"/>
      <c r="B958" s="612"/>
      <c r="C958" s="613"/>
      <c r="D958" s="612"/>
      <c r="E958" s="612"/>
      <c r="F958" s="613"/>
      <c r="G958" s="612"/>
      <c r="H958" s="612"/>
      <c r="I958" s="735"/>
      <c r="J958" s="612"/>
      <c r="K958" s="613"/>
      <c r="L958" s="614"/>
      <c r="M958" s="614"/>
      <c r="N958" s="614"/>
      <c r="O958" s="614"/>
      <c r="P958" s="614"/>
      <c r="Q958" s="614"/>
      <c r="R958" s="614"/>
      <c r="S958" s="614"/>
      <c r="T958" s="614"/>
      <c r="U958" s="614"/>
      <c r="V958" s="614"/>
      <c r="W958" s="614"/>
      <c r="X958" s="614"/>
      <c r="Y958" s="614"/>
      <c r="Z958" s="614"/>
      <c r="AA958" s="614"/>
      <c r="AB958" s="614"/>
      <c r="AC958" s="614"/>
      <c r="AJ958" s="614"/>
      <c r="AK958" s="614"/>
      <c r="AL958" s="614"/>
      <c r="AM958" s="614"/>
      <c r="AN958" s="614"/>
      <c r="AO958" s="614"/>
      <c r="AP958" s="616"/>
      <c r="AQ958" s="616"/>
      <c r="AR958" s="616"/>
      <c r="AS958" s="614"/>
      <c r="AT958" s="614"/>
      <c r="AU958" s="614"/>
      <c r="AV958" s="614"/>
      <c r="AW958" s="614"/>
      <c r="AX958" s="614"/>
    </row>
    <row r="959" spans="1:50" x14ac:dyDescent="0.25">
      <c r="A959" s="612"/>
      <c r="B959" s="612"/>
      <c r="C959" s="613"/>
      <c r="D959" s="612"/>
      <c r="E959" s="612"/>
      <c r="F959" s="613"/>
      <c r="G959" s="612"/>
      <c r="H959" s="612"/>
      <c r="I959" s="735"/>
      <c r="J959" s="612"/>
      <c r="K959" s="613"/>
      <c r="L959" s="614"/>
      <c r="M959" s="614"/>
      <c r="N959" s="614"/>
      <c r="O959" s="614"/>
      <c r="P959" s="614"/>
      <c r="Q959" s="614"/>
      <c r="R959" s="614"/>
      <c r="S959" s="614"/>
      <c r="T959" s="614"/>
      <c r="U959" s="614"/>
      <c r="V959" s="614"/>
      <c r="W959" s="614"/>
      <c r="X959" s="614"/>
      <c r="Y959" s="614"/>
      <c r="Z959" s="614"/>
      <c r="AA959" s="614"/>
      <c r="AB959" s="614"/>
      <c r="AC959" s="614"/>
      <c r="AJ959" s="614"/>
      <c r="AK959" s="614"/>
      <c r="AL959" s="614"/>
      <c r="AM959" s="614"/>
      <c r="AN959" s="614"/>
      <c r="AO959" s="614"/>
      <c r="AP959" s="616"/>
      <c r="AQ959" s="616"/>
      <c r="AR959" s="616"/>
      <c r="AS959" s="614"/>
      <c r="AT959" s="614"/>
      <c r="AU959" s="614"/>
      <c r="AV959" s="614"/>
      <c r="AW959" s="614"/>
      <c r="AX959" s="614"/>
    </row>
    <row r="960" spans="1:50" x14ac:dyDescent="0.25">
      <c r="A960" s="612"/>
      <c r="B960" s="612"/>
      <c r="C960" s="613"/>
      <c r="D960" s="612"/>
      <c r="E960" s="612"/>
      <c r="F960" s="613"/>
      <c r="G960" s="612"/>
      <c r="H960" s="612"/>
      <c r="I960" s="735"/>
      <c r="J960" s="612"/>
      <c r="K960" s="613"/>
      <c r="L960" s="614"/>
      <c r="M960" s="614"/>
      <c r="N960" s="614"/>
      <c r="O960" s="614"/>
      <c r="P960" s="614"/>
      <c r="Q960" s="614"/>
      <c r="R960" s="614"/>
      <c r="S960" s="614"/>
      <c r="T960" s="614"/>
      <c r="U960" s="614"/>
      <c r="V960" s="614"/>
      <c r="W960" s="614"/>
      <c r="X960" s="614"/>
      <c r="Y960" s="614"/>
      <c r="Z960" s="614"/>
      <c r="AA960" s="614"/>
      <c r="AB960" s="614"/>
      <c r="AC960" s="614"/>
      <c r="AJ960" s="614"/>
      <c r="AK960" s="614"/>
      <c r="AL960" s="614"/>
      <c r="AM960" s="614"/>
      <c r="AN960" s="614"/>
      <c r="AO960" s="614"/>
      <c r="AP960" s="616"/>
      <c r="AQ960" s="616"/>
      <c r="AR960" s="616"/>
      <c r="AS960" s="614"/>
      <c r="AT960" s="614"/>
      <c r="AU960" s="614"/>
      <c r="AV960" s="614"/>
      <c r="AW960" s="614"/>
      <c r="AX960" s="614"/>
    </row>
    <row r="961" spans="1:50" x14ac:dyDescent="0.25">
      <c r="A961" s="612"/>
      <c r="B961" s="612"/>
      <c r="C961" s="613"/>
      <c r="D961" s="612"/>
      <c r="E961" s="612"/>
      <c r="F961" s="613"/>
      <c r="G961" s="612"/>
      <c r="H961" s="612"/>
      <c r="I961" s="735"/>
      <c r="J961" s="612"/>
      <c r="K961" s="613"/>
      <c r="L961" s="614"/>
      <c r="M961" s="614"/>
      <c r="N961" s="614"/>
      <c r="O961" s="614"/>
      <c r="P961" s="614"/>
      <c r="Q961" s="614"/>
      <c r="R961" s="614"/>
      <c r="S961" s="614"/>
      <c r="T961" s="614"/>
      <c r="U961" s="614"/>
      <c r="V961" s="614"/>
      <c r="W961" s="614"/>
      <c r="X961" s="614"/>
      <c r="Y961" s="614"/>
      <c r="Z961" s="614"/>
      <c r="AA961" s="614"/>
      <c r="AB961" s="614"/>
      <c r="AC961" s="614"/>
      <c r="AJ961" s="614"/>
      <c r="AK961" s="614"/>
      <c r="AL961" s="614"/>
      <c r="AM961" s="614"/>
      <c r="AN961" s="614"/>
      <c r="AO961" s="614"/>
      <c r="AP961" s="616"/>
      <c r="AQ961" s="616"/>
      <c r="AR961" s="616"/>
      <c r="AS961" s="614"/>
      <c r="AT961" s="614"/>
      <c r="AU961" s="614"/>
      <c r="AV961" s="614"/>
      <c r="AW961" s="614"/>
      <c r="AX961" s="614"/>
    </row>
    <row r="962" spans="1:50" x14ac:dyDescent="0.25">
      <c r="A962" s="612"/>
      <c r="B962" s="612"/>
      <c r="C962" s="613"/>
      <c r="D962" s="612"/>
      <c r="E962" s="612"/>
      <c r="F962" s="613"/>
      <c r="G962" s="612"/>
      <c r="H962" s="612"/>
      <c r="I962" s="735"/>
      <c r="J962" s="612"/>
      <c r="K962" s="613"/>
      <c r="L962" s="614"/>
      <c r="M962" s="614"/>
      <c r="N962" s="614"/>
      <c r="O962" s="614"/>
      <c r="P962" s="614"/>
      <c r="Q962" s="614"/>
      <c r="R962" s="614"/>
      <c r="S962" s="614"/>
      <c r="T962" s="614"/>
      <c r="U962" s="614"/>
      <c r="V962" s="614"/>
      <c r="W962" s="614"/>
      <c r="X962" s="614"/>
      <c r="Y962" s="614"/>
      <c r="Z962" s="614"/>
      <c r="AA962" s="614"/>
      <c r="AB962" s="614"/>
      <c r="AC962" s="614"/>
      <c r="AJ962" s="614"/>
      <c r="AK962" s="614"/>
      <c r="AL962" s="614"/>
      <c r="AM962" s="614"/>
      <c r="AN962" s="614"/>
      <c r="AO962" s="614"/>
      <c r="AP962" s="616"/>
      <c r="AQ962" s="616"/>
      <c r="AR962" s="616"/>
      <c r="AS962" s="614"/>
      <c r="AT962" s="614"/>
      <c r="AU962" s="614"/>
      <c r="AV962" s="614"/>
      <c r="AW962" s="614"/>
      <c r="AX962" s="614"/>
    </row>
    <row r="963" spans="1:50" x14ac:dyDescent="0.25">
      <c r="A963" s="612"/>
      <c r="B963" s="612"/>
      <c r="C963" s="613"/>
      <c r="D963" s="612"/>
      <c r="E963" s="612"/>
      <c r="F963" s="613"/>
      <c r="G963" s="612"/>
      <c r="H963" s="612"/>
      <c r="I963" s="735"/>
      <c r="J963" s="612"/>
      <c r="K963" s="613"/>
      <c r="L963" s="614"/>
      <c r="M963" s="614"/>
      <c r="N963" s="614"/>
      <c r="O963" s="614"/>
      <c r="P963" s="614"/>
      <c r="Q963" s="614"/>
      <c r="R963" s="614"/>
      <c r="S963" s="614"/>
      <c r="T963" s="614"/>
      <c r="U963" s="614"/>
      <c r="V963" s="614"/>
      <c r="W963" s="614"/>
      <c r="X963" s="614"/>
      <c r="Y963" s="614"/>
      <c r="Z963" s="614"/>
      <c r="AA963" s="614"/>
      <c r="AB963" s="614"/>
      <c r="AC963" s="614"/>
      <c r="AJ963" s="614"/>
      <c r="AK963" s="614"/>
      <c r="AL963" s="614"/>
      <c r="AM963" s="614"/>
      <c r="AN963" s="614"/>
      <c r="AO963" s="614"/>
      <c r="AP963" s="616"/>
      <c r="AQ963" s="616"/>
      <c r="AR963" s="616"/>
      <c r="AS963" s="614"/>
      <c r="AT963" s="614"/>
      <c r="AU963" s="614"/>
      <c r="AV963" s="614"/>
      <c r="AW963" s="614"/>
      <c r="AX963" s="614"/>
    </row>
    <row r="964" spans="1:50" x14ac:dyDescent="0.25">
      <c r="A964" s="612"/>
      <c r="B964" s="612"/>
      <c r="C964" s="613"/>
      <c r="D964" s="612"/>
      <c r="E964" s="612"/>
      <c r="F964" s="613"/>
      <c r="G964" s="612"/>
      <c r="H964" s="612"/>
      <c r="I964" s="735"/>
      <c r="J964" s="612"/>
      <c r="K964" s="613"/>
      <c r="L964" s="614"/>
      <c r="M964" s="614"/>
      <c r="N964" s="614"/>
      <c r="O964" s="614"/>
      <c r="P964" s="614"/>
      <c r="Q964" s="614"/>
      <c r="R964" s="614"/>
      <c r="S964" s="614"/>
      <c r="T964" s="614"/>
      <c r="U964" s="614"/>
      <c r="V964" s="614"/>
      <c r="W964" s="614"/>
      <c r="X964" s="614"/>
      <c r="Y964" s="614"/>
      <c r="Z964" s="614"/>
      <c r="AA964" s="614"/>
      <c r="AB964" s="614"/>
      <c r="AC964" s="614"/>
      <c r="AJ964" s="614"/>
      <c r="AK964" s="614"/>
      <c r="AL964" s="614"/>
      <c r="AM964" s="614"/>
      <c r="AN964" s="614"/>
      <c r="AO964" s="614"/>
      <c r="AP964" s="616"/>
      <c r="AQ964" s="616"/>
      <c r="AR964" s="616"/>
      <c r="AS964" s="614"/>
      <c r="AT964" s="614"/>
      <c r="AU964" s="614"/>
      <c r="AV964" s="614"/>
      <c r="AW964" s="614"/>
      <c r="AX964" s="614"/>
    </row>
    <row r="965" spans="1:50" x14ac:dyDescent="0.25">
      <c r="A965" s="612"/>
      <c r="B965" s="612"/>
      <c r="C965" s="613"/>
      <c r="D965" s="612"/>
      <c r="E965" s="612"/>
      <c r="F965" s="613"/>
      <c r="G965" s="612"/>
      <c r="H965" s="612"/>
      <c r="I965" s="735"/>
      <c r="J965" s="612"/>
      <c r="K965" s="613"/>
      <c r="L965" s="614"/>
      <c r="M965" s="614"/>
      <c r="N965" s="614"/>
      <c r="O965" s="614"/>
      <c r="P965" s="614"/>
      <c r="Q965" s="614"/>
      <c r="R965" s="614"/>
      <c r="S965" s="614"/>
      <c r="T965" s="614"/>
      <c r="U965" s="614"/>
      <c r="V965" s="614"/>
      <c r="W965" s="614"/>
      <c r="X965" s="614"/>
      <c r="Y965" s="614"/>
      <c r="Z965" s="614"/>
      <c r="AA965" s="614"/>
      <c r="AB965" s="614"/>
      <c r="AC965" s="614"/>
      <c r="AJ965" s="614"/>
      <c r="AK965" s="614"/>
      <c r="AL965" s="614"/>
      <c r="AM965" s="614"/>
      <c r="AN965" s="614"/>
      <c r="AO965" s="614"/>
      <c r="AP965" s="616"/>
      <c r="AQ965" s="616"/>
      <c r="AR965" s="616"/>
      <c r="AS965" s="614"/>
      <c r="AT965" s="614"/>
      <c r="AU965" s="614"/>
      <c r="AV965" s="614"/>
      <c r="AW965" s="614"/>
      <c r="AX965" s="614"/>
    </row>
    <row r="966" spans="1:50" x14ac:dyDescent="0.25">
      <c r="A966" s="612"/>
      <c r="B966" s="612"/>
      <c r="C966" s="613"/>
      <c r="D966" s="612"/>
      <c r="E966" s="612"/>
      <c r="F966" s="613"/>
      <c r="G966" s="612"/>
      <c r="H966" s="612"/>
      <c r="I966" s="735"/>
      <c r="J966" s="612"/>
      <c r="K966" s="613"/>
      <c r="L966" s="614"/>
      <c r="M966" s="614"/>
      <c r="N966" s="614"/>
      <c r="O966" s="614"/>
      <c r="P966" s="614"/>
      <c r="Q966" s="614"/>
      <c r="R966" s="614"/>
      <c r="S966" s="614"/>
      <c r="T966" s="614"/>
      <c r="U966" s="614"/>
      <c r="V966" s="614"/>
      <c r="W966" s="614"/>
      <c r="X966" s="614"/>
      <c r="Y966" s="614"/>
      <c r="Z966" s="614"/>
      <c r="AA966" s="614"/>
      <c r="AB966" s="614"/>
      <c r="AC966" s="614"/>
      <c r="AJ966" s="614"/>
      <c r="AK966" s="614"/>
      <c r="AL966" s="614"/>
      <c r="AM966" s="614"/>
      <c r="AN966" s="614"/>
      <c r="AO966" s="614"/>
      <c r="AP966" s="616"/>
      <c r="AQ966" s="616"/>
      <c r="AR966" s="616"/>
      <c r="AS966" s="614"/>
      <c r="AT966" s="614"/>
      <c r="AU966" s="614"/>
      <c r="AV966" s="614"/>
      <c r="AW966" s="614"/>
      <c r="AX966" s="614"/>
    </row>
    <row r="967" spans="1:50" x14ac:dyDescent="0.25">
      <c r="A967" s="612"/>
      <c r="B967" s="612"/>
      <c r="C967" s="613"/>
      <c r="D967" s="612"/>
      <c r="E967" s="612"/>
      <c r="F967" s="613"/>
      <c r="G967" s="612"/>
      <c r="H967" s="612"/>
      <c r="I967" s="735"/>
      <c r="J967" s="612"/>
      <c r="K967" s="613"/>
      <c r="L967" s="614"/>
      <c r="M967" s="614"/>
      <c r="N967" s="614"/>
      <c r="O967" s="614"/>
      <c r="P967" s="614"/>
      <c r="Q967" s="614"/>
      <c r="R967" s="614"/>
      <c r="S967" s="614"/>
      <c r="T967" s="614"/>
      <c r="U967" s="614"/>
      <c r="V967" s="614"/>
      <c r="W967" s="614"/>
      <c r="X967" s="614"/>
      <c r="Y967" s="614"/>
      <c r="Z967" s="614"/>
      <c r="AA967" s="614"/>
      <c r="AB967" s="614"/>
      <c r="AC967" s="614"/>
      <c r="AJ967" s="614"/>
      <c r="AK967" s="614"/>
      <c r="AL967" s="614"/>
      <c r="AM967" s="614"/>
      <c r="AN967" s="614"/>
      <c r="AO967" s="614"/>
      <c r="AP967" s="616"/>
      <c r="AQ967" s="616"/>
      <c r="AR967" s="616"/>
      <c r="AS967" s="614"/>
      <c r="AT967" s="614"/>
      <c r="AU967" s="614"/>
      <c r="AV967" s="614"/>
      <c r="AW967" s="614"/>
      <c r="AX967" s="614"/>
    </row>
    <row r="968" spans="1:50" x14ac:dyDescent="0.25">
      <c r="A968" s="612"/>
      <c r="B968" s="612"/>
      <c r="C968" s="613"/>
      <c r="D968" s="612"/>
      <c r="E968" s="612"/>
      <c r="F968" s="613"/>
      <c r="G968" s="612"/>
      <c r="H968" s="612"/>
      <c r="I968" s="735"/>
      <c r="J968" s="612"/>
      <c r="K968" s="613"/>
      <c r="L968" s="614"/>
      <c r="M968" s="614"/>
      <c r="N968" s="614"/>
      <c r="O968" s="614"/>
      <c r="P968" s="614"/>
      <c r="Q968" s="614"/>
      <c r="R968" s="614"/>
      <c r="S968" s="614"/>
      <c r="T968" s="614"/>
      <c r="U968" s="614"/>
      <c r="V968" s="614"/>
      <c r="W968" s="614"/>
      <c r="X968" s="614"/>
      <c r="Y968" s="614"/>
      <c r="Z968" s="614"/>
      <c r="AA968" s="614"/>
      <c r="AB968" s="614"/>
      <c r="AC968" s="614"/>
      <c r="AJ968" s="614"/>
      <c r="AK968" s="614"/>
      <c r="AL968" s="614"/>
      <c r="AM968" s="614"/>
      <c r="AN968" s="614"/>
      <c r="AO968" s="614"/>
      <c r="AP968" s="616"/>
      <c r="AQ968" s="616"/>
      <c r="AR968" s="616"/>
      <c r="AS968" s="614"/>
      <c r="AT968" s="614"/>
      <c r="AU968" s="614"/>
      <c r="AV968" s="614"/>
      <c r="AW968" s="614"/>
      <c r="AX968" s="614"/>
    </row>
    <row r="969" spans="1:50" x14ac:dyDescent="0.25">
      <c r="A969" s="612"/>
      <c r="B969" s="612"/>
      <c r="C969" s="613"/>
      <c r="D969" s="612"/>
      <c r="E969" s="612"/>
      <c r="F969" s="613"/>
      <c r="G969" s="612"/>
      <c r="H969" s="612"/>
      <c r="I969" s="735"/>
      <c r="J969" s="612"/>
      <c r="K969" s="613"/>
      <c r="L969" s="614"/>
      <c r="M969" s="614"/>
      <c r="N969" s="614"/>
      <c r="O969" s="614"/>
      <c r="P969" s="614"/>
      <c r="Q969" s="614"/>
      <c r="R969" s="614"/>
      <c r="S969" s="614"/>
      <c r="T969" s="614"/>
      <c r="U969" s="614"/>
      <c r="V969" s="614"/>
      <c r="W969" s="614"/>
      <c r="X969" s="614"/>
      <c r="Y969" s="614"/>
      <c r="Z969" s="614"/>
      <c r="AA969" s="614"/>
      <c r="AB969" s="614"/>
      <c r="AC969" s="614"/>
      <c r="AJ969" s="614"/>
      <c r="AK969" s="614"/>
      <c r="AL969" s="614"/>
      <c r="AM969" s="614"/>
      <c r="AN969" s="614"/>
      <c r="AO969" s="614"/>
      <c r="AP969" s="616"/>
      <c r="AQ969" s="616"/>
      <c r="AR969" s="616"/>
      <c r="AS969" s="614"/>
      <c r="AT969" s="614"/>
      <c r="AU969" s="614"/>
      <c r="AV969" s="614"/>
      <c r="AW969" s="614"/>
      <c r="AX969" s="614"/>
    </row>
    <row r="970" spans="1:50" x14ac:dyDescent="0.25">
      <c r="A970" s="612"/>
      <c r="B970" s="612"/>
      <c r="C970" s="613"/>
      <c r="D970" s="612"/>
      <c r="E970" s="612"/>
      <c r="F970" s="613"/>
      <c r="G970" s="612"/>
      <c r="H970" s="612"/>
      <c r="I970" s="735"/>
      <c r="J970" s="612"/>
      <c r="K970" s="613"/>
      <c r="L970" s="614"/>
      <c r="M970" s="614"/>
      <c r="N970" s="614"/>
      <c r="O970" s="614"/>
      <c r="P970" s="614"/>
      <c r="Q970" s="614"/>
      <c r="R970" s="614"/>
      <c r="S970" s="614"/>
      <c r="T970" s="614"/>
      <c r="U970" s="614"/>
      <c r="V970" s="614"/>
      <c r="W970" s="614"/>
      <c r="X970" s="614"/>
      <c r="Y970" s="614"/>
      <c r="Z970" s="614"/>
      <c r="AA970" s="614"/>
      <c r="AB970" s="614"/>
      <c r="AC970" s="614"/>
      <c r="AJ970" s="614"/>
      <c r="AK970" s="614"/>
      <c r="AL970" s="614"/>
      <c r="AM970" s="614"/>
      <c r="AN970" s="614"/>
      <c r="AO970" s="614"/>
      <c r="AP970" s="616"/>
      <c r="AQ970" s="616"/>
      <c r="AR970" s="616"/>
      <c r="AS970" s="614"/>
      <c r="AT970" s="614"/>
      <c r="AU970" s="614"/>
      <c r="AV970" s="614"/>
      <c r="AW970" s="614"/>
      <c r="AX970" s="614"/>
    </row>
    <row r="971" spans="1:50" x14ac:dyDescent="0.25">
      <c r="A971" s="612"/>
      <c r="B971" s="612"/>
      <c r="C971" s="613"/>
      <c r="D971" s="612"/>
      <c r="E971" s="612"/>
      <c r="F971" s="613"/>
      <c r="G971" s="612"/>
      <c r="H971" s="612"/>
      <c r="I971" s="735"/>
      <c r="J971" s="612"/>
      <c r="K971" s="613"/>
      <c r="L971" s="614"/>
      <c r="M971" s="614"/>
      <c r="N971" s="614"/>
      <c r="O971" s="614"/>
      <c r="P971" s="614"/>
      <c r="Q971" s="614"/>
      <c r="R971" s="614"/>
      <c r="S971" s="614"/>
      <c r="T971" s="614"/>
      <c r="U971" s="614"/>
      <c r="V971" s="614"/>
      <c r="W971" s="614"/>
      <c r="X971" s="614"/>
      <c r="Y971" s="614"/>
      <c r="Z971" s="614"/>
      <c r="AA971" s="614"/>
      <c r="AB971" s="614"/>
      <c r="AC971" s="614"/>
      <c r="AJ971" s="614"/>
      <c r="AK971" s="614"/>
      <c r="AL971" s="614"/>
      <c r="AM971" s="614"/>
      <c r="AN971" s="614"/>
      <c r="AO971" s="614"/>
      <c r="AP971" s="616"/>
      <c r="AQ971" s="616"/>
      <c r="AR971" s="616"/>
      <c r="AS971" s="614"/>
      <c r="AT971" s="614"/>
      <c r="AU971" s="614"/>
      <c r="AV971" s="614"/>
      <c r="AW971" s="614"/>
      <c r="AX971" s="614"/>
    </row>
    <row r="972" spans="1:50" x14ac:dyDescent="0.25">
      <c r="A972" s="612"/>
      <c r="B972" s="612"/>
      <c r="C972" s="613"/>
      <c r="D972" s="612"/>
      <c r="E972" s="612"/>
      <c r="F972" s="613"/>
      <c r="G972" s="612"/>
      <c r="H972" s="612"/>
      <c r="I972" s="735"/>
      <c r="J972" s="612"/>
      <c r="K972" s="613"/>
      <c r="L972" s="614"/>
      <c r="M972" s="614"/>
      <c r="N972" s="614"/>
      <c r="O972" s="614"/>
      <c r="P972" s="614"/>
      <c r="Q972" s="614"/>
      <c r="R972" s="614"/>
      <c r="S972" s="614"/>
      <c r="T972" s="614"/>
      <c r="U972" s="614"/>
      <c r="V972" s="614"/>
      <c r="W972" s="614"/>
      <c r="X972" s="614"/>
      <c r="Y972" s="614"/>
      <c r="Z972" s="614"/>
      <c r="AA972" s="614"/>
      <c r="AB972" s="614"/>
      <c r="AC972" s="614"/>
      <c r="AJ972" s="614"/>
      <c r="AK972" s="614"/>
      <c r="AL972" s="614"/>
      <c r="AM972" s="614"/>
      <c r="AN972" s="614"/>
      <c r="AO972" s="614"/>
      <c r="AP972" s="616"/>
      <c r="AQ972" s="616"/>
      <c r="AR972" s="616"/>
      <c r="AS972" s="614"/>
      <c r="AT972" s="614"/>
      <c r="AU972" s="614"/>
      <c r="AV972" s="614"/>
      <c r="AW972" s="614"/>
      <c r="AX972" s="614"/>
    </row>
    <row r="973" spans="1:50" x14ac:dyDescent="0.25">
      <c r="A973" s="612"/>
      <c r="B973" s="612"/>
      <c r="C973" s="613"/>
      <c r="D973" s="612"/>
      <c r="E973" s="612"/>
      <c r="F973" s="613"/>
      <c r="G973" s="612"/>
      <c r="H973" s="612"/>
      <c r="I973" s="735"/>
      <c r="J973" s="612"/>
      <c r="K973" s="613"/>
      <c r="L973" s="614"/>
      <c r="M973" s="614"/>
      <c r="N973" s="614"/>
      <c r="O973" s="614"/>
      <c r="P973" s="614"/>
      <c r="Q973" s="614"/>
      <c r="R973" s="614"/>
      <c r="S973" s="614"/>
      <c r="T973" s="614"/>
      <c r="U973" s="614"/>
      <c r="V973" s="614"/>
      <c r="W973" s="614"/>
      <c r="X973" s="614"/>
      <c r="Y973" s="614"/>
      <c r="Z973" s="614"/>
      <c r="AA973" s="614"/>
      <c r="AB973" s="614"/>
      <c r="AC973" s="614"/>
      <c r="AJ973" s="614"/>
      <c r="AK973" s="614"/>
      <c r="AL973" s="614"/>
      <c r="AM973" s="614"/>
      <c r="AN973" s="614"/>
      <c r="AO973" s="614"/>
      <c r="AP973" s="616"/>
      <c r="AQ973" s="616"/>
      <c r="AR973" s="616"/>
      <c r="AS973" s="614"/>
      <c r="AT973" s="614"/>
      <c r="AU973" s="614"/>
      <c r="AV973" s="614"/>
      <c r="AW973" s="614"/>
      <c r="AX973" s="614"/>
    </row>
    <row r="974" spans="1:50" x14ac:dyDescent="0.25">
      <c r="A974" s="612"/>
      <c r="B974" s="612"/>
      <c r="C974" s="613"/>
      <c r="D974" s="612"/>
      <c r="E974" s="612"/>
      <c r="F974" s="613"/>
      <c r="G974" s="612"/>
      <c r="H974" s="612"/>
      <c r="I974" s="735"/>
      <c r="J974" s="612"/>
      <c r="K974" s="613"/>
      <c r="L974" s="614"/>
      <c r="M974" s="614"/>
      <c r="N974" s="614"/>
      <c r="O974" s="614"/>
      <c r="P974" s="614"/>
      <c r="Q974" s="614"/>
      <c r="R974" s="614"/>
      <c r="S974" s="614"/>
      <c r="T974" s="614"/>
      <c r="U974" s="614"/>
      <c r="V974" s="614"/>
      <c r="W974" s="614"/>
      <c r="X974" s="614"/>
      <c r="Y974" s="614"/>
      <c r="Z974" s="614"/>
      <c r="AA974" s="614"/>
      <c r="AB974" s="614"/>
      <c r="AC974" s="614"/>
      <c r="AJ974" s="614"/>
      <c r="AK974" s="614"/>
      <c r="AL974" s="614"/>
      <c r="AM974" s="614"/>
      <c r="AN974" s="614"/>
      <c r="AO974" s="614"/>
      <c r="AP974" s="616"/>
      <c r="AQ974" s="616"/>
      <c r="AR974" s="616"/>
      <c r="AS974" s="614"/>
      <c r="AT974" s="614"/>
      <c r="AU974" s="614"/>
      <c r="AV974" s="614"/>
      <c r="AW974" s="614"/>
      <c r="AX974" s="614"/>
    </row>
    <row r="975" spans="1:50" x14ac:dyDescent="0.25">
      <c r="A975" s="612"/>
      <c r="B975" s="612"/>
      <c r="C975" s="613"/>
      <c r="D975" s="612"/>
      <c r="E975" s="612"/>
      <c r="F975" s="613"/>
      <c r="G975" s="612"/>
      <c r="H975" s="612"/>
      <c r="I975" s="735"/>
      <c r="J975" s="612"/>
      <c r="K975" s="613"/>
      <c r="L975" s="614"/>
      <c r="M975" s="614"/>
      <c r="N975" s="614"/>
      <c r="O975" s="614"/>
      <c r="P975" s="614"/>
      <c r="Q975" s="614"/>
      <c r="R975" s="614"/>
      <c r="S975" s="614"/>
      <c r="T975" s="614"/>
      <c r="U975" s="614"/>
      <c r="V975" s="614"/>
      <c r="W975" s="614"/>
      <c r="X975" s="614"/>
      <c r="Y975" s="614"/>
      <c r="Z975" s="614"/>
      <c r="AA975" s="614"/>
      <c r="AB975" s="614"/>
      <c r="AC975" s="614"/>
      <c r="AJ975" s="614"/>
      <c r="AK975" s="614"/>
      <c r="AL975" s="614"/>
      <c r="AM975" s="614"/>
      <c r="AN975" s="614"/>
      <c r="AO975" s="614"/>
      <c r="AP975" s="616"/>
      <c r="AQ975" s="616"/>
      <c r="AR975" s="616"/>
      <c r="AS975" s="614"/>
      <c r="AT975" s="614"/>
      <c r="AU975" s="614"/>
      <c r="AV975" s="614"/>
      <c r="AW975" s="614"/>
      <c r="AX975" s="614"/>
    </row>
    <row r="976" spans="1:50" x14ac:dyDescent="0.25">
      <c r="A976" s="612"/>
      <c r="B976" s="612"/>
      <c r="C976" s="613"/>
      <c r="D976" s="612"/>
      <c r="E976" s="612"/>
      <c r="F976" s="613"/>
      <c r="G976" s="612"/>
      <c r="H976" s="612"/>
      <c r="I976" s="735"/>
      <c r="J976" s="612"/>
      <c r="K976" s="613"/>
      <c r="L976" s="614"/>
      <c r="M976" s="614"/>
      <c r="N976" s="614"/>
      <c r="O976" s="614"/>
      <c r="P976" s="614"/>
      <c r="Q976" s="614"/>
      <c r="R976" s="614"/>
      <c r="S976" s="614"/>
      <c r="T976" s="614"/>
      <c r="U976" s="614"/>
      <c r="V976" s="614"/>
      <c r="W976" s="614"/>
      <c r="X976" s="614"/>
      <c r="Y976" s="614"/>
      <c r="Z976" s="614"/>
      <c r="AA976" s="614"/>
      <c r="AB976" s="614"/>
      <c r="AC976" s="614"/>
      <c r="AJ976" s="614"/>
      <c r="AK976" s="614"/>
      <c r="AL976" s="614"/>
      <c r="AM976" s="614"/>
      <c r="AN976" s="614"/>
      <c r="AO976" s="614"/>
      <c r="AP976" s="616"/>
      <c r="AQ976" s="616"/>
      <c r="AR976" s="616"/>
      <c r="AS976" s="614"/>
      <c r="AT976" s="614"/>
      <c r="AU976" s="614"/>
      <c r="AV976" s="614"/>
      <c r="AW976" s="614"/>
      <c r="AX976" s="614"/>
    </row>
    <row r="977" spans="1:50" x14ac:dyDescent="0.25">
      <c r="A977" s="612"/>
      <c r="B977" s="612"/>
      <c r="C977" s="613"/>
      <c r="D977" s="612"/>
      <c r="E977" s="612"/>
      <c r="F977" s="613"/>
      <c r="G977" s="612"/>
      <c r="H977" s="612"/>
      <c r="I977" s="735"/>
      <c r="J977" s="612"/>
      <c r="K977" s="613"/>
      <c r="L977" s="614"/>
      <c r="M977" s="614"/>
      <c r="N977" s="614"/>
      <c r="O977" s="614"/>
      <c r="P977" s="614"/>
      <c r="Q977" s="614"/>
      <c r="R977" s="614"/>
      <c r="S977" s="614"/>
      <c r="T977" s="614"/>
      <c r="U977" s="614"/>
      <c r="V977" s="614"/>
      <c r="W977" s="614"/>
      <c r="X977" s="614"/>
      <c r="Y977" s="614"/>
      <c r="Z977" s="614"/>
      <c r="AA977" s="614"/>
      <c r="AB977" s="614"/>
      <c r="AC977" s="614"/>
      <c r="AJ977" s="614"/>
      <c r="AK977" s="614"/>
      <c r="AL977" s="614"/>
      <c r="AM977" s="614"/>
      <c r="AN977" s="614"/>
      <c r="AO977" s="614"/>
      <c r="AP977" s="616"/>
      <c r="AQ977" s="616"/>
      <c r="AR977" s="616"/>
      <c r="AS977" s="614"/>
      <c r="AT977" s="614"/>
      <c r="AU977" s="614"/>
      <c r="AV977" s="614"/>
      <c r="AW977" s="614"/>
      <c r="AX977" s="614"/>
    </row>
    <row r="978" spans="1:50" x14ac:dyDescent="0.25">
      <c r="A978" s="612"/>
      <c r="B978" s="612"/>
      <c r="C978" s="613"/>
      <c r="D978" s="612"/>
      <c r="E978" s="612"/>
      <c r="F978" s="613"/>
      <c r="G978" s="612"/>
      <c r="H978" s="612"/>
      <c r="I978" s="735"/>
      <c r="J978" s="612"/>
      <c r="K978" s="613"/>
      <c r="L978" s="614"/>
      <c r="M978" s="614"/>
      <c r="N978" s="614"/>
      <c r="O978" s="614"/>
      <c r="P978" s="614"/>
      <c r="Q978" s="614"/>
      <c r="R978" s="614"/>
      <c r="S978" s="614"/>
      <c r="T978" s="614"/>
      <c r="U978" s="614"/>
      <c r="V978" s="614"/>
      <c r="W978" s="614"/>
      <c r="X978" s="614"/>
      <c r="Y978" s="614"/>
      <c r="Z978" s="614"/>
      <c r="AA978" s="614"/>
      <c r="AB978" s="614"/>
      <c r="AC978" s="614"/>
      <c r="AJ978" s="614"/>
      <c r="AK978" s="614"/>
      <c r="AL978" s="614"/>
      <c r="AM978" s="614"/>
      <c r="AN978" s="614"/>
      <c r="AO978" s="614"/>
      <c r="AP978" s="616"/>
      <c r="AQ978" s="616"/>
      <c r="AR978" s="616"/>
      <c r="AS978" s="614"/>
      <c r="AT978" s="614"/>
      <c r="AU978" s="614"/>
      <c r="AV978" s="614"/>
      <c r="AW978" s="614"/>
      <c r="AX978" s="614"/>
    </row>
    <row r="979" spans="1:50" x14ac:dyDescent="0.25">
      <c r="A979" s="612"/>
      <c r="B979" s="612"/>
      <c r="C979" s="613"/>
      <c r="D979" s="612"/>
      <c r="E979" s="612"/>
      <c r="F979" s="613"/>
      <c r="G979" s="612"/>
      <c r="H979" s="612"/>
      <c r="I979" s="735"/>
      <c r="J979" s="612"/>
      <c r="K979" s="613"/>
      <c r="L979" s="614"/>
      <c r="M979" s="614"/>
      <c r="N979" s="614"/>
      <c r="O979" s="614"/>
      <c r="P979" s="614"/>
      <c r="Q979" s="614"/>
      <c r="R979" s="614"/>
      <c r="S979" s="614"/>
      <c r="T979" s="614"/>
      <c r="U979" s="614"/>
      <c r="V979" s="614"/>
      <c r="W979" s="614"/>
      <c r="X979" s="614"/>
      <c r="Y979" s="614"/>
      <c r="Z979" s="614"/>
      <c r="AA979" s="614"/>
      <c r="AB979" s="614"/>
      <c r="AC979" s="614"/>
      <c r="AJ979" s="614"/>
      <c r="AK979" s="614"/>
      <c r="AL979" s="614"/>
      <c r="AM979" s="614"/>
      <c r="AN979" s="614"/>
      <c r="AO979" s="614"/>
      <c r="AP979" s="616"/>
      <c r="AQ979" s="616"/>
      <c r="AR979" s="616"/>
      <c r="AS979" s="614"/>
      <c r="AT979" s="614"/>
      <c r="AU979" s="614"/>
      <c r="AV979" s="614"/>
      <c r="AW979" s="614"/>
      <c r="AX979" s="614"/>
    </row>
    <row r="980" spans="1:50" x14ac:dyDescent="0.25">
      <c r="A980" s="612"/>
      <c r="B980" s="612"/>
      <c r="C980" s="613"/>
      <c r="D980" s="612"/>
      <c r="E980" s="612"/>
      <c r="F980" s="613"/>
      <c r="G980" s="612"/>
      <c r="H980" s="612"/>
      <c r="I980" s="735"/>
      <c r="J980" s="612"/>
      <c r="K980" s="613"/>
      <c r="L980" s="614"/>
      <c r="M980" s="614"/>
      <c r="N980" s="614"/>
      <c r="O980" s="614"/>
      <c r="P980" s="614"/>
      <c r="Q980" s="614"/>
      <c r="R980" s="614"/>
      <c r="S980" s="614"/>
      <c r="T980" s="614"/>
      <c r="U980" s="614"/>
      <c r="V980" s="614"/>
      <c r="W980" s="614"/>
      <c r="X980" s="614"/>
      <c r="Y980" s="614"/>
      <c r="Z980" s="614"/>
      <c r="AA980" s="614"/>
      <c r="AB980" s="614"/>
      <c r="AC980" s="614"/>
      <c r="AJ980" s="614"/>
      <c r="AK980" s="614"/>
      <c r="AL980" s="614"/>
      <c r="AM980" s="614"/>
      <c r="AN980" s="614"/>
      <c r="AO980" s="614"/>
      <c r="AP980" s="616"/>
      <c r="AQ980" s="616"/>
      <c r="AR980" s="616"/>
      <c r="AS980" s="614"/>
      <c r="AT980" s="614"/>
      <c r="AU980" s="614"/>
      <c r="AV980" s="614"/>
      <c r="AW980" s="614"/>
      <c r="AX980" s="614"/>
    </row>
    <row r="981" spans="1:50" x14ac:dyDescent="0.25">
      <c r="A981" s="612"/>
      <c r="B981" s="612"/>
      <c r="C981" s="613"/>
      <c r="D981" s="612"/>
      <c r="E981" s="612"/>
      <c r="F981" s="613"/>
      <c r="G981" s="612"/>
      <c r="H981" s="612"/>
      <c r="I981" s="735"/>
      <c r="J981" s="612"/>
      <c r="K981" s="613"/>
      <c r="L981" s="614"/>
      <c r="M981" s="614"/>
      <c r="N981" s="614"/>
      <c r="O981" s="614"/>
      <c r="P981" s="614"/>
      <c r="Q981" s="614"/>
      <c r="R981" s="614"/>
      <c r="S981" s="614"/>
      <c r="T981" s="614"/>
      <c r="U981" s="614"/>
      <c r="V981" s="614"/>
      <c r="W981" s="614"/>
      <c r="X981" s="614"/>
      <c r="Y981" s="614"/>
      <c r="Z981" s="614"/>
      <c r="AA981" s="614"/>
      <c r="AB981" s="614"/>
      <c r="AC981" s="614"/>
      <c r="AJ981" s="614"/>
      <c r="AK981" s="614"/>
      <c r="AL981" s="614"/>
      <c r="AM981" s="614"/>
      <c r="AN981" s="614"/>
      <c r="AO981" s="614"/>
      <c r="AP981" s="616"/>
      <c r="AQ981" s="616"/>
      <c r="AR981" s="616"/>
      <c r="AS981" s="614"/>
      <c r="AT981" s="614"/>
      <c r="AU981" s="614"/>
      <c r="AV981" s="614"/>
      <c r="AW981" s="614"/>
      <c r="AX981" s="614"/>
    </row>
    <row r="982" spans="1:50" x14ac:dyDescent="0.25">
      <c r="A982" s="612"/>
      <c r="B982" s="612"/>
      <c r="C982" s="613"/>
      <c r="D982" s="612"/>
      <c r="E982" s="612"/>
      <c r="F982" s="613"/>
      <c r="G982" s="612"/>
      <c r="H982" s="612"/>
      <c r="I982" s="735"/>
      <c r="J982" s="612"/>
      <c r="K982" s="613"/>
      <c r="L982" s="614"/>
      <c r="M982" s="614"/>
      <c r="N982" s="614"/>
      <c r="O982" s="614"/>
      <c r="P982" s="614"/>
      <c r="Q982" s="614"/>
      <c r="R982" s="614"/>
      <c r="S982" s="614"/>
      <c r="T982" s="614"/>
      <c r="U982" s="614"/>
      <c r="V982" s="614"/>
      <c r="W982" s="614"/>
      <c r="X982" s="614"/>
      <c r="Y982" s="614"/>
      <c r="Z982" s="614"/>
      <c r="AA982" s="614"/>
      <c r="AB982" s="614"/>
      <c r="AC982" s="614"/>
      <c r="AJ982" s="614"/>
      <c r="AK982" s="614"/>
      <c r="AL982" s="614"/>
      <c r="AM982" s="614"/>
      <c r="AN982" s="614"/>
      <c r="AO982" s="614"/>
      <c r="AP982" s="616"/>
      <c r="AQ982" s="616"/>
      <c r="AR982" s="616"/>
      <c r="AS982" s="614"/>
      <c r="AT982" s="614"/>
      <c r="AU982" s="614"/>
      <c r="AV982" s="614"/>
      <c r="AW982" s="614"/>
      <c r="AX982" s="614"/>
    </row>
    <row r="983" spans="1:50" x14ac:dyDescent="0.25">
      <c r="A983" s="612"/>
      <c r="B983" s="612"/>
      <c r="C983" s="613"/>
      <c r="D983" s="612"/>
      <c r="E983" s="612"/>
      <c r="F983" s="613"/>
      <c r="G983" s="612"/>
      <c r="H983" s="612"/>
      <c r="I983" s="735"/>
      <c r="J983" s="612"/>
      <c r="K983" s="613"/>
      <c r="L983" s="614"/>
      <c r="M983" s="614"/>
      <c r="N983" s="614"/>
      <c r="O983" s="614"/>
      <c r="P983" s="614"/>
      <c r="Q983" s="614"/>
      <c r="R983" s="614"/>
      <c r="S983" s="614"/>
      <c r="T983" s="614"/>
      <c r="U983" s="614"/>
      <c r="V983" s="614"/>
      <c r="W983" s="614"/>
      <c r="X983" s="614"/>
      <c r="Y983" s="614"/>
      <c r="Z983" s="614"/>
      <c r="AA983" s="614"/>
      <c r="AB983" s="614"/>
      <c r="AC983" s="614"/>
      <c r="AJ983" s="614"/>
      <c r="AK983" s="614"/>
      <c r="AL983" s="614"/>
      <c r="AM983" s="614"/>
      <c r="AN983" s="614"/>
      <c r="AO983" s="614"/>
      <c r="AP983" s="616"/>
      <c r="AQ983" s="616"/>
      <c r="AR983" s="616"/>
      <c r="AS983" s="614"/>
      <c r="AT983" s="614"/>
      <c r="AU983" s="614"/>
      <c r="AV983" s="614"/>
      <c r="AW983" s="614"/>
      <c r="AX983" s="614"/>
    </row>
    <row r="984" spans="1:50" x14ac:dyDescent="0.25">
      <c r="A984" s="612"/>
      <c r="B984" s="612"/>
      <c r="C984" s="613"/>
      <c r="D984" s="612"/>
      <c r="E984" s="612"/>
      <c r="F984" s="613"/>
      <c r="G984" s="612"/>
      <c r="H984" s="612"/>
      <c r="I984" s="735"/>
      <c r="J984" s="612"/>
      <c r="K984" s="613"/>
      <c r="L984" s="614"/>
      <c r="M984" s="614"/>
      <c r="N984" s="614"/>
      <c r="O984" s="614"/>
      <c r="P984" s="614"/>
      <c r="Q984" s="614"/>
      <c r="R984" s="614"/>
      <c r="S984" s="614"/>
      <c r="T984" s="614"/>
      <c r="U984" s="614"/>
      <c r="V984" s="614"/>
      <c r="W984" s="614"/>
      <c r="X984" s="614"/>
      <c r="Y984" s="614"/>
      <c r="Z984" s="614"/>
      <c r="AA984" s="614"/>
      <c r="AB984" s="614"/>
      <c r="AC984" s="614"/>
      <c r="AJ984" s="614"/>
      <c r="AK984" s="614"/>
      <c r="AL984" s="614"/>
      <c r="AM984" s="614"/>
      <c r="AN984" s="614"/>
      <c r="AO984" s="614"/>
      <c r="AP984" s="616"/>
      <c r="AQ984" s="616"/>
      <c r="AR984" s="616"/>
      <c r="AS984" s="614"/>
      <c r="AT984" s="614"/>
      <c r="AU984" s="614"/>
      <c r="AV984" s="614"/>
      <c r="AW984" s="614"/>
      <c r="AX984" s="614"/>
    </row>
    <row r="985" spans="1:50" x14ac:dyDescent="0.25">
      <c r="A985" s="612"/>
      <c r="B985" s="612"/>
      <c r="C985" s="613"/>
      <c r="D985" s="612"/>
      <c r="E985" s="612"/>
      <c r="F985" s="613"/>
      <c r="G985" s="612"/>
      <c r="H985" s="612"/>
      <c r="I985" s="735"/>
      <c r="J985" s="612"/>
      <c r="K985" s="613"/>
      <c r="L985" s="614"/>
      <c r="M985" s="614"/>
      <c r="N985" s="614"/>
      <c r="O985" s="614"/>
      <c r="P985" s="614"/>
      <c r="Q985" s="614"/>
      <c r="R985" s="614"/>
      <c r="S985" s="614"/>
      <c r="T985" s="614"/>
      <c r="U985" s="614"/>
      <c r="V985" s="614"/>
      <c r="W985" s="614"/>
      <c r="X985" s="614"/>
      <c r="Y985" s="614"/>
      <c r="Z985" s="614"/>
      <c r="AA985" s="614"/>
      <c r="AB985" s="614"/>
      <c r="AC985" s="614"/>
      <c r="AJ985" s="614"/>
      <c r="AK985" s="614"/>
      <c r="AL985" s="614"/>
      <c r="AM985" s="614"/>
      <c r="AN985" s="614"/>
      <c r="AO985" s="614"/>
      <c r="AP985" s="616"/>
      <c r="AQ985" s="616"/>
      <c r="AR985" s="616"/>
      <c r="AS985" s="614"/>
      <c r="AT985" s="614"/>
      <c r="AU985" s="614"/>
      <c r="AV985" s="614"/>
      <c r="AW985" s="614"/>
      <c r="AX985" s="614"/>
    </row>
    <row r="986" spans="1:50" x14ac:dyDescent="0.25">
      <c r="A986" s="612"/>
      <c r="B986" s="612"/>
      <c r="C986" s="613"/>
      <c r="D986" s="612"/>
      <c r="E986" s="612"/>
      <c r="F986" s="613"/>
      <c r="G986" s="612"/>
      <c r="H986" s="612"/>
      <c r="I986" s="735"/>
      <c r="J986" s="612"/>
      <c r="K986" s="613"/>
      <c r="L986" s="614"/>
      <c r="M986" s="614"/>
      <c r="N986" s="614"/>
      <c r="O986" s="614"/>
      <c r="P986" s="614"/>
      <c r="Q986" s="614"/>
      <c r="R986" s="614"/>
      <c r="S986" s="614"/>
      <c r="T986" s="614"/>
      <c r="U986" s="614"/>
      <c r="V986" s="614"/>
      <c r="W986" s="614"/>
      <c r="X986" s="614"/>
      <c r="Y986" s="614"/>
      <c r="Z986" s="614"/>
      <c r="AA986" s="614"/>
      <c r="AB986" s="614"/>
      <c r="AC986" s="614"/>
      <c r="AJ986" s="614"/>
      <c r="AK986" s="614"/>
      <c r="AL986" s="614"/>
      <c r="AM986" s="614"/>
      <c r="AN986" s="614"/>
      <c r="AO986" s="614"/>
      <c r="AP986" s="616"/>
      <c r="AQ986" s="616"/>
      <c r="AR986" s="616"/>
      <c r="AS986" s="614"/>
      <c r="AT986" s="614"/>
      <c r="AU986" s="614"/>
      <c r="AV986" s="614"/>
      <c r="AW986" s="614"/>
      <c r="AX986" s="614"/>
    </row>
    <row r="987" spans="1:50" x14ac:dyDescent="0.25">
      <c r="A987" s="612"/>
      <c r="B987" s="612"/>
      <c r="C987" s="613"/>
      <c r="D987" s="612"/>
      <c r="E987" s="612"/>
      <c r="F987" s="613"/>
      <c r="G987" s="612"/>
      <c r="H987" s="612"/>
      <c r="I987" s="735"/>
      <c r="J987" s="612"/>
      <c r="K987" s="613"/>
      <c r="L987" s="614"/>
      <c r="M987" s="614"/>
      <c r="N987" s="614"/>
      <c r="O987" s="614"/>
      <c r="P987" s="614"/>
      <c r="Q987" s="614"/>
      <c r="R987" s="614"/>
      <c r="S987" s="614"/>
      <c r="T987" s="614"/>
      <c r="U987" s="614"/>
      <c r="V987" s="614"/>
      <c r="W987" s="614"/>
      <c r="X987" s="614"/>
      <c r="Y987" s="614"/>
      <c r="Z987" s="614"/>
      <c r="AA987" s="614"/>
      <c r="AB987" s="614"/>
      <c r="AC987" s="614"/>
      <c r="AJ987" s="614"/>
      <c r="AK987" s="614"/>
      <c r="AL987" s="614"/>
      <c r="AM987" s="614"/>
      <c r="AN987" s="614"/>
      <c r="AO987" s="614"/>
      <c r="AP987" s="616"/>
      <c r="AQ987" s="616"/>
      <c r="AR987" s="616"/>
      <c r="AS987" s="614"/>
      <c r="AT987" s="614"/>
      <c r="AU987" s="614"/>
      <c r="AV987" s="614"/>
      <c r="AW987" s="614"/>
      <c r="AX987" s="614"/>
    </row>
    <row r="988" spans="1:50" x14ac:dyDescent="0.25">
      <c r="A988" s="612"/>
      <c r="B988" s="612"/>
      <c r="C988" s="613"/>
      <c r="D988" s="612"/>
      <c r="E988" s="612"/>
      <c r="F988" s="613"/>
      <c r="G988" s="612"/>
      <c r="H988" s="612"/>
      <c r="I988" s="735"/>
      <c r="J988" s="612"/>
      <c r="K988" s="613"/>
      <c r="L988" s="614"/>
      <c r="M988" s="614"/>
      <c r="N988" s="614"/>
      <c r="O988" s="614"/>
      <c r="P988" s="614"/>
      <c r="Q988" s="614"/>
      <c r="R988" s="614"/>
      <c r="S988" s="614"/>
      <c r="T988" s="614"/>
      <c r="U988" s="614"/>
      <c r="V988" s="614"/>
      <c r="W988" s="614"/>
      <c r="X988" s="614"/>
      <c r="Y988" s="614"/>
      <c r="Z988" s="614"/>
      <c r="AA988" s="614"/>
      <c r="AB988" s="614"/>
      <c r="AC988" s="614"/>
      <c r="AJ988" s="614"/>
      <c r="AK988" s="614"/>
      <c r="AL988" s="614"/>
      <c r="AM988" s="614"/>
      <c r="AN988" s="614"/>
      <c r="AO988" s="614"/>
      <c r="AP988" s="616"/>
      <c r="AQ988" s="616"/>
      <c r="AR988" s="616"/>
      <c r="AS988" s="614"/>
      <c r="AT988" s="614"/>
      <c r="AU988" s="614"/>
      <c r="AV988" s="614"/>
      <c r="AW988" s="614"/>
      <c r="AX988" s="614"/>
    </row>
    <row r="989" spans="1:50" x14ac:dyDescent="0.25">
      <c r="A989" s="612"/>
      <c r="B989" s="612"/>
      <c r="C989" s="613"/>
      <c r="D989" s="612"/>
      <c r="E989" s="612"/>
      <c r="F989" s="613"/>
      <c r="G989" s="612"/>
      <c r="H989" s="612"/>
      <c r="I989" s="735"/>
      <c r="J989" s="612"/>
      <c r="K989" s="613"/>
      <c r="L989" s="614"/>
      <c r="M989" s="614"/>
      <c r="N989" s="614"/>
      <c r="O989" s="614"/>
      <c r="P989" s="614"/>
      <c r="Q989" s="614"/>
      <c r="R989" s="614"/>
      <c r="S989" s="614"/>
      <c r="T989" s="614"/>
      <c r="U989" s="614"/>
      <c r="V989" s="614"/>
      <c r="W989" s="614"/>
      <c r="X989" s="614"/>
      <c r="Y989" s="614"/>
      <c r="Z989" s="614"/>
      <c r="AA989" s="614"/>
      <c r="AB989" s="614"/>
      <c r="AC989" s="614"/>
      <c r="AJ989" s="614"/>
      <c r="AK989" s="614"/>
      <c r="AL989" s="614"/>
      <c r="AM989" s="614"/>
      <c r="AN989" s="614"/>
      <c r="AO989" s="614"/>
      <c r="AP989" s="616"/>
      <c r="AQ989" s="616"/>
      <c r="AR989" s="616"/>
      <c r="AS989" s="614"/>
      <c r="AT989" s="614"/>
      <c r="AU989" s="614"/>
      <c r="AV989" s="614"/>
      <c r="AW989" s="614"/>
      <c r="AX989" s="614"/>
    </row>
    <row r="990" spans="1:50" x14ac:dyDescent="0.25">
      <c r="A990" s="612"/>
      <c r="B990" s="612"/>
      <c r="C990" s="613"/>
      <c r="D990" s="612"/>
      <c r="E990" s="612"/>
      <c r="F990" s="613"/>
      <c r="G990" s="612"/>
      <c r="H990" s="612"/>
      <c r="I990" s="735"/>
      <c r="J990" s="612"/>
      <c r="K990" s="613"/>
      <c r="L990" s="614"/>
      <c r="M990" s="614"/>
      <c r="N990" s="614"/>
      <c r="O990" s="614"/>
      <c r="P990" s="614"/>
      <c r="Q990" s="614"/>
      <c r="R990" s="614"/>
      <c r="S990" s="614"/>
      <c r="T990" s="614"/>
      <c r="U990" s="614"/>
      <c r="V990" s="614"/>
      <c r="W990" s="614"/>
      <c r="X990" s="614"/>
      <c r="Y990" s="614"/>
      <c r="Z990" s="614"/>
      <c r="AA990" s="614"/>
      <c r="AB990" s="614"/>
      <c r="AC990" s="614"/>
      <c r="AJ990" s="614"/>
      <c r="AK990" s="614"/>
      <c r="AL990" s="614"/>
      <c r="AM990" s="614"/>
      <c r="AN990" s="614"/>
      <c r="AO990" s="614"/>
      <c r="AP990" s="616"/>
      <c r="AQ990" s="616"/>
      <c r="AR990" s="616"/>
      <c r="AS990" s="614"/>
      <c r="AT990" s="614"/>
      <c r="AU990" s="614"/>
      <c r="AV990" s="614"/>
      <c r="AW990" s="614"/>
      <c r="AX990" s="614"/>
    </row>
    <row r="991" spans="1:50" x14ac:dyDescent="0.25">
      <c r="A991" s="612"/>
      <c r="B991" s="612"/>
      <c r="C991" s="613"/>
      <c r="D991" s="612"/>
      <c r="E991" s="612"/>
      <c r="F991" s="613"/>
      <c r="G991" s="612"/>
      <c r="H991" s="612"/>
      <c r="I991" s="735"/>
      <c r="J991" s="612"/>
      <c r="K991" s="613"/>
      <c r="L991" s="614"/>
      <c r="M991" s="614"/>
      <c r="N991" s="614"/>
      <c r="O991" s="614"/>
      <c r="P991" s="614"/>
      <c r="Q991" s="614"/>
      <c r="R991" s="614"/>
      <c r="S991" s="614"/>
      <c r="T991" s="614"/>
      <c r="U991" s="614"/>
      <c r="V991" s="614"/>
      <c r="W991" s="614"/>
      <c r="X991" s="614"/>
      <c r="Y991" s="614"/>
      <c r="Z991" s="614"/>
      <c r="AA991" s="614"/>
      <c r="AB991" s="614"/>
      <c r="AC991" s="614"/>
      <c r="AJ991" s="614"/>
      <c r="AK991" s="614"/>
      <c r="AL991" s="614"/>
      <c r="AM991" s="614"/>
      <c r="AN991" s="614"/>
      <c r="AO991" s="614"/>
      <c r="AP991" s="616"/>
      <c r="AQ991" s="616"/>
      <c r="AR991" s="616"/>
      <c r="AS991" s="614"/>
      <c r="AT991" s="614"/>
      <c r="AU991" s="614"/>
      <c r="AV991" s="614"/>
      <c r="AW991" s="614"/>
      <c r="AX991" s="614"/>
    </row>
    <row r="992" spans="1:50" x14ac:dyDescent="0.25">
      <c r="A992" s="612"/>
      <c r="B992" s="612"/>
      <c r="C992" s="613"/>
      <c r="D992" s="612"/>
      <c r="E992" s="612"/>
      <c r="F992" s="613"/>
      <c r="G992" s="612"/>
      <c r="H992" s="612"/>
      <c r="I992" s="735"/>
      <c r="J992" s="612"/>
      <c r="K992" s="613"/>
      <c r="L992" s="614"/>
      <c r="M992" s="614"/>
      <c r="N992" s="614"/>
      <c r="O992" s="614"/>
      <c r="P992" s="614"/>
      <c r="Q992" s="614"/>
      <c r="R992" s="614"/>
      <c r="S992" s="614"/>
      <c r="T992" s="614"/>
      <c r="U992" s="614"/>
      <c r="V992" s="614"/>
      <c r="W992" s="614"/>
      <c r="X992" s="614"/>
      <c r="Y992" s="614"/>
      <c r="Z992" s="614"/>
      <c r="AA992" s="614"/>
      <c r="AB992" s="614"/>
      <c r="AC992" s="614"/>
      <c r="AJ992" s="614"/>
      <c r="AK992" s="614"/>
      <c r="AL992" s="614"/>
      <c r="AM992" s="614"/>
      <c r="AN992" s="614"/>
      <c r="AO992" s="614"/>
      <c r="AP992" s="616"/>
      <c r="AQ992" s="616"/>
      <c r="AR992" s="616"/>
      <c r="AS992" s="614"/>
      <c r="AT992" s="614"/>
      <c r="AU992" s="614"/>
      <c r="AV992" s="614"/>
      <c r="AW992" s="614"/>
      <c r="AX992" s="614"/>
    </row>
    <row r="993" spans="1:50" x14ac:dyDescent="0.25">
      <c r="A993" s="612"/>
      <c r="B993" s="612"/>
      <c r="C993" s="613"/>
      <c r="D993" s="612"/>
      <c r="E993" s="612"/>
      <c r="F993" s="613"/>
      <c r="G993" s="612"/>
      <c r="H993" s="612"/>
      <c r="I993" s="735"/>
      <c r="J993" s="612"/>
      <c r="K993" s="613"/>
      <c r="L993" s="614"/>
      <c r="M993" s="614"/>
      <c r="N993" s="614"/>
      <c r="O993" s="614"/>
      <c r="P993" s="614"/>
      <c r="Q993" s="614"/>
      <c r="R993" s="614"/>
      <c r="S993" s="614"/>
      <c r="T993" s="614"/>
      <c r="U993" s="614"/>
      <c r="V993" s="614"/>
      <c r="W993" s="614"/>
      <c r="X993" s="614"/>
      <c r="Y993" s="614"/>
      <c r="Z993" s="614"/>
      <c r="AA993" s="614"/>
      <c r="AB993" s="614"/>
      <c r="AC993" s="614"/>
      <c r="AJ993" s="614"/>
      <c r="AK993" s="614"/>
      <c r="AL993" s="614"/>
      <c r="AM993" s="614"/>
      <c r="AN993" s="614"/>
      <c r="AO993" s="614"/>
      <c r="AP993" s="616"/>
      <c r="AQ993" s="616"/>
      <c r="AR993" s="616"/>
      <c r="AS993" s="614"/>
      <c r="AT993" s="614"/>
      <c r="AU993" s="614"/>
      <c r="AV993" s="614"/>
      <c r="AW993" s="614"/>
      <c r="AX993" s="614"/>
    </row>
    <row r="994" spans="1:50" x14ac:dyDescent="0.25">
      <c r="A994" s="612"/>
      <c r="B994" s="612"/>
      <c r="C994" s="613"/>
      <c r="D994" s="612"/>
      <c r="E994" s="612"/>
      <c r="F994" s="613"/>
      <c r="G994" s="612"/>
      <c r="H994" s="612"/>
      <c r="I994" s="735"/>
      <c r="J994" s="612"/>
      <c r="K994" s="613"/>
      <c r="L994" s="614"/>
      <c r="M994" s="614"/>
      <c r="N994" s="614"/>
      <c r="O994" s="614"/>
      <c r="P994" s="614"/>
      <c r="Q994" s="614"/>
      <c r="R994" s="614"/>
      <c r="S994" s="614"/>
      <c r="T994" s="614"/>
      <c r="U994" s="614"/>
      <c r="V994" s="614"/>
      <c r="W994" s="614"/>
      <c r="X994" s="614"/>
      <c r="Y994" s="614"/>
      <c r="Z994" s="614"/>
      <c r="AA994" s="614"/>
      <c r="AB994" s="614"/>
      <c r="AC994" s="614"/>
      <c r="AJ994" s="614"/>
      <c r="AK994" s="614"/>
      <c r="AL994" s="614"/>
      <c r="AM994" s="614"/>
      <c r="AN994" s="614"/>
      <c r="AO994" s="614"/>
      <c r="AP994" s="616"/>
      <c r="AQ994" s="616"/>
      <c r="AR994" s="616"/>
      <c r="AS994" s="614"/>
      <c r="AT994" s="614"/>
      <c r="AU994" s="614"/>
      <c r="AV994" s="614"/>
      <c r="AW994" s="614"/>
      <c r="AX994" s="614"/>
    </row>
    <row r="995" spans="1:50" x14ac:dyDescent="0.25">
      <c r="A995" s="612"/>
      <c r="B995" s="612"/>
      <c r="C995" s="613"/>
      <c r="D995" s="612"/>
      <c r="E995" s="612"/>
      <c r="F995" s="613"/>
      <c r="G995" s="612"/>
      <c r="H995" s="612"/>
      <c r="I995" s="735"/>
      <c r="J995" s="612"/>
      <c r="K995" s="613"/>
      <c r="L995" s="614"/>
      <c r="M995" s="614"/>
      <c r="N995" s="614"/>
      <c r="O995" s="614"/>
      <c r="P995" s="614"/>
      <c r="Q995" s="614"/>
      <c r="R995" s="614"/>
      <c r="S995" s="614"/>
      <c r="T995" s="614"/>
      <c r="U995" s="614"/>
      <c r="V995" s="614"/>
      <c r="W995" s="614"/>
      <c r="X995" s="614"/>
      <c r="Y995" s="614"/>
      <c r="Z995" s="614"/>
      <c r="AA995" s="614"/>
      <c r="AB995" s="614"/>
      <c r="AC995" s="614"/>
      <c r="AJ995" s="614"/>
      <c r="AK995" s="614"/>
      <c r="AL995" s="614"/>
      <c r="AM995" s="614"/>
      <c r="AN995" s="614"/>
      <c r="AO995" s="614"/>
      <c r="AP995" s="616"/>
      <c r="AQ995" s="616"/>
      <c r="AR995" s="616"/>
      <c r="AS995" s="614"/>
      <c r="AT995" s="614"/>
      <c r="AU995" s="614"/>
      <c r="AV995" s="614"/>
      <c r="AW995" s="614"/>
      <c r="AX995" s="614"/>
    </row>
    <row r="996" spans="1:50" x14ac:dyDescent="0.25">
      <c r="A996" s="612"/>
      <c r="B996" s="612"/>
      <c r="C996" s="613"/>
      <c r="D996" s="612"/>
      <c r="E996" s="612"/>
      <c r="F996" s="613"/>
      <c r="G996" s="612"/>
      <c r="H996" s="612"/>
      <c r="I996" s="735"/>
      <c r="J996" s="612"/>
      <c r="K996" s="613"/>
      <c r="L996" s="614"/>
      <c r="M996" s="614"/>
      <c r="N996" s="614"/>
      <c r="O996" s="614"/>
      <c r="P996" s="614"/>
      <c r="Q996" s="614"/>
      <c r="R996" s="614"/>
      <c r="S996" s="614"/>
      <c r="T996" s="614"/>
      <c r="U996" s="614"/>
      <c r="V996" s="614"/>
      <c r="W996" s="614"/>
      <c r="X996" s="614"/>
      <c r="Y996" s="614"/>
      <c r="Z996" s="614"/>
      <c r="AA996" s="614"/>
      <c r="AB996" s="614"/>
      <c r="AC996" s="614"/>
      <c r="AJ996" s="614"/>
      <c r="AK996" s="614"/>
      <c r="AL996" s="614"/>
      <c r="AM996" s="614"/>
      <c r="AN996" s="614"/>
      <c r="AO996" s="614"/>
      <c r="AP996" s="616"/>
      <c r="AQ996" s="616"/>
      <c r="AR996" s="616"/>
      <c r="AS996" s="614"/>
      <c r="AT996" s="614"/>
      <c r="AU996" s="614"/>
      <c r="AV996" s="614"/>
      <c r="AW996" s="614"/>
      <c r="AX996" s="614"/>
    </row>
    <row r="997" spans="1:50" x14ac:dyDescent="0.25">
      <c r="A997" s="612"/>
      <c r="B997" s="612"/>
      <c r="C997" s="613"/>
      <c r="D997" s="612"/>
      <c r="E997" s="612"/>
      <c r="F997" s="613"/>
      <c r="G997" s="612"/>
      <c r="H997" s="612"/>
      <c r="I997" s="735"/>
      <c r="J997" s="612"/>
      <c r="K997" s="613"/>
      <c r="L997" s="614"/>
      <c r="M997" s="614"/>
      <c r="N997" s="614"/>
      <c r="O997" s="614"/>
      <c r="P997" s="614"/>
      <c r="Q997" s="614"/>
      <c r="R997" s="614"/>
      <c r="S997" s="614"/>
      <c r="T997" s="614"/>
      <c r="U997" s="614"/>
      <c r="V997" s="614"/>
      <c r="W997" s="614"/>
      <c r="X997" s="614"/>
      <c r="Y997" s="614"/>
      <c r="Z997" s="614"/>
      <c r="AA997" s="614"/>
      <c r="AB997" s="614"/>
      <c r="AC997" s="614"/>
      <c r="AJ997" s="614"/>
      <c r="AK997" s="614"/>
      <c r="AL997" s="614"/>
      <c r="AM997" s="614"/>
      <c r="AN997" s="614"/>
      <c r="AO997" s="614"/>
      <c r="AP997" s="616"/>
      <c r="AQ997" s="616"/>
      <c r="AR997" s="616"/>
      <c r="AS997" s="614"/>
      <c r="AT997" s="614"/>
      <c r="AU997" s="614"/>
      <c r="AV997" s="614"/>
      <c r="AW997" s="614"/>
      <c r="AX997" s="614"/>
    </row>
    <row r="998" spans="1:50" x14ac:dyDescent="0.25">
      <c r="A998" s="612"/>
      <c r="B998" s="612"/>
      <c r="C998" s="613"/>
      <c r="D998" s="612"/>
      <c r="E998" s="612"/>
      <c r="F998" s="613"/>
      <c r="G998" s="612"/>
      <c r="H998" s="612"/>
      <c r="I998" s="735"/>
      <c r="J998" s="612"/>
      <c r="K998" s="613"/>
      <c r="L998" s="614"/>
      <c r="M998" s="614"/>
      <c r="N998" s="614"/>
      <c r="O998" s="614"/>
      <c r="P998" s="614"/>
      <c r="Q998" s="614"/>
      <c r="R998" s="614"/>
      <c r="S998" s="614"/>
      <c r="T998" s="614"/>
      <c r="U998" s="614"/>
      <c r="V998" s="614"/>
      <c r="W998" s="614"/>
      <c r="X998" s="614"/>
      <c r="Y998" s="614"/>
      <c r="Z998" s="614"/>
      <c r="AA998" s="614"/>
      <c r="AB998" s="614"/>
      <c r="AC998" s="614"/>
      <c r="AJ998" s="614"/>
      <c r="AK998" s="614"/>
      <c r="AL998" s="614"/>
      <c r="AM998" s="614"/>
      <c r="AN998" s="614"/>
      <c r="AO998" s="614"/>
      <c r="AP998" s="616"/>
      <c r="AQ998" s="616"/>
      <c r="AR998" s="616"/>
      <c r="AS998" s="614"/>
      <c r="AT998" s="614"/>
      <c r="AU998" s="614"/>
      <c r="AV998" s="614"/>
      <c r="AW998" s="614"/>
      <c r="AX998" s="614"/>
    </row>
    <row r="999" spans="1:50" x14ac:dyDescent="0.25">
      <c r="A999" s="612"/>
      <c r="B999" s="612"/>
      <c r="C999" s="613"/>
      <c r="D999" s="612"/>
      <c r="E999" s="612"/>
      <c r="F999" s="613"/>
      <c r="G999" s="612"/>
      <c r="H999" s="612"/>
      <c r="I999" s="735"/>
      <c r="J999" s="612"/>
      <c r="K999" s="613"/>
      <c r="L999" s="614"/>
      <c r="M999" s="614"/>
      <c r="N999" s="614"/>
      <c r="O999" s="614"/>
      <c r="P999" s="614"/>
      <c r="Q999" s="614"/>
      <c r="R999" s="614"/>
      <c r="S999" s="614"/>
      <c r="T999" s="614"/>
      <c r="U999" s="614"/>
      <c r="V999" s="614"/>
      <c r="W999" s="614"/>
      <c r="X999" s="614"/>
      <c r="Y999" s="614"/>
      <c r="Z999" s="614"/>
      <c r="AA999" s="614"/>
      <c r="AB999" s="614"/>
      <c r="AC999" s="614"/>
      <c r="AJ999" s="614"/>
      <c r="AK999" s="614"/>
      <c r="AL999" s="614"/>
      <c r="AM999" s="614"/>
      <c r="AN999" s="614"/>
      <c r="AO999" s="614"/>
      <c r="AP999" s="616"/>
      <c r="AQ999" s="616"/>
      <c r="AR999" s="616"/>
      <c r="AS999" s="614"/>
      <c r="AT999" s="614"/>
      <c r="AU999" s="614"/>
      <c r="AV999" s="614"/>
      <c r="AW999" s="614"/>
      <c r="AX999" s="614"/>
    </row>
    <row r="1000" spans="1:50" x14ac:dyDescent="0.25">
      <c r="A1000" s="612"/>
      <c r="B1000" s="612"/>
      <c r="C1000" s="613"/>
      <c r="D1000" s="612"/>
      <c r="E1000" s="612"/>
      <c r="F1000" s="613"/>
      <c r="G1000" s="612"/>
      <c r="H1000" s="612"/>
      <c r="I1000" s="735"/>
      <c r="J1000" s="612"/>
      <c r="K1000" s="613"/>
      <c r="L1000" s="614"/>
      <c r="M1000" s="614"/>
      <c r="N1000" s="614"/>
      <c r="O1000" s="614"/>
      <c r="P1000" s="614"/>
      <c r="Q1000" s="614"/>
      <c r="R1000" s="614"/>
      <c r="S1000" s="614"/>
      <c r="T1000" s="614"/>
      <c r="U1000" s="614"/>
      <c r="V1000" s="614"/>
      <c r="W1000" s="614"/>
      <c r="X1000" s="614"/>
      <c r="Y1000" s="614"/>
      <c r="Z1000" s="614"/>
      <c r="AA1000" s="614"/>
      <c r="AB1000" s="614"/>
      <c r="AC1000" s="614"/>
      <c r="AJ1000" s="614"/>
      <c r="AK1000" s="614"/>
      <c r="AL1000" s="614"/>
      <c r="AM1000" s="614"/>
      <c r="AN1000" s="614"/>
      <c r="AO1000" s="614"/>
      <c r="AP1000" s="616"/>
      <c r="AQ1000" s="616"/>
      <c r="AR1000" s="616"/>
      <c r="AS1000" s="614"/>
      <c r="AT1000" s="614"/>
      <c r="AU1000" s="614"/>
      <c r="AV1000" s="614"/>
      <c r="AW1000" s="614"/>
      <c r="AX1000" s="614"/>
    </row>
    <row r="1001" spans="1:50" x14ac:dyDescent="0.25">
      <c r="A1001" s="612"/>
      <c r="B1001" s="612"/>
      <c r="C1001" s="613"/>
      <c r="D1001" s="612"/>
      <c r="E1001" s="612"/>
      <c r="F1001" s="613"/>
      <c r="G1001" s="612"/>
      <c r="H1001" s="612"/>
      <c r="I1001" s="735"/>
      <c r="J1001" s="612"/>
      <c r="K1001" s="613"/>
      <c r="L1001" s="614"/>
      <c r="M1001" s="614"/>
      <c r="N1001" s="614"/>
      <c r="O1001" s="614"/>
      <c r="P1001" s="614"/>
      <c r="Q1001" s="614"/>
      <c r="R1001" s="614"/>
      <c r="S1001" s="614"/>
      <c r="T1001" s="614"/>
      <c r="U1001" s="614"/>
      <c r="V1001" s="614"/>
      <c r="W1001" s="614"/>
      <c r="X1001" s="614"/>
      <c r="Y1001" s="614"/>
      <c r="Z1001" s="614"/>
      <c r="AA1001" s="614"/>
      <c r="AB1001" s="614"/>
      <c r="AC1001" s="614"/>
      <c r="AJ1001" s="614"/>
      <c r="AK1001" s="614"/>
      <c r="AL1001" s="614"/>
      <c r="AM1001" s="614"/>
      <c r="AN1001" s="614"/>
      <c r="AO1001" s="614"/>
      <c r="AP1001" s="616"/>
      <c r="AQ1001" s="616"/>
      <c r="AR1001" s="616"/>
      <c r="AS1001" s="614"/>
      <c r="AT1001" s="614"/>
      <c r="AU1001" s="614"/>
      <c r="AV1001" s="614"/>
      <c r="AW1001" s="614"/>
      <c r="AX1001" s="614"/>
    </row>
    <row r="1002" spans="1:50" x14ac:dyDescent="0.25">
      <c r="A1002" s="612"/>
      <c r="B1002" s="612"/>
      <c r="C1002" s="613"/>
      <c r="D1002" s="612"/>
      <c r="E1002" s="612"/>
      <c r="F1002" s="613"/>
      <c r="G1002" s="612"/>
      <c r="H1002" s="612"/>
      <c r="I1002" s="735"/>
      <c r="J1002" s="612"/>
      <c r="K1002" s="613"/>
      <c r="L1002" s="614"/>
      <c r="M1002" s="614"/>
      <c r="N1002" s="614"/>
      <c r="O1002" s="614"/>
      <c r="P1002" s="614"/>
      <c r="Q1002" s="614"/>
      <c r="R1002" s="614"/>
      <c r="S1002" s="614"/>
      <c r="T1002" s="614"/>
      <c r="U1002" s="614"/>
      <c r="V1002" s="614"/>
      <c r="W1002" s="614"/>
      <c r="X1002" s="614"/>
      <c r="Y1002" s="614"/>
      <c r="Z1002" s="614"/>
      <c r="AA1002" s="614"/>
      <c r="AB1002" s="614"/>
      <c r="AC1002" s="614"/>
      <c r="AJ1002" s="614"/>
      <c r="AK1002" s="614"/>
      <c r="AL1002" s="614"/>
      <c r="AM1002" s="614"/>
      <c r="AN1002" s="614"/>
      <c r="AO1002" s="614"/>
      <c r="AP1002" s="616"/>
      <c r="AQ1002" s="616"/>
      <c r="AR1002" s="616"/>
      <c r="AS1002" s="614"/>
      <c r="AT1002" s="614"/>
      <c r="AU1002" s="614"/>
      <c r="AV1002" s="614"/>
      <c r="AW1002" s="614"/>
      <c r="AX1002" s="614"/>
    </row>
    <row r="1003" spans="1:50" x14ac:dyDescent="0.25">
      <c r="A1003" s="612"/>
      <c r="B1003" s="612"/>
      <c r="C1003" s="613"/>
      <c r="D1003" s="612"/>
      <c r="E1003" s="612"/>
      <c r="F1003" s="613"/>
      <c r="G1003" s="612"/>
      <c r="H1003" s="612"/>
      <c r="I1003" s="735"/>
      <c r="J1003" s="612"/>
      <c r="K1003" s="613"/>
      <c r="L1003" s="614"/>
      <c r="M1003" s="614"/>
      <c r="N1003" s="614"/>
      <c r="O1003" s="614"/>
      <c r="P1003" s="614"/>
      <c r="Q1003" s="614"/>
      <c r="R1003" s="614"/>
      <c r="S1003" s="614"/>
      <c r="T1003" s="614"/>
      <c r="U1003" s="614"/>
      <c r="V1003" s="614"/>
      <c r="W1003" s="614"/>
      <c r="X1003" s="614"/>
      <c r="Y1003" s="614"/>
      <c r="Z1003" s="614"/>
      <c r="AA1003" s="614"/>
      <c r="AB1003" s="614"/>
      <c r="AC1003" s="614"/>
      <c r="AJ1003" s="614"/>
      <c r="AK1003" s="614"/>
      <c r="AL1003" s="614"/>
      <c r="AM1003" s="614"/>
      <c r="AN1003" s="614"/>
      <c r="AO1003" s="614"/>
      <c r="AP1003" s="616"/>
      <c r="AQ1003" s="616"/>
      <c r="AR1003" s="616"/>
      <c r="AS1003" s="614"/>
      <c r="AT1003" s="614"/>
      <c r="AU1003" s="614"/>
      <c r="AV1003" s="614"/>
      <c r="AW1003" s="614"/>
      <c r="AX1003" s="614"/>
    </row>
    <row r="1004" spans="1:50" x14ac:dyDescent="0.25">
      <c r="A1004" s="612"/>
      <c r="B1004" s="612"/>
      <c r="C1004" s="613"/>
      <c r="D1004" s="612"/>
      <c r="E1004" s="612"/>
      <c r="F1004" s="613"/>
      <c r="G1004" s="612"/>
      <c r="H1004" s="612"/>
      <c r="I1004" s="735"/>
      <c r="J1004" s="612"/>
      <c r="K1004" s="613"/>
      <c r="L1004" s="614"/>
      <c r="M1004" s="614"/>
      <c r="N1004" s="614"/>
      <c r="O1004" s="614"/>
      <c r="P1004" s="614"/>
      <c r="Q1004" s="614"/>
      <c r="R1004" s="614"/>
      <c r="S1004" s="614"/>
      <c r="T1004" s="614"/>
      <c r="U1004" s="614"/>
      <c r="V1004" s="614"/>
      <c r="W1004" s="614"/>
      <c r="X1004" s="614"/>
      <c r="Y1004" s="614"/>
      <c r="Z1004" s="614"/>
      <c r="AA1004" s="614"/>
      <c r="AB1004" s="614"/>
      <c r="AC1004" s="614"/>
      <c r="AJ1004" s="614"/>
      <c r="AK1004" s="614"/>
      <c r="AL1004" s="614"/>
      <c r="AM1004" s="614"/>
      <c r="AN1004" s="614"/>
      <c r="AO1004" s="614"/>
      <c r="AP1004" s="616"/>
      <c r="AQ1004" s="616"/>
      <c r="AR1004" s="616"/>
      <c r="AS1004" s="614"/>
      <c r="AT1004" s="614"/>
      <c r="AU1004" s="614"/>
      <c r="AV1004" s="614"/>
      <c r="AW1004" s="614"/>
      <c r="AX1004" s="614"/>
    </row>
    <row r="1005" spans="1:50" x14ac:dyDescent="0.25">
      <c r="A1005" s="612"/>
      <c r="B1005" s="612"/>
      <c r="C1005" s="613"/>
      <c r="D1005" s="612"/>
      <c r="E1005" s="612"/>
      <c r="F1005" s="613"/>
      <c r="G1005" s="612"/>
      <c r="H1005" s="612"/>
      <c r="I1005" s="735"/>
      <c r="J1005" s="612"/>
      <c r="K1005" s="613"/>
      <c r="L1005" s="614"/>
      <c r="M1005" s="614"/>
      <c r="N1005" s="614"/>
      <c r="O1005" s="614"/>
      <c r="P1005" s="614"/>
      <c r="Q1005" s="614"/>
      <c r="R1005" s="614"/>
      <c r="S1005" s="614"/>
      <c r="T1005" s="614"/>
      <c r="U1005" s="614"/>
      <c r="V1005" s="614"/>
      <c r="W1005" s="614"/>
      <c r="X1005" s="614"/>
      <c r="Y1005" s="614"/>
      <c r="Z1005" s="614"/>
      <c r="AA1005" s="614"/>
      <c r="AB1005" s="614"/>
      <c r="AC1005" s="614"/>
      <c r="AJ1005" s="614"/>
      <c r="AK1005" s="614"/>
      <c r="AL1005" s="614"/>
      <c r="AM1005" s="614"/>
      <c r="AN1005" s="614"/>
      <c r="AO1005" s="614"/>
      <c r="AP1005" s="616"/>
      <c r="AQ1005" s="616"/>
      <c r="AR1005" s="616"/>
      <c r="AS1005" s="614"/>
      <c r="AT1005" s="614"/>
      <c r="AU1005" s="614"/>
      <c r="AV1005" s="614"/>
      <c r="AW1005" s="614"/>
      <c r="AX1005" s="614"/>
    </row>
    <row r="1006" spans="1:50" x14ac:dyDescent="0.25">
      <c r="A1006" s="612"/>
      <c r="B1006" s="612"/>
      <c r="C1006" s="613"/>
      <c r="D1006" s="612"/>
      <c r="E1006" s="612"/>
      <c r="F1006" s="613"/>
      <c r="G1006" s="612"/>
      <c r="H1006" s="612"/>
      <c r="I1006" s="735"/>
      <c r="J1006" s="612"/>
      <c r="K1006" s="613"/>
      <c r="L1006" s="614"/>
      <c r="M1006" s="614"/>
      <c r="N1006" s="614"/>
      <c r="O1006" s="614"/>
      <c r="P1006" s="614"/>
      <c r="Q1006" s="614"/>
      <c r="R1006" s="614"/>
      <c r="S1006" s="614"/>
      <c r="T1006" s="614"/>
      <c r="U1006" s="614"/>
      <c r="V1006" s="614"/>
      <c r="W1006" s="614"/>
      <c r="X1006" s="614"/>
      <c r="Y1006" s="614"/>
      <c r="Z1006" s="614"/>
      <c r="AA1006" s="614"/>
      <c r="AB1006" s="614"/>
      <c r="AC1006" s="614"/>
      <c r="AJ1006" s="614"/>
      <c r="AK1006" s="614"/>
      <c r="AL1006" s="614"/>
      <c r="AM1006" s="614"/>
      <c r="AN1006" s="614"/>
      <c r="AO1006" s="614"/>
      <c r="AP1006" s="616"/>
      <c r="AQ1006" s="616"/>
      <c r="AR1006" s="616"/>
      <c r="AS1006" s="614"/>
      <c r="AT1006" s="614"/>
      <c r="AU1006" s="614"/>
      <c r="AV1006" s="614"/>
      <c r="AW1006" s="614"/>
      <c r="AX1006" s="614"/>
    </row>
    <row r="1007" spans="1:50" x14ac:dyDescent="0.25">
      <c r="A1007" s="612"/>
      <c r="B1007" s="612"/>
      <c r="C1007" s="613"/>
      <c r="D1007" s="612"/>
      <c r="E1007" s="612"/>
      <c r="F1007" s="613"/>
      <c r="G1007" s="612"/>
      <c r="H1007" s="612"/>
      <c r="I1007" s="735"/>
      <c r="J1007" s="612"/>
      <c r="K1007" s="613"/>
      <c r="L1007" s="614"/>
      <c r="M1007" s="614"/>
      <c r="N1007" s="614"/>
      <c r="O1007" s="614"/>
      <c r="P1007" s="614"/>
      <c r="Q1007" s="614"/>
      <c r="R1007" s="614"/>
      <c r="S1007" s="614"/>
      <c r="T1007" s="614"/>
      <c r="U1007" s="614"/>
      <c r="V1007" s="614"/>
      <c r="W1007" s="614"/>
      <c r="X1007" s="614"/>
      <c r="Y1007" s="614"/>
      <c r="Z1007" s="614"/>
      <c r="AA1007" s="614"/>
      <c r="AB1007" s="614"/>
      <c r="AC1007" s="614"/>
      <c r="AJ1007" s="614"/>
      <c r="AK1007" s="614"/>
      <c r="AL1007" s="614"/>
      <c r="AM1007" s="614"/>
      <c r="AN1007" s="614"/>
      <c r="AO1007" s="614"/>
      <c r="AP1007" s="616"/>
      <c r="AQ1007" s="616"/>
      <c r="AR1007" s="616"/>
      <c r="AS1007" s="614"/>
      <c r="AT1007" s="614"/>
      <c r="AU1007" s="614"/>
      <c r="AV1007" s="614"/>
      <c r="AW1007" s="614"/>
      <c r="AX1007" s="614"/>
    </row>
    <row r="1008" spans="1:50" x14ac:dyDescent="0.25">
      <c r="A1008" s="612"/>
      <c r="B1008" s="612"/>
      <c r="C1008" s="613"/>
      <c r="D1008" s="612"/>
      <c r="E1008" s="612"/>
      <c r="F1008" s="613"/>
      <c r="G1008" s="612"/>
      <c r="H1008" s="612"/>
      <c r="I1008" s="735"/>
      <c r="J1008" s="612"/>
      <c r="K1008" s="613"/>
      <c r="L1008" s="614"/>
      <c r="M1008" s="614"/>
      <c r="N1008" s="614"/>
      <c r="O1008" s="614"/>
      <c r="P1008" s="614"/>
      <c r="Q1008" s="614"/>
      <c r="R1008" s="614"/>
      <c r="S1008" s="614"/>
      <c r="T1008" s="614"/>
      <c r="U1008" s="614"/>
      <c r="V1008" s="614"/>
      <c r="W1008" s="614"/>
      <c r="X1008" s="614"/>
      <c r="Y1008" s="614"/>
      <c r="Z1008" s="614"/>
      <c r="AA1008" s="614"/>
      <c r="AB1008" s="614"/>
      <c r="AC1008" s="614"/>
      <c r="AJ1008" s="614"/>
      <c r="AK1008" s="614"/>
      <c r="AL1008" s="614"/>
      <c r="AM1008" s="614"/>
      <c r="AN1008" s="614"/>
      <c r="AO1008" s="614"/>
      <c r="AP1008" s="616"/>
      <c r="AQ1008" s="616"/>
      <c r="AR1008" s="616"/>
      <c r="AS1008" s="614"/>
      <c r="AT1008" s="614"/>
      <c r="AU1008" s="614"/>
      <c r="AV1008" s="614"/>
      <c r="AW1008" s="614"/>
      <c r="AX1008" s="614"/>
    </row>
    <row r="1009" spans="1:50" x14ac:dyDescent="0.25">
      <c r="A1009" s="612"/>
      <c r="B1009" s="612"/>
      <c r="C1009" s="613"/>
      <c r="D1009" s="612"/>
      <c r="E1009" s="612"/>
      <c r="F1009" s="613"/>
      <c r="G1009" s="612"/>
      <c r="H1009" s="612"/>
      <c r="I1009" s="735"/>
      <c r="J1009" s="612"/>
      <c r="K1009" s="613"/>
      <c r="L1009" s="614"/>
      <c r="M1009" s="614"/>
      <c r="N1009" s="614"/>
      <c r="O1009" s="614"/>
      <c r="P1009" s="614"/>
      <c r="Q1009" s="614"/>
      <c r="R1009" s="614"/>
      <c r="S1009" s="614"/>
      <c r="T1009" s="614"/>
      <c r="U1009" s="614"/>
      <c r="V1009" s="614"/>
      <c r="W1009" s="614"/>
      <c r="X1009" s="614"/>
      <c r="Y1009" s="614"/>
      <c r="Z1009" s="614"/>
      <c r="AA1009" s="614"/>
      <c r="AB1009" s="614"/>
      <c r="AC1009" s="614"/>
      <c r="AJ1009" s="614"/>
      <c r="AK1009" s="614"/>
      <c r="AL1009" s="614"/>
      <c r="AM1009" s="614"/>
      <c r="AN1009" s="614"/>
      <c r="AO1009" s="614"/>
      <c r="AP1009" s="616"/>
      <c r="AQ1009" s="616"/>
      <c r="AR1009" s="616"/>
      <c r="AS1009" s="614"/>
      <c r="AT1009" s="614"/>
      <c r="AU1009" s="614"/>
      <c r="AV1009" s="614"/>
      <c r="AW1009" s="614"/>
      <c r="AX1009" s="614"/>
    </row>
    <row r="1010" spans="1:50" x14ac:dyDescent="0.25">
      <c r="A1010" s="612"/>
      <c r="B1010" s="612"/>
      <c r="C1010" s="613"/>
      <c r="D1010" s="612"/>
      <c r="E1010" s="612"/>
      <c r="F1010" s="613"/>
      <c r="G1010" s="612"/>
      <c r="H1010" s="612"/>
      <c r="I1010" s="735"/>
      <c r="J1010" s="612"/>
      <c r="K1010" s="613"/>
      <c r="L1010" s="614"/>
      <c r="M1010" s="614"/>
      <c r="N1010" s="614"/>
      <c r="O1010" s="614"/>
      <c r="P1010" s="614"/>
      <c r="Q1010" s="614"/>
      <c r="R1010" s="614"/>
      <c r="S1010" s="614"/>
      <c r="T1010" s="614"/>
      <c r="U1010" s="614"/>
      <c r="V1010" s="614"/>
      <c r="W1010" s="614"/>
      <c r="X1010" s="614"/>
      <c r="Y1010" s="614"/>
      <c r="Z1010" s="614"/>
      <c r="AA1010" s="614"/>
      <c r="AB1010" s="614"/>
      <c r="AC1010" s="614"/>
      <c r="AJ1010" s="614"/>
      <c r="AK1010" s="614"/>
      <c r="AL1010" s="614"/>
      <c r="AM1010" s="614"/>
      <c r="AN1010" s="614"/>
      <c r="AO1010" s="614"/>
      <c r="AP1010" s="616"/>
      <c r="AQ1010" s="616"/>
      <c r="AR1010" s="616"/>
      <c r="AS1010" s="614"/>
      <c r="AT1010" s="614"/>
      <c r="AU1010" s="614"/>
      <c r="AV1010" s="614"/>
      <c r="AW1010" s="614"/>
      <c r="AX1010" s="614"/>
    </row>
    <row r="1011" spans="1:50" x14ac:dyDescent="0.25">
      <c r="A1011" s="612"/>
      <c r="B1011" s="612"/>
      <c r="C1011" s="613"/>
      <c r="D1011" s="612"/>
      <c r="E1011" s="612"/>
      <c r="F1011" s="613"/>
      <c r="G1011" s="612"/>
      <c r="H1011" s="612"/>
      <c r="I1011" s="735"/>
      <c r="J1011" s="612"/>
      <c r="K1011" s="613"/>
      <c r="L1011" s="614"/>
      <c r="M1011" s="614"/>
      <c r="N1011" s="614"/>
      <c r="O1011" s="614"/>
      <c r="P1011" s="614"/>
      <c r="Q1011" s="614"/>
      <c r="R1011" s="614"/>
      <c r="S1011" s="614"/>
      <c r="T1011" s="614"/>
      <c r="U1011" s="614"/>
      <c r="V1011" s="614"/>
      <c r="W1011" s="614"/>
      <c r="X1011" s="614"/>
      <c r="Y1011" s="614"/>
      <c r="Z1011" s="614"/>
      <c r="AA1011" s="614"/>
      <c r="AB1011" s="614"/>
      <c r="AC1011" s="614"/>
      <c r="AJ1011" s="614"/>
      <c r="AK1011" s="614"/>
      <c r="AL1011" s="614"/>
      <c r="AM1011" s="614"/>
      <c r="AN1011" s="614"/>
      <c r="AO1011" s="614"/>
      <c r="AP1011" s="616"/>
      <c r="AQ1011" s="616"/>
      <c r="AR1011" s="616"/>
      <c r="AS1011" s="614"/>
      <c r="AT1011" s="614"/>
      <c r="AU1011" s="614"/>
      <c r="AV1011" s="614"/>
      <c r="AW1011" s="614"/>
      <c r="AX1011" s="614"/>
    </row>
    <row r="1012" spans="1:50" x14ac:dyDescent="0.25">
      <c r="A1012" s="612"/>
      <c r="B1012" s="612"/>
      <c r="C1012" s="613"/>
      <c r="D1012" s="612"/>
      <c r="E1012" s="612"/>
      <c r="F1012" s="613"/>
      <c r="G1012" s="612"/>
      <c r="H1012" s="612"/>
      <c r="I1012" s="735"/>
      <c r="J1012" s="612"/>
      <c r="K1012" s="613"/>
      <c r="L1012" s="614"/>
      <c r="M1012" s="614"/>
      <c r="N1012" s="614"/>
      <c r="O1012" s="614"/>
      <c r="P1012" s="614"/>
      <c r="Q1012" s="614"/>
      <c r="R1012" s="614"/>
      <c r="S1012" s="614"/>
      <c r="T1012" s="614"/>
      <c r="U1012" s="614"/>
      <c r="V1012" s="614"/>
      <c r="W1012" s="614"/>
      <c r="X1012" s="614"/>
      <c r="Y1012" s="614"/>
      <c r="Z1012" s="614"/>
      <c r="AA1012" s="614"/>
      <c r="AB1012" s="614"/>
      <c r="AC1012" s="614"/>
      <c r="AJ1012" s="614"/>
      <c r="AK1012" s="614"/>
      <c r="AL1012" s="614"/>
      <c r="AM1012" s="614"/>
      <c r="AN1012" s="614"/>
      <c r="AO1012" s="614"/>
      <c r="AP1012" s="616"/>
      <c r="AQ1012" s="616"/>
      <c r="AR1012" s="616"/>
      <c r="AS1012" s="614"/>
      <c r="AT1012" s="614"/>
      <c r="AU1012" s="614"/>
      <c r="AV1012" s="614"/>
      <c r="AW1012" s="614"/>
      <c r="AX1012" s="614"/>
    </row>
    <row r="1013" spans="1:50" x14ac:dyDescent="0.25">
      <c r="A1013" s="612"/>
      <c r="B1013" s="612"/>
      <c r="C1013" s="613"/>
      <c r="D1013" s="612"/>
      <c r="E1013" s="612"/>
      <c r="F1013" s="613"/>
      <c r="G1013" s="612"/>
      <c r="H1013" s="612"/>
      <c r="I1013" s="735"/>
      <c r="J1013" s="612"/>
      <c r="K1013" s="613"/>
      <c r="L1013" s="614"/>
      <c r="M1013" s="614"/>
      <c r="N1013" s="614"/>
      <c r="O1013" s="614"/>
      <c r="P1013" s="614"/>
      <c r="Q1013" s="614"/>
      <c r="R1013" s="614"/>
      <c r="S1013" s="614"/>
      <c r="T1013" s="614"/>
      <c r="U1013" s="614"/>
      <c r="V1013" s="614"/>
      <c r="W1013" s="614"/>
      <c r="X1013" s="614"/>
      <c r="Y1013" s="614"/>
      <c r="Z1013" s="614"/>
      <c r="AA1013" s="614"/>
      <c r="AB1013" s="614"/>
      <c r="AC1013" s="614"/>
      <c r="AJ1013" s="614"/>
      <c r="AK1013" s="614"/>
      <c r="AL1013" s="614"/>
      <c r="AM1013" s="614"/>
      <c r="AN1013" s="614"/>
      <c r="AO1013" s="614"/>
      <c r="AP1013" s="616"/>
      <c r="AQ1013" s="616"/>
      <c r="AR1013" s="616"/>
      <c r="AS1013" s="614"/>
      <c r="AT1013" s="614"/>
      <c r="AU1013" s="614"/>
      <c r="AV1013" s="614"/>
      <c r="AW1013" s="614"/>
      <c r="AX1013" s="614"/>
    </row>
    <row r="1014" spans="1:50" x14ac:dyDescent="0.25">
      <c r="A1014" s="612"/>
      <c r="B1014" s="612"/>
      <c r="C1014" s="613"/>
      <c r="D1014" s="612"/>
      <c r="E1014" s="612"/>
      <c r="F1014" s="613"/>
      <c r="G1014" s="612"/>
      <c r="H1014" s="612"/>
      <c r="I1014" s="735"/>
      <c r="J1014" s="612"/>
      <c r="K1014" s="613"/>
      <c r="L1014" s="614"/>
      <c r="M1014" s="614"/>
      <c r="N1014" s="614"/>
      <c r="O1014" s="614"/>
      <c r="P1014" s="614"/>
      <c r="Q1014" s="614"/>
      <c r="R1014" s="614"/>
      <c r="S1014" s="614"/>
      <c r="T1014" s="614"/>
      <c r="U1014" s="614"/>
      <c r="V1014" s="614"/>
      <c r="W1014" s="614"/>
      <c r="X1014" s="614"/>
      <c r="Y1014" s="614"/>
      <c r="Z1014" s="614"/>
      <c r="AA1014" s="614"/>
      <c r="AB1014" s="614"/>
      <c r="AC1014" s="614"/>
      <c r="AJ1014" s="614"/>
      <c r="AK1014" s="614"/>
      <c r="AL1014" s="614"/>
      <c r="AM1014" s="614"/>
      <c r="AN1014" s="614"/>
      <c r="AO1014" s="614"/>
      <c r="AP1014" s="616"/>
      <c r="AQ1014" s="616"/>
      <c r="AR1014" s="616"/>
      <c r="AS1014" s="614"/>
      <c r="AT1014" s="614"/>
      <c r="AU1014" s="614"/>
      <c r="AV1014" s="614"/>
      <c r="AW1014" s="614"/>
      <c r="AX1014" s="614"/>
    </row>
    <row r="1015" spans="1:50" x14ac:dyDescent="0.25">
      <c r="A1015" s="612"/>
      <c r="B1015" s="612"/>
      <c r="C1015" s="613"/>
      <c r="D1015" s="612"/>
      <c r="E1015" s="612"/>
      <c r="F1015" s="613"/>
      <c r="G1015" s="612"/>
      <c r="H1015" s="612"/>
      <c r="I1015" s="735"/>
      <c r="J1015" s="612"/>
      <c r="K1015" s="613"/>
      <c r="L1015" s="614"/>
      <c r="M1015" s="614"/>
      <c r="N1015" s="614"/>
      <c r="O1015" s="614"/>
      <c r="P1015" s="614"/>
      <c r="Q1015" s="614"/>
      <c r="R1015" s="614"/>
      <c r="S1015" s="614"/>
      <c r="T1015" s="614"/>
      <c r="U1015" s="614"/>
      <c r="V1015" s="614"/>
      <c r="W1015" s="614"/>
      <c r="X1015" s="614"/>
      <c r="Y1015" s="614"/>
      <c r="Z1015" s="614"/>
      <c r="AA1015" s="614"/>
      <c r="AB1015" s="614"/>
      <c r="AC1015" s="614"/>
      <c r="AJ1015" s="614"/>
      <c r="AK1015" s="614"/>
      <c r="AL1015" s="614"/>
      <c r="AM1015" s="614"/>
      <c r="AN1015" s="614"/>
      <c r="AO1015" s="614"/>
      <c r="AP1015" s="616"/>
      <c r="AQ1015" s="616"/>
      <c r="AR1015" s="616"/>
      <c r="AS1015" s="614"/>
      <c r="AT1015" s="614"/>
      <c r="AU1015" s="614"/>
      <c r="AV1015" s="614"/>
      <c r="AW1015" s="614"/>
      <c r="AX1015" s="614"/>
    </row>
    <row r="1016" spans="1:50" x14ac:dyDescent="0.25">
      <c r="A1016" s="612"/>
      <c r="B1016" s="612"/>
      <c r="C1016" s="613"/>
      <c r="D1016" s="612"/>
      <c r="E1016" s="612"/>
      <c r="F1016" s="613"/>
      <c r="G1016" s="612"/>
      <c r="H1016" s="612"/>
      <c r="I1016" s="735"/>
      <c r="J1016" s="612"/>
      <c r="K1016" s="613"/>
      <c r="L1016" s="614"/>
      <c r="M1016" s="614"/>
      <c r="N1016" s="614"/>
      <c r="O1016" s="614"/>
      <c r="P1016" s="614"/>
      <c r="Q1016" s="614"/>
      <c r="R1016" s="614"/>
      <c r="S1016" s="614"/>
      <c r="T1016" s="614"/>
      <c r="U1016" s="614"/>
      <c r="V1016" s="614"/>
      <c r="W1016" s="614"/>
      <c r="X1016" s="614"/>
      <c r="Y1016" s="614"/>
      <c r="Z1016" s="614"/>
      <c r="AA1016" s="614"/>
      <c r="AB1016" s="614"/>
      <c r="AC1016" s="614"/>
      <c r="AJ1016" s="614"/>
      <c r="AK1016" s="614"/>
      <c r="AL1016" s="614"/>
      <c r="AM1016" s="614"/>
      <c r="AN1016" s="614"/>
      <c r="AO1016" s="614"/>
      <c r="AP1016" s="616"/>
      <c r="AQ1016" s="616"/>
      <c r="AR1016" s="616"/>
      <c r="AS1016" s="614"/>
      <c r="AT1016" s="614"/>
      <c r="AU1016" s="614"/>
      <c r="AV1016" s="614"/>
      <c r="AW1016" s="614"/>
      <c r="AX1016" s="614"/>
    </row>
    <row r="1017" spans="1:50" x14ac:dyDescent="0.25">
      <c r="A1017" s="612"/>
      <c r="B1017" s="612"/>
      <c r="C1017" s="613"/>
      <c r="D1017" s="612"/>
      <c r="E1017" s="612"/>
      <c r="F1017" s="613"/>
      <c r="G1017" s="612"/>
      <c r="H1017" s="612"/>
      <c r="I1017" s="735"/>
      <c r="J1017" s="612"/>
      <c r="K1017" s="613"/>
      <c r="L1017" s="614"/>
      <c r="M1017" s="614"/>
      <c r="N1017" s="614"/>
      <c r="O1017" s="614"/>
      <c r="P1017" s="614"/>
      <c r="Q1017" s="614"/>
      <c r="R1017" s="614"/>
      <c r="S1017" s="614"/>
      <c r="T1017" s="614"/>
      <c r="U1017" s="614"/>
      <c r="V1017" s="614"/>
      <c r="W1017" s="614"/>
      <c r="X1017" s="614"/>
      <c r="Y1017" s="614"/>
      <c r="Z1017" s="614"/>
      <c r="AA1017" s="614"/>
      <c r="AB1017" s="614"/>
      <c r="AC1017" s="614"/>
      <c r="AJ1017" s="614"/>
      <c r="AK1017" s="614"/>
      <c r="AL1017" s="614"/>
      <c r="AM1017" s="614"/>
      <c r="AN1017" s="614"/>
      <c r="AO1017" s="614"/>
      <c r="AP1017" s="616"/>
      <c r="AQ1017" s="616"/>
      <c r="AR1017" s="616"/>
      <c r="AS1017" s="614"/>
      <c r="AT1017" s="614"/>
      <c r="AU1017" s="614"/>
      <c r="AV1017" s="614"/>
      <c r="AW1017" s="614"/>
      <c r="AX1017" s="614"/>
    </row>
    <row r="1018" spans="1:50" x14ac:dyDescent="0.25">
      <c r="A1018" s="612"/>
      <c r="B1018" s="612"/>
      <c r="C1018" s="613"/>
      <c r="D1018" s="612"/>
      <c r="E1018" s="612"/>
      <c r="F1018" s="613"/>
      <c r="G1018" s="612"/>
      <c r="H1018" s="612"/>
      <c r="I1018" s="735"/>
      <c r="J1018" s="612"/>
      <c r="K1018" s="613"/>
      <c r="L1018" s="614"/>
      <c r="M1018" s="614"/>
      <c r="N1018" s="614"/>
      <c r="O1018" s="614"/>
      <c r="P1018" s="614"/>
      <c r="Q1018" s="614"/>
      <c r="R1018" s="614"/>
      <c r="S1018" s="614"/>
      <c r="T1018" s="614"/>
      <c r="U1018" s="614"/>
      <c r="V1018" s="614"/>
      <c r="W1018" s="614"/>
      <c r="X1018" s="614"/>
      <c r="Y1018" s="614"/>
      <c r="Z1018" s="614"/>
      <c r="AA1018" s="614"/>
      <c r="AB1018" s="614"/>
      <c r="AC1018" s="614"/>
      <c r="AJ1018" s="614"/>
      <c r="AK1018" s="614"/>
      <c r="AL1018" s="614"/>
      <c r="AM1018" s="614"/>
      <c r="AN1018" s="614"/>
      <c r="AO1018" s="614"/>
      <c r="AP1018" s="616"/>
      <c r="AQ1018" s="616"/>
      <c r="AR1018" s="616"/>
      <c r="AS1018" s="614"/>
      <c r="AT1018" s="614"/>
      <c r="AU1018" s="614"/>
      <c r="AV1018" s="614"/>
      <c r="AW1018" s="614"/>
      <c r="AX1018" s="614"/>
    </row>
    <row r="1019" spans="1:50" x14ac:dyDescent="0.25">
      <c r="A1019" s="612"/>
      <c r="B1019" s="612"/>
      <c r="C1019" s="613"/>
      <c r="D1019" s="612"/>
      <c r="E1019" s="612"/>
      <c r="F1019" s="613"/>
      <c r="G1019" s="612"/>
      <c r="H1019" s="612"/>
      <c r="I1019" s="735"/>
      <c r="J1019" s="612"/>
      <c r="K1019" s="613"/>
      <c r="L1019" s="614"/>
      <c r="M1019" s="614"/>
      <c r="N1019" s="614"/>
      <c r="O1019" s="614"/>
      <c r="P1019" s="614"/>
      <c r="Q1019" s="614"/>
      <c r="R1019" s="614"/>
      <c r="S1019" s="614"/>
      <c r="T1019" s="614"/>
      <c r="U1019" s="614"/>
      <c r="V1019" s="614"/>
      <c r="W1019" s="614"/>
      <c r="X1019" s="614"/>
      <c r="Y1019" s="614"/>
      <c r="Z1019" s="614"/>
      <c r="AA1019" s="614"/>
      <c r="AB1019" s="614"/>
      <c r="AC1019" s="614"/>
      <c r="AJ1019" s="614"/>
      <c r="AK1019" s="614"/>
      <c r="AL1019" s="614"/>
      <c r="AM1019" s="614"/>
      <c r="AN1019" s="614"/>
      <c r="AO1019" s="614"/>
      <c r="AP1019" s="616"/>
      <c r="AQ1019" s="616"/>
      <c r="AR1019" s="616"/>
      <c r="AS1019" s="614"/>
      <c r="AT1019" s="614"/>
      <c r="AU1019" s="614"/>
      <c r="AV1019" s="614"/>
      <c r="AW1019" s="614"/>
      <c r="AX1019" s="614"/>
    </row>
    <row r="1020" spans="1:50" x14ac:dyDescent="0.25">
      <c r="A1020" s="612"/>
      <c r="B1020" s="612"/>
      <c r="C1020" s="613"/>
      <c r="D1020" s="612"/>
      <c r="E1020" s="612"/>
      <c r="F1020" s="613"/>
      <c r="G1020" s="612"/>
      <c r="H1020" s="612"/>
      <c r="I1020" s="735"/>
      <c r="J1020" s="612"/>
      <c r="K1020" s="613"/>
      <c r="L1020" s="614"/>
      <c r="M1020" s="614"/>
      <c r="N1020" s="614"/>
      <c r="O1020" s="614"/>
      <c r="P1020" s="614"/>
      <c r="Q1020" s="614"/>
      <c r="R1020" s="614"/>
      <c r="S1020" s="614"/>
      <c r="T1020" s="614"/>
      <c r="U1020" s="614"/>
      <c r="V1020" s="614"/>
      <c r="W1020" s="614"/>
      <c r="X1020" s="614"/>
      <c r="Y1020" s="614"/>
      <c r="Z1020" s="614"/>
      <c r="AA1020" s="614"/>
      <c r="AB1020" s="614"/>
      <c r="AC1020" s="614"/>
      <c r="AJ1020" s="614"/>
      <c r="AK1020" s="614"/>
      <c r="AL1020" s="614"/>
      <c r="AM1020" s="614"/>
      <c r="AN1020" s="614"/>
      <c r="AO1020" s="614"/>
      <c r="AP1020" s="616"/>
      <c r="AQ1020" s="616"/>
      <c r="AR1020" s="616"/>
      <c r="AS1020" s="614"/>
      <c r="AT1020" s="614"/>
      <c r="AU1020" s="614"/>
      <c r="AV1020" s="614"/>
      <c r="AW1020" s="614"/>
      <c r="AX1020" s="614"/>
    </row>
    <row r="1021" spans="1:50" x14ac:dyDescent="0.25">
      <c r="A1021" s="612"/>
      <c r="B1021" s="612"/>
      <c r="C1021" s="613"/>
      <c r="D1021" s="612"/>
      <c r="E1021" s="612"/>
      <c r="F1021" s="613"/>
      <c r="G1021" s="612"/>
      <c r="H1021" s="612"/>
      <c r="I1021" s="735"/>
      <c r="J1021" s="612"/>
      <c r="K1021" s="613"/>
      <c r="L1021" s="614"/>
      <c r="M1021" s="614"/>
      <c r="N1021" s="614"/>
      <c r="O1021" s="614"/>
      <c r="P1021" s="614"/>
      <c r="Q1021" s="614"/>
      <c r="R1021" s="614"/>
      <c r="S1021" s="614"/>
      <c r="T1021" s="614"/>
      <c r="U1021" s="614"/>
      <c r="V1021" s="614"/>
      <c r="W1021" s="614"/>
      <c r="X1021" s="614"/>
      <c r="Y1021" s="614"/>
      <c r="Z1021" s="614"/>
      <c r="AA1021" s="614"/>
      <c r="AB1021" s="614"/>
      <c r="AC1021" s="614"/>
      <c r="AJ1021" s="614"/>
      <c r="AK1021" s="614"/>
      <c r="AL1021" s="614"/>
      <c r="AM1021" s="614"/>
      <c r="AN1021" s="614"/>
      <c r="AO1021" s="614"/>
      <c r="AP1021" s="616"/>
      <c r="AQ1021" s="616"/>
      <c r="AR1021" s="616"/>
      <c r="AS1021" s="614"/>
      <c r="AT1021" s="614"/>
      <c r="AU1021" s="614"/>
      <c r="AV1021" s="614"/>
      <c r="AW1021" s="614"/>
      <c r="AX1021" s="614"/>
    </row>
    <row r="1022" spans="1:50" x14ac:dyDescent="0.25">
      <c r="A1022" s="612"/>
      <c r="B1022" s="612"/>
      <c r="C1022" s="613"/>
      <c r="D1022" s="612"/>
      <c r="E1022" s="612"/>
      <c r="F1022" s="613"/>
      <c r="G1022" s="612"/>
      <c r="H1022" s="612"/>
      <c r="I1022" s="735"/>
      <c r="J1022" s="612"/>
      <c r="K1022" s="613"/>
      <c r="L1022" s="614"/>
      <c r="M1022" s="614"/>
      <c r="N1022" s="614"/>
      <c r="O1022" s="614"/>
      <c r="P1022" s="614"/>
      <c r="Q1022" s="614"/>
      <c r="R1022" s="614"/>
      <c r="S1022" s="614"/>
      <c r="T1022" s="614"/>
      <c r="U1022" s="614"/>
      <c r="V1022" s="614"/>
      <c r="W1022" s="614"/>
      <c r="X1022" s="614"/>
      <c r="Y1022" s="614"/>
      <c r="Z1022" s="614"/>
      <c r="AA1022" s="614"/>
      <c r="AB1022" s="614"/>
      <c r="AC1022" s="614"/>
      <c r="AJ1022" s="614"/>
      <c r="AK1022" s="614"/>
      <c r="AL1022" s="614"/>
      <c r="AM1022" s="614"/>
      <c r="AN1022" s="614"/>
      <c r="AO1022" s="614"/>
      <c r="AP1022" s="616"/>
      <c r="AQ1022" s="616"/>
      <c r="AR1022" s="616"/>
      <c r="AS1022" s="614"/>
      <c r="AT1022" s="614"/>
      <c r="AU1022" s="614"/>
      <c r="AV1022" s="614"/>
      <c r="AW1022" s="614"/>
      <c r="AX1022" s="614"/>
    </row>
    <row r="1023" spans="1:50" x14ac:dyDescent="0.25">
      <c r="A1023" s="612"/>
      <c r="B1023" s="612"/>
      <c r="C1023" s="613"/>
      <c r="D1023" s="612"/>
      <c r="E1023" s="612"/>
      <c r="F1023" s="613"/>
      <c r="G1023" s="612"/>
      <c r="H1023" s="612"/>
      <c r="I1023" s="735"/>
      <c r="J1023" s="612"/>
      <c r="K1023" s="613"/>
      <c r="L1023" s="614"/>
      <c r="M1023" s="614"/>
      <c r="N1023" s="614"/>
      <c r="O1023" s="614"/>
      <c r="P1023" s="614"/>
      <c r="Q1023" s="614"/>
      <c r="R1023" s="614"/>
      <c r="S1023" s="614"/>
      <c r="T1023" s="614"/>
      <c r="U1023" s="614"/>
      <c r="V1023" s="614"/>
      <c r="W1023" s="614"/>
      <c r="X1023" s="614"/>
      <c r="Y1023" s="614"/>
      <c r="Z1023" s="614"/>
      <c r="AA1023" s="614"/>
      <c r="AB1023" s="614"/>
      <c r="AC1023" s="614"/>
      <c r="AJ1023" s="614"/>
      <c r="AK1023" s="614"/>
      <c r="AL1023" s="614"/>
      <c r="AM1023" s="614"/>
      <c r="AN1023" s="614"/>
      <c r="AO1023" s="614"/>
      <c r="AP1023" s="616"/>
      <c r="AQ1023" s="616"/>
      <c r="AR1023" s="616"/>
      <c r="AS1023" s="614"/>
      <c r="AT1023" s="614"/>
      <c r="AU1023" s="614"/>
      <c r="AV1023" s="614"/>
      <c r="AW1023" s="614"/>
      <c r="AX1023" s="614"/>
    </row>
    <row r="1024" spans="1:50" x14ac:dyDescent="0.25">
      <c r="A1024" s="612"/>
      <c r="B1024" s="612"/>
      <c r="C1024" s="613"/>
      <c r="D1024" s="612"/>
      <c r="E1024" s="612"/>
      <c r="F1024" s="613"/>
      <c r="G1024" s="612"/>
      <c r="H1024" s="612"/>
      <c r="I1024" s="735"/>
      <c r="J1024" s="612"/>
      <c r="K1024" s="613"/>
      <c r="L1024" s="614"/>
      <c r="M1024" s="614"/>
      <c r="N1024" s="614"/>
      <c r="O1024" s="614"/>
      <c r="P1024" s="614"/>
      <c r="Q1024" s="614"/>
      <c r="R1024" s="614"/>
      <c r="S1024" s="614"/>
      <c r="T1024" s="614"/>
      <c r="U1024" s="614"/>
      <c r="V1024" s="614"/>
      <c r="W1024" s="614"/>
      <c r="X1024" s="614"/>
      <c r="Y1024" s="614"/>
      <c r="Z1024" s="614"/>
      <c r="AA1024" s="614"/>
      <c r="AB1024" s="614"/>
      <c r="AC1024" s="614"/>
      <c r="AJ1024" s="614"/>
      <c r="AK1024" s="614"/>
      <c r="AL1024" s="614"/>
      <c r="AM1024" s="614"/>
      <c r="AN1024" s="614"/>
      <c r="AO1024" s="614"/>
      <c r="AP1024" s="616"/>
      <c r="AQ1024" s="616"/>
      <c r="AR1024" s="616"/>
      <c r="AS1024" s="614"/>
      <c r="AT1024" s="614"/>
      <c r="AU1024" s="614"/>
      <c r="AV1024" s="614"/>
      <c r="AW1024" s="614"/>
      <c r="AX1024" s="614"/>
    </row>
    <row r="1025" spans="1:50" x14ac:dyDescent="0.25">
      <c r="A1025" s="612"/>
      <c r="B1025" s="612"/>
      <c r="C1025" s="613"/>
      <c r="D1025" s="612"/>
      <c r="E1025" s="612"/>
      <c r="F1025" s="613"/>
      <c r="G1025" s="612"/>
      <c r="H1025" s="612"/>
      <c r="I1025" s="735"/>
      <c r="J1025" s="612"/>
      <c r="K1025" s="613"/>
      <c r="L1025" s="614"/>
      <c r="M1025" s="614"/>
      <c r="N1025" s="614"/>
      <c r="O1025" s="614"/>
      <c r="P1025" s="614"/>
      <c r="Q1025" s="614"/>
      <c r="R1025" s="614"/>
      <c r="S1025" s="614"/>
      <c r="T1025" s="614"/>
      <c r="U1025" s="614"/>
      <c r="V1025" s="614"/>
      <c r="W1025" s="614"/>
      <c r="X1025" s="614"/>
      <c r="Y1025" s="614"/>
      <c r="Z1025" s="614"/>
      <c r="AA1025" s="614"/>
      <c r="AB1025" s="614"/>
      <c r="AC1025" s="614"/>
      <c r="AJ1025" s="614"/>
      <c r="AK1025" s="614"/>
      <c r="AL1025" s="614"/>
      <c r="AM1025" s="614"/>
      <c r="AN1025" s="614"/>
      <c r="AO1025" s="614"/>
      <c r="AP1025" s="616"/>
      <c r="AQ1025" s="616"/>
      <c r="AR1025" s="616"/>
      <c r="AS1025" s="614"/>
      <c r="AT1025" s="614"/>
      <c r="AU1025" s="614"/>
      <c r="AV1025" s="614"/>
      <c r="AW1025" s="614"/>
      <c r="AX1025" s="614"/>
    </row>
    <row r="1026" spans="1:50" x14ac:dyDescent="0.25">
      <c r="A1026" s="612"/>
      <c r="B1026" s="612"/>
      <c r="C1026" s="613"/>
      <c r="D1026" s="612"/>
      <c r="E1026" s="612"/>
      <c r="F1026" s="613"/>
      <c r="G1026" s="612"/>
      <c r="H1026" s="612"/>
      <c r="I1026" s="735"/>
      <c r="J1026" s="612"/>
      <c r="K1026" s="613"/>
      <c r="L1026" s="614"/>
      <c r="M1026" s="614"/>
      <c r="N1026" s="614"/>
      <c r="O1026" s="614"/>
      <c r="P1026" s="614"/>
      <c r="Q1026" s="614"/>
      <c r="R1026" s="614"/>
      <c r="S1026" s="614"/>
      <c r="T1026" s="614"/>
      <c r="U1026" s="614"/>
      <c r="V1026" s="614"/>
      <c r="W1026" s="614"/>
      <c r="X1026" s="614"/>
      <c r="Y1026" s="614"/>
      <c r="Z1026" s="614"/>
      <c r="AA1026" s="614"/>
      <c r="AB1026" s="614"/>
      <c r="AC1026" s="614"/>
      <c r="AJ1026" s="614"/>
      <c r="AK1026" s="614"/>
      <c r="AL1026" s="614"/>
      <c r="AM1026" s="614"/>
      <c r="AN1026" s="614"/>
      <c r="AO1026" s="614"/>
      <c r="AP1026" s="616"/>
      <c r="AQ1026" s="616"/>
      <c r="AR1026" s="616"/>
      <c r="AS1026" s="614"/>
      <c r="AT1026" s="614"/>
      <c r="AU1026" s="614"/>
      <c r="AV1026" s="614"/>
      <c r="AW1026" s="614"/>
      <c r="AX1026" s="614"/>
    </row>
    <row r="1027" spans="1:50" x14ac:dyDescent="0.25">
      <c r="A1027" s="612"/>
      <c r="B1027" s="612"/>
      <c r="C1027" s="613"/>
      <c r="D1027" s="612"/>
      <c r="E1027" s="612"/>
      <c r="F1027" s="613"/>
      <c r="G1027" s="612"/>
      <c r="H1027" s="612"/>
      <c r="I1027" s="735"/>
      <c r="J1027" s="612"/>
      <c r="K1027" s="613"/>
      <c r="L1027" s="614"/>
      <c r="M1027" s="614"/>
      <c r="N1027" s="614"/>
      <c r="O1027" s="614"/>
      <c r="P1027" s="614"/>
      <c r="Q1027" s="614"/>
      <c r="R1027" s="614"/>
      <c r="S1027" s="614"/>
      <c r="T1027" s="614"/>
      <c r="U1027" s="614"/>
      <c r="V1027" s="614"/>
      <c r="W1027" s="614"/>
      <c r="X1027" s="614"/>
      <c r="Y1027" s="614"/>
      <c r="Z1027" s="614"/>
      <c r="AA1027" s="614"/>
      <c r="AB1027" s="614"/>
      <c r="AC1027" s="614"/>
      <c r="AJ1027" s="614"/>
      <c r="AK1027" s="614"/>
      <c r="AL1027" s="614"/>
      <c r="AM1027" s="614"/>
      <c r="AN1027" s="614"/>
      <c r="AO1027" s="614"/>
      <c r="AP1027" s="616"/>
      <c r="AQ1027" s="616"/>
      <c r="AR1027" s="616"/>
      <c r="AS1027" s="614"/>
      <c r="AT1027" s="614"/>
      <c r="AU1027" s="614"/>
      <c r="AV1027" s="614"/>
      <c r="AW1027" s="614"/>
      <c r="AX1027" s="614"/>
    </row>
    <row r="1028" spans="1:50" x14ac:dyDescent="0.25">
      <c r="A1028" s="612"/>
      <c r="B1028" s="612"/>
      <c r="C1028" s="613"/>
      <c r="D1028" s="612"/>
      <c r="E1028" s="612"/>
      <c r="F1028" s="613"/>
      <c r="G1028" s="612"/>
      <c r="H1028" s="612"/>
      <c r="I1028" s="735"/>
      <c r="J1028" s="612"/>
      <c r="K1028" s="613"/>
      <c r="L1028" s="614"/>
      <c r="M1028" s="614"/>
      <c r="N1028" s="614"/>
      <c r="O1028" s="614"/>
      <c r="P1028" s="614"/>
      <c r="Q1028" s="614"/>
      <c r="R1028" s="614"/>
      <c r="S1028" s="614"/>
      <c r="T1028" s="614"/>
      <c r="U1028" s="614"/>
      <c r="V1028" s="614"/>
      <c r="W1028" s="614"/>
      <c r="X1028" s="614"/>
      <c r="Y1028" s="614"/>
      <c r="Z1028" s="614"/>
      <c r="AA1028" s="614"/>
      <c r="AB1028" s="614"/>
      <c r="AC1028" s="614"/>
      <c r="AJ1028" s="614"/>
      <c r="AK1028" s="614"/>
      <c r="AL1028" s="614"/>
      <c r="AM1028" s="614"/>
      <c r="AN1028" s="614"/>
      <c r="AO1028" s="614"/>
      <c r="AP1028" s="616"/>
      <c r="AQ1028" s="616"/>
      <c r="AR1028" s="616"/>
      <c r="AS1028" s="614"/>
      <c r="AT1028" s="614"/>
      <c r="AU1028" s="614"/>
      <c r="AV1028" s="614"/>
      <c r="AW1028" s="614"/>
      <c r="AX1028" s="614"/>
    </row>
    <row r="1029" spans="1:50" x14ac:dyDescent="0.25">
      <c r="A1029" s="612"/>
      <c r="B1029" s="612"/>
      <c r="C1029" s="613"/>
      <c r="D1029" s="612"/>
      <c r="E1029" s="612"/>
      <c r="F1029" s="613"/>
      <c r="G1029" s="612"/>
      <c r="H1029" s="612"/>
      <c r="I1029" s="735"/>
      <c r="J1029" s="612"/>
      <c r="K1029" s="613"/>
      <c r="L1029" s="614"/>
      <c r="M1029" s="614"/>
      <c r="N1029" s="614"/>
      <c r="O1029" s="614"/>
      <c r="P1029" s="614"/>
      <c r="Q1029" s="614"/>
      <c r="R1029" s="614"/>
      <c r="S1029" s="614"/>
      <c r="T1029" s="614"/>
      <c r="U1029" s="614"/>
      <c r="V1029" s="614"/>
      <c r="W1029" s="614"/>
      <c r="X1029" s="614"/>
      <c r="Y1029" s="614"/>
      <c r="Z1029" s="614"/>
      <c r="AA1029" s="614"/>
      <c r="AB1029" s="614"/>
      <c r="AC1029" s="614"/>
      <c r="AJ1029" s="614"/>
      <c r="AK1029" s="614"/>
      <c r="AL1029" s="614"/>
      <c r="AM1029" s="614"/>
      <c r="AN1029" s="614"/>
      <c r="AO1029" s="614"/>
      <c r="AP1029" s="616"/>
      <c r="AQ1029" s="616"/>
      <c r="AR1029" s="616"/>
      <c r="AS1029" s="614"/>
      <c r="AT1029" s="614"/>
      <c r="AU1029" s="614"/>
      <c r="AV1029" s="614"/>
      <c r="AW1029" s="614"/>
      <c r="AX1029" s="614"/>
    </row>
    <row r="1030" spans="1:50" x14ac:dyDescent="0.25">
      <c r="A1030" s="612"/>
      <c r="B1030" s="612"/>
      <c r="C1030" s="613"/>
      <c r="D1030" s="612"/>
      <c r="E1030" s="612"/>
      <c r="F1030" s="613"/>
      <c r="G1030" s="612"/>
      <c r="H1030" s="612"/>
      <c r="I1030" s="735"/>
      <c r="J1030" s="612"/>
      <c r="K1030" s="613"/>
      <c r="L1030" s="614"/>
      <c r="M1030" s="614"/>
      <c r="N1030" s="614"/>
      <c r="O1030" s="614"/>
      <c r="P1030" s="614"/>
      <c r="Q1030" s="614"/>
      <c r="R1030" s="614"/>
      <c r="S1030" s="614"/>
      <c r="T1030" s="614"/>
      <c r="U1030" s="614"/>
      <c r="V1030" s="614"/>
      <c r="W1030" s="614"/>
      <c r="X1030" s="614"/>
      <c r="Y1030" s="614"/>
      <c r="Z1030" s="614"/>
      <c r="AA1030" s="614"/>
      <c r="AB1030" s="614"/>
      <c r="AC1030" s="614"/>
      <c r="AJ1030" s="614"/>
      <c r="AK1030" s="614"/>
      <c r="AL1030" s="614"/>
      <c r="AM1030" s="614"/>
      <c r="AN1030" s="614"/>
      <c r="AO1030" s="614"/>
      <c r="AP1030" s="616"/>
      <c r="AQ1030" s="616"/>
      <c r="AR1030" s="616"/>
      <c r="AS1030" s="614"/>
      <c r="AT1030" s="614"/>
      <c r="AU1030" s="614"/>
      <c r="AV1030" s="614"/>
      <c r="AW1030" s="614"/>
      <c r="AX1030" s="614"/>
    </row>
    <row r="1031" spans="1:50" x14ac:dyDescent="0.25">
      <c r="A1031" s="612"/>
      <c r="B1031" s="612"/>
      <c r="C1031" s="613"/>
      <c r="D1031" s="612"/>
      <c r="E1031" s="612"/>
      <c r="F1031" s="613"/>
      <c r="G1031" s="612"/>
      <c r="H1031" s="612"/>
      <c r="I1031" s="735"/>
      <c r="J1031" s="612"/>
      <c r="K1031" s="613"/>
      <c r="L1031" s="614"/>
      <c r="M1031" s="614"/>
      <c r="N1031" s="614"/>
      <c r="O1031" s="614"/>
      <c r="P1031" s="614"/>
      <c r="Q1031" s="614"/>
      <c r="R1031" s="614"/>
      <c r="S1031" s="614"/>
      <c r="T1031" s="614"/>
      <c r="U1031" s="614"/>
      <c r="V1031" s="614"/>
      <c r="W1031" s="614"/>
      <c r="X1031" s="614"/>
      <c r="Y1031" s="614"/>
      <c r="Z1031" s="614"/>
      <c r="AA1031" s="614"/>
      <c r="AB1031" s="614"/>
      <c r="AC1031" s="614"/>
      <c r="AJ1031" s="614"/>
      <c r="AK1031" s="614"/>
      <c r="AL1031" s="614"/>
      <c r="AM1031" s="614"/>
      <c r="AN1031" s="614"/>
      <c r="AO1031" s="614"/>
      <c r="AP1031" s="616"/>
      <c r="AQ1031" s="616"/>
      <c r="AR1031" s="616"/>
      <c r="AS1031" s="614"/>
      <c r="AT1031" s="614"/>
      <c r="AU1031" s="614"/>
      <c r="AV1031" s="614"/>
      <c r="AW1031" s="614"/>
      <c r="AX1031" s="614"/>
    </row>
    <row r="1032" spans="1:50" x14ac:dyDescent="0.25">
      <c r="A1032" s="612"/>
      <c r="B1032" s="612"/>
      <c r="C1032" s="613"/>
      <c r="D1032" s="612"/>
      <c r="E1032" s="612"/>
      <c r="F1032" s="613"/>
      <c r="G1032" s="612"/>
      <c r="H1032" s="612"/>
      <c r="I1032" s="735"/>
      <c r="J1032" s="612"/>
      <c r="K1032" s="613"/>
      <c r="L1032" s="614"/>
      <c r="M1032" s="614"/>
      <c r="N1032" s="614"/>
      <c r="O1032" s="614"/>
      <c r="P1032" s="614"/>
      <c r="Q1032" s="614"/>
      <c r="R1032" s="614"/>
      <c r="S1032" s="614"/>
      <c r="T1032" s="614"/>
      <c r="U1032" s="614"/>
      <c r="V1032" s="614"/>
      <c r="W1032" s="614"/>
      <c r="X1032" s="614"/>
      <c r="Y1032" s="614"/>
      <c r="Z1032" s="614"/>
      <c r="AA1032" s="614"/>
      <c r="AB1032" s="614"/>
      <c r="AC1032" s="614"/>
      <c r="AJ1032" s="614"/>
      <c r="AK1032" s="614"/>
      <c r="AL1032" s="614"/>
      <c r="AM1032" s="614"/>
      <c r="AN1032" s="614"/>
      <c r="AO1032" s="614"/>
      <c r="AP1032" s="616"/>
      <c r="AQ1032" s="616"/>
      <c r="AR1032" s="616"/>
      <c r="AS1032" s="614"/>
      <c r="AT1032" s="614"/>
      <c r="AU1032" s="614"/>
      <c r="AV1032" s="614"/>
      <c r="AW1032" s="614"/>
      <c r="AX1032" s="614"/>
    </row>
    <row r="1033" spans="1:50" x14ac:dyDescent="0.25">
      <c r="A1033" s="612"/>
      <c r="B1033" s="612"/>
      <c r="C1033" s="613"/>
      <c r="D1033" s="612"/>
      <c r="E1033" s="612"/>
      <c r="F1033" s="613"/>
      <c r="G1033" s="612"/>
      <c r="H1033" s="612"/>
      <c r="I1033" s="735"/>
      <c r="J1033" s="612"/>
      <c r="K1033" s="613"/>
      <c r="L1033" s="614"/>
      <c r="M1033" s="614"/>
      <c r="N1033" s="614"/>
      <c r="O1033" s="614"/>
      <c r="P1033" s="614"/>
      <c r="Q1033" s="614"/>
      <c r="R1033" s="614"/>
      <c r="S1033" s="614"/>
      <c r="T1033" s="614"/>
      <c r="U1033" s="614"/>
      <c r="V1033" s="614"/>
      <c r="W1033" s="614"/>
      <c r="X1033" s="614"/>
      <c r="Y1033" s="614"/>
      <c r="Z1033" s="614"/>
      <c r="AA1033" s="614"/>
      <c r="AB1033" s="614"/>
      <c r="AC1033" s="614"/>
      <c r="AJ1033" s="614"/>
      <c r="AK1033" s="614"/>
      <c r="AL1033" s="614"/>
      <c r="AM1033" s="614"/>
      <c r="AN1033" s="614"/>
      <c r="AO1033" s="614"/>
      <c r="AP1033" s="616"/>
      <c r="AQ1033" s="616"/>
      <c r="AR1033" s="616"/>
      <c r="AS1033" s="614"/>
      <c r="AT1033" s="614"/>
      <c r="AU1033" s="614"/>
      <c r="AV1033" s="614"/>
      <c r="AW1033" s="614"/>
      <c r="AX1033" s="614"/>
    </row>
    <row r="1034" spans="1:50" x14ac:dyDescent="0.25">
      <c r="A1034" s="612"/>
      <c r="B1034" s="612"/>
      <c r="C1034" s="613"/>
      <c r="D1034" s="612"/>
      <c r="E1034" s="612"/>
      <c r="F1034" s="613"/>
      <c r="G1034" s="612"/>
      <c r="H1034" s="612"/>
      <c r="I1034" s="735"/>
      <c r="J1034" s="612"/>
      <c r="K1034" s="613"/>
      <c r="L1034" s="614"/>
      <c r="M1034" s="614"/>
      <c r="N1034" s="614"/>
      <c r="O1034" s="614"/>
      <c r="P1034" s="614"/>
      <c r="Q1034" s="614"/>
      <c r="R1034" s="614"/>
      <c r="S1034" s="614"/>
      <c r="T1034" s="614"/>
      <c r="U1034" s="614"/>
      <c r="V1034" s="614"/>
      <c r="W1034" s="614"/>
      <c r="X1034" s="614"/>
      <c r="Y1034" s="614"/>
      <c r="Z1034" s="614"/>
      <c r="AA1034" s="614"/>
      <c r="AB1034" s="614"/>
      <c r="AC1034" s="614"/>
      <c r="AJ1034" s="614"/>
      <c r="AK1034" s="614"/>
      <c r="AL1034" s="614"/>
      <c r="AM1034" s="614"/>
      <c r="AN1034" s="614"/>
      <c r="AO1034" s="614"/>
      <c r="AP1034" s="616"/>
      <c r="AQ1034" s="616"/>
      <c r="AR1034" s="616"/>
      <c r="AS1034" s="614"/>
      <c r="AT1034" s="614"/>
      <c r="AU1034" s="614"/>
      <c r="AV1034" s="614"/>
      <c r="AW1034" s="614"/>
      <c r="AX1034" s="614"/>
    </row>
    <row r="1035" spans="1:50" x14ac:dyDescent="0.25">
      <c r="A1035" s="612"/>
      <c r="B1035" s="612"/>
      <c r="C1035" s="613"/>
      <c r="D1035" s="612"/>
      <c r="E1035" s="612"/>
      <c r="F1035" s="613"/>
      <c r="G1035" s="612"/>
      <c r="H1035" s="612"/>
      <c r="I1035" s="735"/>
      <c r="J1035" s="612"/>
      <c r="K1035" s="613"/>
      <c r="L1035" s="614"/>
      <c r="M1035" s="614"/>
      <c r="N1035" s="614"/>
      <c r="O1035" s="614"/>
      <c r="P1035" s="614"/>
      <c r="Q1035" s="614"/>
      <c r="R1035" s="614"/>
      <c r="S1035" s="614"/>
      <c r="T1035" s="614"/>
      <c r="U1035" s="614"/>
      <c r="V1035" s="614"/>
      <c r="W1035" s="614"/>
      <c r="X1035" s="614"/>
      <c r="Y1035" s="614"/>
      <c r="Z1035" s="614"/>
      <c r="AA1035" s="614"/>
      <c r="AB1035" s="614"/>
      <c r="AC1035" s="614"/>
      <c r="AJ1035" s="614"/>
      <c r="AK1035" s="614"/>
      <c r="AL1035" s="614"/>
      <c r="AM1035" s="614"/>
      <c r="AN1035" s="614"/>
      <c r="AO1035" s="614"/>
      <c r="AP1035" s="616"/>
      <c r="AQ1035" s="616"/>
      <c r="AR1035" s="616"/>
      <c r="AS1035" s="614"/>
      <c r="AT1035" s="614"/>
      <c r="AU1035" s="614"/>
      <c r="AV1035" s="614"/>
      <c r="AW1035" s="614"/>
      <c r="AX1035" s="614"/>
    </row>
    <row r="1036" spans="1:50" x14ac:dyDescent="0.25">
      <c r="A1036" s="612"/>
      <c r="B1036" s="612"/>
      <c r="C1036" s="613"/>
      <c r="D1036" s="612"/>
      <c r="E1036" s="612"/>
      <c r="F1036" s="613"/>
      <c r="G1036" s="612"/>
      <c r="H1036" s="612"/>
      <c r="I1036" s="735"/>
      <c r="J1036" s="612"/>
      <c r="K1036" s="613"/>
      <c r="L1036" s="614"/>
      <c r="M1036" s="614"/>
      <c r="N1036" s="614"/>
      <c r="O1036" s="614"/>
      <c r="P1036" s="614"/>
      <c r="Q1036" s="614"/>
      <c r="R1036" s="614"/>
      <c r="S1036" s="614"/>
      <c r="T1036" s="614"/>
      <c r="U1036" s="614"/>
      <c r="V1036" s="614"/>
      <c r="W1036" s="614"/>
      <c r="X1036" s="614"/>
      <c r="Y1036" s="614"/>
      <c r="Z1036" s="614"/>
      <c r="AA1036" s="614"/>
      <c r="AB1036" s="614"/>
      <c r="AC1036" s="614"/>
      <c r="AJ1036" s="614"/>
      <c r="AK1036" s="614"/>
      <c r="AL1036" s="614"/>
      <c r="AM1036" s="614"/>
      <c r="AN1036" s="614"/>
      <c r="AO1036" s="614"/>
      <c r="AP1036" s="616"/>
      <c r="AQ1036" s="616"/>
      <c r="AR1036" s="616"/>
      <c r="AS1036" s="614"/>
      <c r="AT1036" s="614"/>
      <c r="AU1036" s="614"/>
      <c r="AV1036" s="614"/>
      <c r="AW1036" s="614"/>
      <c r="AX1036" s="614"/>
    </row>
    <row r="1037" spans="1:50" x14ac:dyDescent="0.25">
      <c r="A1037" s="612"/>
      <c r="B1037" s="612"/>
      <c r="C1037" s="613"/>
      <c r="D1037" s="612"/>
      <c r="E1037" s="612"/>
      <c r="F1037" s="613"/>
      <c r="G1037" s="612"/>
      <c r="H1037" s="612"/>
      <c r="I1037" s="735"/>
      <c r="J1037" s="612"/>
      <c r="K1037" s="613"/>
      <c r="L1037" s="614"/>
      <c r="M1037" s="614"/>
      <c r="N1037" s="614"/>
      <c r="O1037" s="614"/>
      <c r="P1037" s="614"/>
      <c r="Q1037" s="614"/>
      <c r="R1037" s="614"/>
      <c r="S1037" s="614"/>
      <c r="T1037" s="614"/>
      <c r="U1037" s="614"/>
      <c r="V1037" s="614"/>
      <c r="W1037" s="614"/>
      <c r="X1037" s="614"/>
      <c r="Y1037" s="614"/>
      <c r="Z1037" s="614"/>
      <c r="AA1037" s="614"/>
      <c r="AB1037" s="614"/>
      <c r="AC1037" s="614"/>
      <c r="AJ1037" s="614"/>
      <c r="AK1037" s="614"/>
      <c r="AL1037" s="614"/>
      <c r="AM1037" s="614"/>
      <c r="AN1037" s="614"/>
      <c r="AO1037" s="614"/>
      <c r="AP1037" s="616"/>
      <c r="AQ1037" s="616"/>
      <c r="AR1037" s="616"/>
      <c r="AS1037" s="614"/>
      <c r="AT1037" s="614"/>
      <c r="AU1037" s="614"/>
      <c r="AV1037" s="614"/>
      <c r="AW1037" s="614"/>
      <c r="AX1037" s="614"/>
    </row>
    <row r="1038" spans="1:50" x14ac:dyDescent="0.25">
      <c r="A1038" s="612"/>
      <c r="B1038" s="612"/>
      <c r="C1038" s="613"/>
      <c r="D1038" s="612"/>
      <c r="E1038" s="612"/>
      <c r="F1038" s="613"/>
      <c r="G1038" s="612"/>
      <c r="H1038" s="612"/>
      <c r="I1038" s="735"/>
      <c r="J1038" s="612"/>
      <c r="K1038" s="613"/>
      <c r="L1038" s="614"/>
      <c r="M1038" s="614"/>
      <c r="N1038" s="614"/>
      <c r="O1038" s="614"/>
      <c r="P1038" s="614"/>
      <c r="Q1038" s="614"/>
      <c r="R1038" s="614"/>
      <c r="S1038" s="614"/>
      <c r="T1038" s="614"/>
      <c r="U1038" s="614"/>
      <c r="V1038" s="614"/>
      <c r="W1038" s="614"/>
      <c r="X1038" s="614"/>
      <c r="Y1038" s="614"/>
      <c r="Z1038" s="614"/>
      <c r="AA1038" s="614"/>
      <c r="AB1038" s="614"/>
      <c r="AC1038" s="614"/>
      <c r="AJ1038" s="614"/>
      <c r="AK1038" s="614"/>
      <c r="AL1038" s="614"/>
      <c r="AM1038" s="614"/>
      <c r="AN1038" s="614"/>
      <c r="AO1038" s="614"/>
      <c r="AP1038" s="616"/>
      <c r="AQ1038" s="616"/>
      <c r="AR1038" s="616"/>
      <c r="AS1038" s="614"/>
      <c r="AT1038" s="614"/>
      <c r="AU1038" s="614"/>
      <c r="AV1038" s="614"/>
      <c r="AW1038" s="614"/>
      <c r="AX1038" s="614"/>
    </row>
    <row r="1039" spans="1:50" x14ac:dyDescent="0.25">
      <c r="A1039" s="612"/>
      <c r="B1039" s="612"/>
      <c r="C1039" s="613"/>
      <c r="D1039" s="612"/>
      <c r="E1039" s="612"/>
      <c r="F1039" s="613"/>
      <c r="G1039" s="612"/>
      <c r="H1039" s="612"/>
      <c r="I1039" s="735"/>
      <c r="J1039" s="612"/>
      <c r="K1039" s="613"/>
      <c r="L1039" s="614"/>
      <c r="M1039" s="614"/>
      <c r="N1039" s="614"/>
      <c r="O1039" s="614"/>
      <c r="P1039" s="614"/>
      <c r="Q1039" s="614"/>
      <c r="R1039" s="614"/>
      <c r="S1039" s="614"/>
      <c r="T1039" s="614"/>
      <c r="U1039" s="614"/>
      <c r="V1039" s="614"/>
      <c r="W1039" s="614"/>
      <c r="X1039" s="614"/>
      <c r="Y1039" s="614"/>
      <c r="Z1039" s="614"/>
      <c r="AA1039" s="614"/>
      <c r="AB1039" s="614"/>
      <c r="AC1039" s="614"/>
      <c r="AJ1039" s="614"/>
      <c r="AK1039" s="614"/>
      <c r="AL1039" s="614"/>
      <c r="AM1039" s="614"/>
      <c r="AN1039" s="614"/>
      <c r="AO1039" s="614"/>
      <c r="AP1039" s="616"/>
      <c r="AQ1039" s="616"/>
      <c r="AR1039" s="616"/>
      <c r="AS1039" s="614"/>
      <c r="AT1039" s="614"/>
      <c r="AU1039" s="614"/>
      <c r="AV1039" s="614"/>
      <c r="AW1039" s="614"/>
      <c r="AX1039" s="614"/>
    </row>
    <row r="1040" spans="1:50" x14ac:dyDescent="0.25">
      <c r="A1040" s="612"/>
      <c r="B1040" s="612"/>
      <c r="C1040" s="613"/>
      <c r="D1040" s="612"/>
      <c r="E1040" s="612"/>
      <c r="F1040" s="613"/>
      <c r="G1040" s="612"/>
      <c r="H1040" s="612"/>
      <c r="I1040" s="735"/>
      <c r="J1040" s="612"/>
      <c r="K1040" s="613"/>
      <c r="L1040" s="614"/>
      <c r="M1040" s="614"/>
      <c r="N1040" s="614"/>
      <c r="O1040" s="614"/>
      <c r="P1040" s="614"/>
      <c r="Q1040" s="614"/>
      <c r="R1040" s="614"/>
      <c r="S1040" s="614"/>
      <c r="T1040" s="614"/>
      <c r="U1040" s="614"/>
      <c r="V1040" s="614"/>
      <c r="W1040" s="614"/>
      <c r="X1040" s="614"/>
      <c r="Y1040" s="614"/>
      <c r="Z1040" s="614"/>
      <c r="AA1040" s="614"/>
      <c r="AB1040" s="614"/>
      <c r="AC1040" s="614"/>
      <c r="AJ1040" s="614"/>
      <c r="AK1040" s="614"/>
      <c r="AL1040" s="614"/>
      <c r="AM1040" s="614"/>
      <c r="AN1040" s="614"/>
      <c r="AO1040" s="614"/>
      <c r="AP1040" s="616"/>
      <c r="AQ1040" s="616"/>
      <c r="AR1040" s="616"/>
      <c r="AS1040" s="614"/>
      <c r="AT1040" s="614"/>
      <c r="AU1040" s="614"/>
      <c r="AV1040" s="614"/>
      <c r="AW1040" s="614"/>
      <c r="AX1040" s="614"/>
    </row>
    <row r="1041" spans="1:50" x14ac:dyDescent="0.25">
      <c r="A1041" s="612"/>
      <c r="B1041" s="612"/>
      <c r="C1041" s="613"/>
      <c r="D1041" s="612"/>
      <c r="E1041" s="612"/>
      <c r="F1041" s="613"/>
      <c r="G1041" s="612"/>
      <c r="H1041" s="612"/>
      <c r="I1041" s="735"/>
      <c r="J1041" s="612"/>
      <c r="K1041" s="613"/>
      <c r="L1041" s="614"/>
      <c r="M1041" s="614"/>
      <c r="N1041" s="614"/>
      <c r="O1041" s="614"/>
      <c r="P1041" s="614"/>
      <c r="Q1041" s="614"/>
      <c r="R1041" s="614"/>
      <c r="S1041" s="614"/>
      <c r="T1041" s="614"/>
      <c r="U1041" s="614"/>
      <c r="V1041" s="614"/>
      <c r="W1041" s="614"/>
      <c r="X1041" s="614"/>
      <c r="Y1041" s="614"/>
      <c r="Z1041" s="614"/>
      <c r="AA1041" s="614"/>
      <c r="AB1041" s="614"/>
      <c r="AC1041" s="614"/>
      <c r="AJ1041" s="614"/>
      <c r="AK1041" s="614"/>
      <c r="AL1041" s="614"/>
      <c r="AM1041" s="614"/>
      <c r="AN1041" s="614"/>
      <c r="AO1041" s="614"/>
      <c r="AP1041" s="616"/>
      <c r="AQ1041" s="616"/>
      <c r="AR1041" s="616"/>
      <c r="AS1041" s="614"/>
      <c r="AT1041" s="614"/>
      <c r="AU1041" s="614"/>
      <c r="AV1041" s="614"/>
      <c r="AW1041" s="614"/>
      <c r="AX1041" s="614"/>
    </row>
    <row r="1042" spans="1:50" x14ac:dyDescent="0.25">
      <c r="A1042" s="612"/>
      <c r="B1042" s="612"/>
      <c r="C1042" s="613"/>
      <c r="D1042" s="612"/>
      <c r="E1042" s="612"/>
      <c r="F1042" s="613"/>
      <c r="G1042" s="612"/>
      <c r="H1042" s="612"/>
      <c r="I1042" s="735"/>
      <c r="J1042" s="612"/>
      <c r="K1042" s="613"/>
      <c r="L1042" s="614"/>
      <c r="M1042" s="614"/>
      <c r="N1042" s="614"/>
      <c r="O1042" s="614"/>
      <c r="P1042" s="614"/>
      <c r="Q1042" s="614"/>
      <c r="R1042" s="614"/>
      <c r="S1042" s="614"/>
      <c r="T1042" s="614"/>
      <c r="U1042" s="614"/>
      <c r="V1042" s="614"/>
      <c r="W1042" s="614"/>
      <c r="X1042" s="614"/>
      <c r="Y1042" s="614"/>
      <c r="Z1042" s="614"/>
      <c r="AA1042" s="614"/>
      <c r="AB1042" s="614"/>
      <c r="AC1042" s="614"/>
      <c r="AJ1042" s="614"/>
      <c r="AK1042" s="614"/>
      <c r="AL1042" s="614"/>
      <c r="AM1042" s="614"/>
      <c r="AN1042" s="614"/>
      <c r="AO1042" s="614"/>
      <c r="AP1042" s="616"/>
      <c r="AQ1042" s="616"/>
      <c r="AR1042" s="616"/>
      <c r="AS1042" s="614"/>
      <c r="AT1042" s="614"/>
      <c r="AU1042" s="614"/>
      <c r="AV1042" s="614"/>
      <c r="AW1042" s="614"/>
      <c r="AX1042" s="614"/>
    </row>
    <row r="1043" spans="1:50" x14ac:dyDescent="0.25">
      <c r="A1043" s="612"/>
      <c r="B1043" s="612"/>
      <c r="C1043" s="613"/>
      <c r="D1043" s="612"/>
      <c r="E1043" s="612"/>
      <c r="F1043" s="613"/>
      <c r="G1043" s="612"/>
      <c r="H1043" s="612"/>
      <c r="I1043" s="735"/>
      <c r="J1043" s="612"/>
      <c r="K1043" s="613"/>
      <c r="L1043" s="614"/>
      <c r="M1043" s="614"/>
      <c r="N1043" s="614"/>
      <c r="O1043" s="614"/>
      <c r="P1043" s="614"/>
      <c r="Q1043" s="614"/>
      <c r="R1043" s="614"/>
      <c r="S1043" s="614"/>
      <c r="T1043" s="614"/>
      <c r="U1043" s="614"/>
      <c r="V1043" s="614"/>
      <c r="W1043" s="614"/>
      <c r="X1043" s="614"/>
      <c r="Y1043" s="614"/>
      <c r="Z1043" s="614"/>
      <c r="AA1043" s="614"/>
      <c r="AB1043" s="614"/>
      <c r="AC1043" s="614"/>
      <c r="AJ1043" s="614"/>
      <c r="AK1043" s="614"/>
      <c r="AL1043" s="614"/>
      <c r="AM1043" s="614"/>
      <c r="AN1043" s="614"/>
      <c r="AO1043" s="614"/>
      <c r="AP1043" s="616"/>
      <c r="AQ1043" s="616"/>
      <c r="AR1043" s="616"/>
      <c r="AS1043" s="614"/>
      <c r="AT1043" s="614"/>
      <c r="AU1043" s="614"/>
      <c r="AV1043" s="614"/>
      <c r="AW1043" s="614"/>
      <c r="AX1043" s="614"/>
    </row>
    <row r="1044" spans="1:50" x14ac:dyDescent="0.25">
      <c r="A1044" s="612"/>
      <c r="B1044" s="612"/>
      <c r="C1044" s="613"/>
      <c r="D1044" s="612"/>
      <c r="E1044" s="612"/>
      <c r="F1044" s="613"/>
      <c r="G1044" s="612"/>
      <c r="H1044" s="612"/>
      <c r="I1044" s="735"/>
      <c r="J1044" s="612"/>
      <c r="K1044" s="613"/>
      <c r="L1044" s="614"/>
      <c r="M1044" s="614"/>
      <c r="N1044" s="614"/>
      <c r="O1044" s="614"/>
      <c r="P1044" s="614"/>
      <c r="Q1044" s="614"/>
      <c r="R1044" s="614"/>
      <c r="S1044" s="614"/>
      <c r="T1044" s="614"/>
      <c r="U1044" s="614"/>
      <c r="V1044" s="614"/>
      <c r="W1044" s="614"/>
      <c r="X1044" s="614"/>
      <c r="Y1044" s="614"/>
      <c r="Z1044" s="614"/>
      <c r="AA1044" s="614"/>
      <c r="AB1044" s="614"/>
      <c r="AC1044" s="614"/>
      <c r="AJ1044" s="614"/>
      <c r="AK1044" s="614"/>
      <c r="AL1044" s="614"/>
      <c r="AM1044" s="614"/>
      <c r="AN1044" s="614"/>
      <c r="AO1044" s="614"/>
      <c r="AP1044" s="616"/>
      <c r="AQ1044" s="616"/>
      <c r="AR1044" s="616"/>
      <c r="AS1044" s="614"/>
      <c r="AT1044" s="614"/>
      <c r="AU1044" s="614"/>
      <c r="AV1044" s="614"/>
      <c r="AW1044" s="614"/>
      <c r="AX1044" s="614"/>
    </row>
    <row r="1045" spans="1:50" x14ac:dyDescent="0.25">
      <c r="A1045" s="612"/>
      <c r="B1045" s="612"/>
      <c r="C1045" s="613"/>
      <c r="D1045" s="612"/>
      <c r="E1045" s="612"/>
      <c r="F1045" s="613"/>
      <c r="G1045" s="612"/>
      <c r="H1045" s="612"/>
      <c r="I1045" s="735"/>
      <c r="J1045" s="612"/>
      <c r="K1045" s="613"/>
      <c r="L1045" s="614"/>
      <c r="M1045" s="614"/>
      <c r="N1045" s="614"/>
      <c r="O1045" s="614"/>
      <c r="P1045" s="614"/>
      <c r="Q1045" s="614"/>
      <c r="R1045" s="614"/>
      <c r="S1045" s="614"/>
      <c r="T1045" s="614"/>
      <c r="U1045" s="614"/>
      <c r="V1045" s="614"/>
      <c r="W1045" s="614"/>
      <c r="X1045" s="614"/>
      <c r="Y1045" s="614"/>
      <c r="Z1045" s="614"/>
      <c r="AA1045" s="614"/>
      <c r="AB1045" s="614"/>
      <c r="AC1045" s="614"/>
      <c r="AJ1045" s="614"/>
      <c r="AK1045" s="614"/>
      <c r="AL1045" s="614"/>
      <c r="AM1045" s="614"/>
      <c r="AN1045" s="614"/>
      <c r="AO1045" s="614"/>
      <c r="AP1045" s="616"/>
      <c r="AQ1045" s="616"/>
      <c r="AR1045" s="616"/>
      <c r="AS1045" s="614"/>
      <c r="AT1045" s="614"/>
      <c r="AU1045" s="614"/>
      <c r="AV1045" s="614"/>
      <c r="AW1045" s="614"/>
      <c r="AX1045" s="614"/>
    </row>
    <row r="1046" spans="1:50" x14ac:dyDescent="0.25">
      <c r="A1046" s="612"/>
      <c r="B1046" s="612"/>
      <c r="C1046" s="613"/>
      <c r="D1046" s="612"/>
      <c r="E1046" s="612"/>
      <c r="F1046" s="613"/>
      <c r="G1046" s="612"/>
      <c r="H1046" s="612"/>
      <c r="I1046" s="735"/>
      <c r="J1046" s="612"/>
      <c r="K1046" s="613"/>
      <c r="L1046" s="614"/>
      <c r="M1046" s="614"/>
      <c r="N1046" s="614"/>
      <c r="O1046" s="614"/>
      <c r="P1046" s="614"/>
      <c r="Q1046" s="614"/>
      <c r="R1046" s="614"/>
      <c r="S1046" s="614"/>
      <c r="T1046" s="614"/>
      <c r="U1046" s="614"/>
      <c r="V1046" s="614"/>
      <c r="W1046" s="614"/>
      <c r="X1046" s="614"/>
      <c r="Y1046" s="614"/>
      <c r="Z1046" s="614"/>
      <c r="AA1046" s="614"/>
      <c r="AB1046" s="614"/>
      <c r="AC1046" s="614"/>
      <c r="AJ1046" s="614"/>
      <c r="AK1046" s="614"/>
      <c r="AL1046" s="614"/>
      <c r="AM1046" s="614"/>
      <c r="AN1046" s="614"/>
      <c r="AO1046" s="614"/>
      <c r="AP1046" s="616"/>
      <c r="AQ1046" s="616"/>
      <c r="AR1046" s="616"/>
      <c r="AS1046" s="614"/>
      <c r="AT1046" s="614"/>
      <c r="AU1046" s="614"/>
      <c r="AV1046" s="614"/>
      <c r="AW1046" s="614"/>
      <c r="AX1046" s="614"/>
    </row>
    <row r="1047" spans="1:50" x14ac:dyDescent="0.25">
      <c r="A1047" s="612"/>
      <c r="B1047" s="612"/>
      <c r="C1047" s="613"/>
      <c r="D1047" s="612"/>
      <c r="E1047" s="612"/>
      <c r="F1047" s="613"/>
      <c r="G1047" s="612"/>
      <c r="H1047" s="612"/>
      <c r="I1047" s="735"/>
      <c r="J1047" s="612"/>
      <c r="K1047" s="613"/>
      <c r="L1047" s="614"/>
      <c r="M1047" s="614"/>
      <c r="N1047" s="614"/>
      <c r="O1047" s="614"/>
      <c r="P1047" s="614"/>
      <c r="Q1047" s="614"/>
      <c r="R1047" s="614"/>
      <c r="S1047" s="614"/>
      <c r="T1047" s="614"/>
      <c r="U1047" s="614"/>
      <c r="V1047" s="614"/>
      <c r="W1047" s="614"/>
      <c r="X1047" s="614"/>
      <c r="Y1047" s="614"/>
      <c r="Z1047" s="614"/>
      <c r="AA1047" s="614"/>
      <c r="AB1047" s="614"/>
      <c r="AC1047" s="614"/>
      <c r="AJ1047" s="614"/>
      <c r="AK1047" s="614"/>
      <c r="AL1047" s="614"/>
      <c r="AM1047" s="614"/>
      <c r="AN1047" s="614"/>
      <c r="AO1047" s="614"/>
      <c r="AP1047" s="616"/>
      <c r="AQ1047" s="616"/>
      <c r="AR1047" s="616"/>
      <c r="AS1047" s="614"/>
      <c r="AT1047" s="614"/>
      <c r="AU1047" s="614"/>
      <c r="AV1047" s="614"/>
      <c r="AW1047" s="614"/>
      <c r="AX1047" s="614"/>
    </row>
    <row r="1048" spans="1:50" x14ac:dyDescent="0.25">
      <c r="A1048" s="612"/>
      <c r="B1048" s="612"/>
      <c r="C1048" s="613"/>
      <c r="D1048" s="612"/>
      <c r="E1048" s="612"/>
      <c r="F1048" s="613"/>
      <c r="G1048" s="612"/>
      <c r="H1048" s="612"/>
      <c r="I1048" s="735"/>
      <c r="J1048" s="612"/>
      <c r="K1048" s="613"/>
      <c r="L1048" s="614"/>
      <c r="M1048" s="614"/>
      <c r="N1048" s="614"/>
      <c r="O1048" s="614"/>
      <c r="P1048" s="614"/>
      <c r="Q1048" s="614"/>
      <c r="R1048" s="614"/>
      <c r="S1048" s="614"/>
      <c r="T1048" s="614"/>
      <c r="U1048" s="614"/>
      <c r="V1048" s="614"/>
      <c r="W1048" s="614"/>
      <c r="X1048" s="614"/>
      <c r="Y1048" s="614"/>
      <c r="Z1048" s="614"/>
      <c r="AA1048" s="614"/>
      <c r="AB1048" s="614"/>
      <c r="AC1048" s="614"/>
      <c r="AJ1048" s="614"/>
      <c r="AK1048" s="614"/>
      <c r="AL1048" s="614"/>
      <c r="AM1048" s="614"/>
      <c r="AN1048" s="614"/>
      <c r="AO1048" s="614"/>
      <c r="AP1048" s="616"/>
      <c r="AQ1048" s="616"/>
      <c r="AR1048" s="616"/>
      <c r="AS1048" s="614"/>
      <c r="AT1048" s="614"/>
      <c r="AU1048" s="614"/>
      <c r="AV1048" s="614"/>
      <c r="AW1048" s="614"/>
      <c r="AX1048" s="614"/>
    </row>
    <row r="1049" spans="1:50" x14ac:dyDescent="0.25">
      <c r="A1049" s="612"/>
      <c r="B1049" s="612"/>
      <c r="C1049" s="613"/>
      <c r="D1049" s="612"/>
      <c r="E1049" s="612"/>
      <c r="F1049" s="613"/>
      <c r="G1049" s="612"/>
      <c r="H1049" s="612"/>
      <c r="I1049" s="735"/>
      <c r="J1049" s="612"/>
      <c r="K1049" s="613"/>
      <c r="L1049" s="614"/>
      <c r="M1049" s="614"/>
      <c r="N1049" s="614"/>
      <c r="O1049" s="614"/>
      <c r="P1049" s="614"/>
      <c r="Q1049" s="614"/>
      <c r="R1049" s="614"/>
      <c r="S1049" s="614"/>
      <c r="T1049" s="614"/>
      <c r="U1049" s="614"/>
      <c r="V1049" s="614"/>
      <c r="W1049" s="614"/>
      <c r="X1049" s="614"/>
      <c r="Y1049" s="614"/>
      <c r="Z1049" s="614"/>
      <c r="AA1049" s="614"/>
      <c r="AB1049" s="614"/>
      <c r="AC1049" s="614"/>
      <c r="AJ1049" s="614"/>
      <c r="AK1049" s="614"/>
      <c r="AL1049" s="614"/>
      <c r="AM1049" s="614"/>
      <c r="AN1049" s="614"/>
      <c r="AO1049" s="614"/>
      <c r="AP1049" s="616"/>
      <c r="AQ1049" s="616"/>
      <c r="AR1049" s="616"/>
      <c r="AS1049" s="614"/>
      <c r="AT1049" s="614"/>
      <c r="AU1049" s="614"/>
      <c r="AV1049" s="614"/>
      <c r="AW1049" s="614"/>
      <c r="AX1049" s="614"/>
    </row>
    <row r="1050" spans="1:50" x14ac:dyDescent="0.25">
      <c r="A1050" s="612"/>
      <c r="B1050" s="612"/>
      <c r="C1050" s="613"/>
      <c r="D1050" s="612"/>
      <c r="E1050" s="612"/>
      <c r="F1050" s="613"/>
      <c r="G1050" s="612"/>
      <c r="H1050" s="612"/>
      <c r="I1050" s="735"/>
      <c r="J1050" s="612"/>
      <c r="K1050" s="613"/>
      <c r="L1050" s="614"/>
      <c r="M1050" s="614"/>
      <c r="N1050" s="614"/>
      <c r="O1050" s="614"/>
      <c r="P1050" s="614"/>
      <c r="Q1050" s="614"/>
      <c r="R1050" s="614"/>
      <c r="S1050" s="614"/>
      <c r="T1050" s="614"/>
      <c r="U1050" s="614"/>
      <c r="V1050" s="614"/>
      <c r="W1050" s="614"/>
      <c r="X1050" s="614"/>
      <c r="Y1050" s="614"/>
      <c r="Z1050" s="614"/>
      <c r="AA1050" s="614"/>
      <c r="AB1050" s="614"/>
      <c r="AC1050" s="614"/>
      <c r="AJ1050" s="614"/>
      <c r="AK1050" s="614"/>
      <c r="AL1050" s="614"/>
      <c r="AM1050" s="614"/>
      <c r="AN1050" s="614"/>
      <c r="AO1050" s="614"/>
      <c r="AP1050" s="616"/>
      <c r="AQ1050" s="616"/>
      <c r="AR1050" s="616"/>
      <c r="AS1050" s="614"/>
      <c r="AT1050" s="614"/>
      <c r="AU1050" s="614"/>
      <c r="AV1050" s="614"/>
      <c r="AW1050" s="614"/>
      <c r="AX1050" s="614"/>
    </row>
    <row r="1051" spans="1:50" x14ac:dyDescent="0.25">
      <c r="A1051" s="612"/>
      <c r="B1051" s="612"/>
      <c r="C1051" s="613"/>
      <c r="D1051" s="612"/>
      <c r="E1051" s="612"/>
      <c r="F1051" s="613"/>
      <c r="G1051" s="612"/>
      <c r="H1051" s="612"/>
      <c r="I1051" s="735"/>
      <c r="J1051" s="612"/>
      <c r="K1051" s="613"/>
      <c r="L1051" s="614"/>
      <c r="M1051" s="614"/>
      <c r="N1051" s="614"/>
      <c r="O1051" s="614"/>
      <c r="P1051" s="614"/>
      <c r="Q1051" s="614"/>
      <c r="R1051" s="614"/>
      <c r="S1051" s="614"/>
      <c r="T1051" s="614"/>
      <c r="U1051" s="614"/>
      <c r="V1051" s="614"/>
      <c r="W1051" s="614"/>
      <c r="X1051" s="614"/>
      <c r="Y1051" s="614"/>
      <c r="Z1051" s="614"/>
      <c r="AA1051" s="614"/>
      <c r="AB1051" s="614"/>
      <c r="AC1051" s="614"/>
      <c r="AJ1051" s="614"/>
      <c r="AK1051" s="614"/>
      <c r="AL1051" s="614"/>
      <c r="AM1051" s="614"/>
      <c r="AN1051" s="614"/>
      <c r="AO1051" s="614"/>
      <c r="AP1051" s="616"/>
      <c r="AQ1051" s="616"/>
      <c r="AR1051" s="616"/>
      <c r="AS1051" s="614"/>
      <c r="AT1051" s="614"/>
      <c r="AU1051" s="614"/>
      <c r="AV1051" s="614"/>
      <c r="AW1051" s="614"/>
      <c r="AX1051" s="614"/>
    </row>
    <row r="1052" spans="1:50" x14ac:dyDescent="0.25">
      <c r="A1052" s="612"/>
      <c r="B1052" s="612"/>
      <c r="C1052" s="613"/>
      <c r="D1052" s="612"/>
      <c r="E1052" s="612"/>
      <c r="F1052" s="613"/>
      <c r="G1052" s="612"/>
      <c r="H1052" s="612"/>
      <c r="I1052" s="735"/>
      <c r="J1052" s="612"/>
      <c r="K1052" s="613"/>
      <c r="L1052" s="614"/>
      <c r="M1052" s="614"/>
      <c r="N1052" s="614"/>
      <c r="O1052" s="614"/>
      <c r="P1052" s="614"/>
      <c r="Q1052" s="614"/>
      <c r="R1052" s="614"/>
      <c r="S1052" s="614"/>
      <c r="T1052" s="614"/>
      <c r="U1052" s="614"/>
      <c r="V1052" s="614"/>
      <c r="W1052" s="614"/>
      <c r="X1052" s="614"/>
      <c r="Y1052" s="614"/>
      <c r="Z1052" s="614"/>
      <c r="AA1052" s="614"/>
      <c r="AB1052" s="614"/>
      <c r="AC1052" s="614"/>
      <c r="AJ1052" s="614"/>
      <c r="AK1052" s="614"/>
      <c r="AL1052" s="614"/>
      <c r="AM1052" s="614"/>
      <c r="AN1052" s="614"/>
      <c r="AO1052" s="614"/>
      <c r="AP1052" s="616"/>
      <c r="AQ1052" s="616"/>
      <c r="AR1052" s="616"/>
      <c r="AS1052" s="614"/>
      <c r="AT1052" s="614"/>
      <c r="AU1052" s="614"/>
      <c r="AV1052" s="614"/>
      <c r="AW1052" s="614"/>
      <c r="AX1052" s="614"/>
    </row>
    <row r="1053" spans="1:50" x14ac:dyDescent="0.25">
      <c r="A1053" s="612"/>
      <c r="B1053" s="612"/>
      <c r="C1053" s="613"/>
      <c r="D1053" s="612"/>
      <c r="E1053" s="612"/>
      <c r="F1053" s="613"/>
      <c r="G1053" s="612"/>
      <c r="H1053" s="612"/>
      <c r="I1053" s="735"/>
      <c r="J1053" s="612"/>
      <c r="K1053" s="613"/>
      <c r="L1053" s="614"/>
      <c r="M1053" s="614"/>
      <c r="N1053" s="614"/>
      <c r="O1053" s="614"/>
      <c r="P1053" s="614"/>
      <c r="Q1053" s="614"/>
      <c r="R1053" s="614"/>
      <c r="S1053" s="614"/>
      <c r="T1053" s="614"/>
      <c r="U1053" s="614"/>
      <c r="V1053" s="614"/>
      <c r="W1053" s="614"/>
      <c r="X1053" s="614"/>
      <c r="Y1053" s="614"/>
      <c r="Z1053" s="614"/>
      <c r="AA1053" s="614"/>
      <c r="AB1053" s="614"/>
      <c r="AC1053" s="614"/>
      <c r="AJ1053" s="614"/>
      <c r="AK1053" s="614"/>
      <c r="AL1053" s="614"/>
      <c r="AM1053" s="614"/>
      <c r="AN1053" s="614"/>
      <c r="AO1053" s="614"/>
      <c r="AP1053" s="616"/>
      <c r="AQ1053" s="616"/>
      <c r="AR1053" s="616"/>
      <c r="AS1053" s="614"/>
      <c r="AT1053" s="614"/>
      <c r="AU1053" s="614"/>
      <c r="AV1053" s="614"/>
      <c r="AW1053" s="614"/>
      <c r="AX1053" s="614"/>
    </row>
    <row r="1054" spans="1:50" x14ac:dyDescent="0.25">
      <c r="A1054" s="612"/>
      <c r="B1054" s="612"/>
      <c r="C1054" s="613"/>
      <c r="D1054" s="612"/>
      <c r="E1054" s="612"/>
      <c r="F1054" s="613"/>
      <c r="G1054" s="612"/>
      <c r="H1054" s="612"/>
      <c r="I1054" s="735"/>
      <c r="J1054" s="612"/>
      <c r="K1054" s="613"/>
      <c r="L1054" s="614"/>
      <c r="M1054" s="614"/>
      <c r="N1054" s="614"/>
      <c r="O1054" s="614"/>
      <c r="P1054" s="614"/>
      <c r="Q1054" s="614"/>
      <c r="R1054" s="614"/>
      <c r="S1054" s="614"/>
      <c r="T1054" s="614"/>
      <c r="U1054" s="614"/>
      <c r="V1054" s="614"/>
      <c r="W1054" s="614"/>
      <c r="X1054" s="614"/>
      <c r="Y1054" s="614"/>
      <c r="Z1054" s="614"/>
      <c r="AA1054" s="614"/>
      <c r="AB1054" s="614"/>
      <c r="AC1054" s="614"/>
      <c r="AJ1054" s="614"/>
      <c r="AK1054" s="614"/>
      <c r="AL1054" s="614"/>
      <c r="AM1054" s="614"/>
      <c r="AN1054" s="614"/>
      <c r="AO1054" s="614"/>
      <c r="AP1054" s="616"/>
      <c r="AQ1054" s="616"/>
      <c r="AR1054" s="616"/>
      <c r="AS1054" s="614"/>
      <c r="AT1054" s="614"/>
      <c r="AU1054" s="614"/>
      <c r="AV1054" s="614"/>
      <c r="AW1054" s="614"/>
      <c r="AX1054" s="614"/>
    </row>
    <row r="1055" spans="1:50" x14ac:dyDescent="0.25">
      <c r="A1055" s="612"/>
      <c r="B1055" s="612"/>
      <c r="C1055" s="613"/>
      <c r="D1055" s="612"/>
      <c r="E1055" s="612"/>
      <c r="F1055" s="613"/>
      <c r="G1055" s="612"/>
      <c r="H1055" s="612"/>
      <c r="I1055" s="735"/>
      <c r="J1055" s="612"/>
      <c r="K1055" s="613"/>
      <c r="L1055" s="614"/>
      <c r="M1055" s="614"/>
      <c r="N1055" s="614"/>
      <c r="O1055" s="614"/>
      <c r="P1055" s="614"/>
      <c r="Q1055" s="614"/>
      <c r="R1055" s="614"/>
      <c r="S1055" s="614"/>
      <c r="T1055" s="614"/>
      <c r="U1055" s="614"/>
      <c r="V1055" s="614"/>
      <c r="W1055" s="614"/>
      <c r="X1055" s="614"/>
      <c r="Y1055" s="614"/>
      <c r="Z1055" s="614"/>
      <c r="AA1055" s="614"/>
      <c r="AB1055" s="614"/>
      <c r="AC1055" s="614"/>
      <c r="AJ1055" s="614"/>
      <c r="AK1055" s="614"/>
      <c r="AL1055" s="614"/>
      <c r="AM1055" s="614"/>
      <c r="AN1055" s="614"/>
      <c r="AO1055" s="614"/>
      <c r="AP1055" s="616"/>
      <c r="AQ1055" s="616"/>
      <c r="AR1055" s="616"/>
      <c r="AS1055" s="614"/>
      <c r="AT1055" s="614"/>
      <c r="AU1055" s="614"/>
      <c r="AV1055" s="614"/>
      <c r="AW1055" s="614"/>
      <c r="AX1055" s="614"/>
    </row>
    <row r="1056" spans="1:50" x14ac:dyDescent="0.25">
      <c r="A1056" s="612"/>
      <c r="B1056" s="612"/>
      <c r="C1056" s="613"/>
      <c r="D1056" s="612"/>
      <c r="E1056" s="612"/>
      <c r="F1056" s="613"/>
      <c r="G1056" s="612"/>
      <c r="H1056" s="612"/>
      <c r="I1056" s="735"/>
      <c r="J1056" s="612"/>
      <c r="K1056" s="613"/>
      <c r="L1056" s="614"/>
      <c r="M1056" s="614"/>
      <c r="N1056" s="614"/>
      <c r="O1056" s="614"/>
      <c r="P1056" s="614"/>
      <c r="Q1056" s="614"/>
      <c r="R1056" s="614"/>
      <c r="S1056" s="614"/>
      <c r="T1056" s="614"/>
      <c r="U1056" s="614"/>
      <c r="V1056" s="614"/>
      <c r="W1056" s="614"/>
      <c r="X1056" s="614"/>
      <c r="Y1056" s="614"/>
      <c r="Z1056" s="614"/>
      <c r="AA1056" s="614"/>
      <c r="AB1056" s="614"/>
      <c r="AC1056" s="614"/>
      <c r="AJ1056" s="614"/>
      <c r="AK1056" s="614"/>
      <c r="AL1056" s="614"/>
      <c r="AM1056" s="614"/>
      <c r="AN1056" s="614"/>
      <c r="AO1056" s="614"/>
      <c r="AP1056" s="616"/>
      <c r="AQ1056" s="616"/>
      <c r="AR1056" s="616"/>
      <c r="AS1056" s="614"/>
      <c r="AT1056" s="614"/>
      <c r="AU1056" s="614"/>
      <c r="AV1056" s="614"/>
      <c r="AW1056" s="614"/>
      <c r="AX1056" s="614"/>
    </row>
    <row r="1057" spans="1:50" x14ac:dyDescent="0.25">
      <c r="A1057" s="612"/>
      <c r="B1057" s="612"/>
      <c r="C1057" s="613"/>
      <c r="D1057" s="612"/>
      <c r="E1057" s="612"/>
      <c r="F1057" s="613"/>
      <c r="G1057" s="612"/>
      <c r="H1057" s="612"/>
      <c r="I1057" s="735"/>
      <c r="J1057" s="612"/>
      <c r="K1057" s="613"/>
      <c r="L1057" s="614"/>
      <c r="M1057" s="614"/>
      <c r="N1057" s="614"/>
      <c r="O1057" s="614"/>
      <c r="P1057" s="614"/>
      <c r="Q1057" s="614"/>
      <c r="R1057" s="614"/>
      <c r="S1057" s="614"/>
      <c r="T1057" s="614"/>
      <c r="U1057" s="614"/>
      <c r="V1057" s="614"/>
      <c r="W1057" s="614"/>
      <c r="X1057" s="614"/>
      <c r="Y1057" s="614"/>
      <c r="Z1057" s="614"/>
      <c r="AA1057" s="614"/>
      <c r="AB1057" s="614"/>
      <c r="AC1057" s="614"/>
      <c r="AJ1057" s="614"/>
      <c r="AK1057" s="614"/>
      <c r="AL1057" s="614"/>
      <c r="AM1057" s="614"/>
      <c r="AN1057" s="614"/>
      <c r="AO1057" s="614"/>
      <c r="AP1057" s="616"/>
      <c r="AQ1057" s="616"/>
      <c r="AR1057" s="616"/>
      <c r="AS1057" s="614"/>
      <c r="AT1057" s="614"/>
      <c r="AU1057" s="614"/>
      <c r="AV1057" s="614"/>
      <c r="AW1057" s="614"/>
      <c r="AX1057" s="614"/>
    </row>
    <row r="1058" spans="1:50" x14ac:dyDescent="0.25">
      <c r="A1058" s="612"/>
      <c r="B1058" s="612"/>
      <c r="C1058" s="613"/>
      <c r="D1058" s="612"/>
      <c r="E1058" s="612"/>
      <c r="F1058" s="613"/>
      <c r="G1058" s="612"/>
      <c r="H1058" s="612"/>
      <c r="I1058" s="735"/>
      <c r="J1058" s="612"/>
      <c r="K1058" s="613"/>
      <c r="L1058" s="614"/>
      <c r="M1058" s="614"/>
      <c r="N1058" s="614"/>
      <c r="O1058" s="614"/>
      <c r="P1058" s="614"/>
      <c r="Q1058" s="614"/>
      <c r="R1058" s="614"/>
      <c r="S1058" s="614"/>
      <c r="T1058" s="614"/>
      <c r="U1058" s="614"/>
      <c r="V1058" s="614"/>
      <c r="W1058" s="614"/>
      <c r="X1058" s="614"/>
      <c r="Y1058" s="614"/>
      <c r="Z1058" s="614"/>
      <c r="AA1058" s="614"/>
      <c r="AB1058" s="614"/>
      <c r="AC1058" s="614"/>
      <c r="AJ1058" s="614"/>
      <c r="AK1058" s="614"/>
      <c r="AL1058" s="614"/>
      <c r="AM1058" s="614"/>
      <c r="AN1058" s="614"/>
      <c r="AO1058" s="614"/>
      <c r="AP1058" s="616"/>
      <c r="AQ1058" s="616"/>
      <c r="AR1058" s="616"/>
      <c r="AS1058" s="614"/>
      <c r="AT1058" s="614"/>
      <c r="AU1058" s="614"/>
      <c r="AV1058" s="614"/>
      <c r="AW1058" s="614"/>
      <c r="AX1058" s="614"/>
    </row>
    <row r="1059" spans="1:50" x14ac:dyDescent="0.25">
      <c r="A1059" s="612"/>
      <c r="B1059" s="612"/>
      <c r="C1059" s="613"/>
      <c r="D1059" s="612"/>
      <c r="E1059" s="612"/>
      <c r="F1059" s="613"/>
      <c r="G1059" s="612"/>
      <c r="H1059" s="612"/>
      <c r="I1059" s="735"/>
      <c r="J1059" s="612"/>
      <c r="K1059" s="613"/>
      <c r="L1059" s="614"/>
      <c r="M1059" s="614"/>
      <c r="N1059" s="614"/>
      <c r="O1059" s="614"/>
      <c r="P1059" s="614"/>
      <c r="Q1059" s="614"/>
      <c r="R1059" s="614"/>
      <c r="S1059" s="614"/>
      <c r="T1059" s="614"/>
      <c r="U1059" s="614"/>
      <c r="V1059" s="614"/>
      <c r="W1059" s="614"/>
      <c r="X1059" s="614"/>
      <c r="Y1059" s="614"/>
      <c r="Z1059" s="614"/>
      <c r="AA1059" s="614"/>
      <c r="AB1059" s="614"/>
      <c r="AC1059" s="614"/>
      <c r="AJ1059" s="614"/>
      <c r="AK1059" s="614"/>
      <c r="AL1059" s="614"/>
      <c r="AM1059" s="614"/>
      <c r="AN1059" s="614"/>
      <c r="AO1059" s="614"/>
      <c r="AP1059" s="616"/>
      <c r="AQ1059" s="616"/>
      <c r="AR1059" s="616"/>
      <c r="AS1059" s="614"/>
      <c r="AT1059" s="614"/>
      <c r="AU1059" s="614"/>
      <c r="AV1059" s="614"/>
      <c r="AW1059" s="614"/>
      <c r="AX1059" s="614"/>
    </row>
    <row r="1060" spans="1:50" x14ac:dyDescent="0.25">
      <c r="A1060" s="612"/>
      <c r="B1060" s="612"/>
      <c r="C1060" s="613"/>
      <c r="D1060" s="612"/>
      <c r="E1060" s="612"/>
      <c r="F1060" s="613"/>
      <c r="G1060" s="612"/>
      <c r="H1060" s="612"/>
      <c r="I1060" s="735"/>
      <c r="J1060" s="612"/>
      <c r="K1060" s="613"/>
      <c r="L1060" s="614"/>
      <c r="M1060" s="614"/>
      <c r="N1060" s="614"/>
      <c r="O1060" s="614"/>
      <c r="P1060" s="614"/>
      <c r="Q1060" s="614"/>
      <c r="R1060" s="614"/>
      <c r="S1060" s="614"/>
      <c r="T1060" s="614"/>
      <c r="U1060" s="614"/>
      <c r="V1060" s="614"/>
      <c r="W1060" s="614"/>
      <c r="X1060" s="614"/>
      <c r="Y1060" s="614"/>
      <c r="Z1060" s="614"/>
      <c r="AA1060" s="614"/>
      <c r="AB1060" s="614"/>
      <c r="AC1060" s="614"/>
      <c r="AJ1060" s="614"/>
      <c r="AK1060" s="614"/>
      <c r="AL1060" s="614"/>
      <c r="AM1060" s="614"/>
      <c r="AN1060" s="614"/>
      <c r="AO1060" s="614"/>
      <c r="AP1060" s="616"/>
      <c r="AQ1060" s="616"/>
      <c r="AR1060" s="616"/>
      <c r="AS1060" s="614"/>
      <c r="AT1060" s="614"/>
      <c r="AU1060" s="614"/>
      <c r="AV1060" s="614"/>
      <c r="AW1060" s="614"/>
      <c r="AX1060" s="614"/>
    </row>
    <row r="1061" spans="1:50" x14ac:dyDescent="0.25">
      <c r="A1061" s="612"/>
      <c r="B1061" s="612"/>
      <c r="C1061" s="613"/>
      <c r="D1061" s="612"/>
      <c r="E1061" s="612"/>
      <c r="F1061" s="613"/>
      <c r="G1061" s="612"/>
      <c r="H1061" s="612"/>
      <c r="I1061" s="735"/>
      <c r="J1061" s="612"/>
      <c r="K1061" s="613"/>
      <c r="L1061" s="614"/>
      <c r="M1061" s="614"/>
      <c r="N1061" s="614"/>
      <c r="O1061" s="614"/>
      <c r="P1061" s="614"/>
      <c r="Q1061" s="614"/>
      <c r="R1061" s="614"/>
      <c r="S1061" s="614"/>
      <c r="T1061" s="614"/>
      <c r="U1061" s="614"/>
      <c r="V1061" s="614"/>
      <c r="W1061" s="614"/>
      <c r="X1061" s="614"/>
      <c r="Y1061" s="614"/>
      <c r="Z1061" s="614"/>
      <c r="AA1061" s="614"/>
      <c r="AB1061" s="614"/>
      <c r="AC1061" s="614"/>
      <c r="AJ1061" s="614"/>
      <c r="AK1061" s="614"/>
      <c r="AL1061" s="614"/>
      <c r="AM1061" s="614"/>
      <c r="AN1061" s="614"/>
      <c r="AO1061" s="614"/>
      <c r="AP1061" s="616"/>
      <c r="AQ1061" s="616"/>
      <c r="AR1061" s="616"/>
      <c r="AS1061" s="614"/>
      <c r="AT1061" s="614"/>
      <c r="AU1061" s="614"/>
      <c r="AV1061" s="614"/>
      <c r="AW1061" s="614"/>
      <c r="AX1061" s="614"/>
    </row>
    <row r="1062" spans="1:50" x14ac:dyDescent="0.25">
      <c r="A1062" s="612"/>
      <c r="B1062" s="612"/>
      <c r="C1062" s="613"/>
      <c r="D1062" s="612"/>
      <c r="E1062" s="612"/>
      <c r="F1062" s="613"/>
      <c r="G1062" s="612"/>
      <c r="H1062" s="612"/>
      <c r="I1062" s="735"/>
      <c r="J1062" s="612"/>
      <c r="K1062" s="613"/>
      <c r="L1062" s="614"/>
      <c r="M1062" s="614"/>
      <c r="N1062" s="614"/>
      <c r="O1062" s="614"/>
      <c r="P1062" s="614"/>
      <c r="Q1062" s="614"/>
      <c r="R1062" s="614"/>
      <c r="S1062" s="614"/>
      <c r="T1062" s="614"/>
      <c r="U1062" s="614"/>
      <c r="V1062" s="614"/>
      <c r="W1062" s="614"/>
      <c r="X1062" s="614"/>
      <c r="Y1062" s="614"/>
      <c r="Z1062" s="614"/>
      <c r="AA1062" s="614"/>
      <c r="AB1062" s="614"/>
      <c r="AC1062" s="614"/>
      <c r="AJ1062" s="614"/>
      <c r="AK1062" s="614"/>
      <c r="AL1062" s="614"/>
      <c r="AM1062" s="614"/>
      <c r="AN1062" s="614"/>
      <c r="AO1062" s="614"/>
      <c r="AP1062" s="616"/>
      <c r="AQ1062" s="616"/>
      <c r="AR1062" s="616"/>
      <c r="AS1062" s="614"/>
      <c r="AT1062" s="614"/>
      <c r="AU1062" s="614"/>
      <c r="AV1062" s="614"/>
      <c r="AW1062" s="614"/>
      <c r="AX1062" s="614"/>
    </row>
    <row r="1063" spans="1:50" x14ac:dyDescent="0.25">
      <c r="A1063" s="612"/>
      <c r="B1063" s="612"/>
      <c r="C1063" s="613"/>
      <c r="D1063" s="612"/>
      <c r="E1063" s="612"/>
      <c r="F1063" s="613"/>
      <c r="G1063" s="612"/>
      <c r="H1063" s="612"/>
      <c r="I1063" s="735"/>
      <c r="J1063" s="612"/>
      <c r="K1063" s="613"/>
      <c r="L1063" s="614"/>
      <c r="M1063" s="614"/>
      <c r="N1063" s="614"/>
      <c r="O1063" s="614"/>
      <c r="P1063" s="614"/>
      <c r="Q1063" s="614"/>
      <c r="R1063" s="614"/>
      <c r="S1063" s="614"/>
      <c r="T1063" s="614"/>
      <c r="U1063" s="614"/>
      <c r="V1063" s="614"/>
      <c r="W1063" s="614"/>
      <c r="X1063" s="614"/>
      <c r="Y1063" s="614"/>
      <c r="Z1063" s="614"/>
      <c r="AA1063" s="614"/>
      <c r="AB1063" s="614"/>
      <c r="AC1063" s="614"/>
      <c r="AJ1063" s="614"/>
      <c r="AK1063" s="614"/>
      <c r="AL1063" s="614"/>
      <c r="AM1063" s="614"/>
      <c r="AN1063" s="614"/>
      <c r="AO1063" s="614"/>
      <c r="AP1063" s="616"/>
      <c r="AQ1063" s="616"/>
      <c r="AR1063" s="616"/>
      <c r="AS1063" s="614"/>
      <c r="AT1063" s="614"/>
      <c r="AU1063" s="614"/>
      <c r="AV1063" s="614"/>
      <c r="AW1063" s="614"/>
      <c r="AX1063" s="614"/>
    </row>
    <row r="1064" spans="1:50" x14ac:dyDescent="0.25">
      <c r="A1064" s="612"/>
      <c r="B1064" s="612"/>
      <c r="C1064" s="613"/>
      <c r="D1064" s="612"/>
      <c r="E1064" s="612"/>
      <c r="F1064" s="613"/>
      <c r="G1064" s="612"/>
      <c r="H1064" s="612"/>
      <c r="I1064" s="735"/>
      <c r="J1064" s="612"/>
      <c r="K1064" s="613"/>
      <c r="L1064" s="614"/>
      <c r="M1064" s="614"/>
      <c r="N1064" s="614"/>
      <c r="O1064" s="614"/>
      <c r="P1064" s="614"/>
      <c r="Q1064" s="614"/>
      <c r="R1064" s="614"/>
      <c r="S1064" s="614"/>
      <c r="T1064" s="614"/>
      <c r="U1064" s="614"/>
      <c r="V1064" s="614"/>
      <c r="W1064" s="614"/>
      <c r="X1064" s="614"/>
      <c r="Y1064" s="614"/>
      <c r="Z1064" s="614"/>
      <c r="AA1064" s="614"/>
      <c r="AB1064" s="614"/>
      <c r="AC1064" s="614"/>
      <c r="AJ1064" s="614"/>
      <c r="AK1064" s="614"/>
      <c r="AL1064" s="614"/>
      <c r="AM1064" s="614"/>
      <c r="AN1064" s="614"/>
      <c r="AO1064" s="614"/>
      <c r="AP1064" s="616"/>
      <c r="AQ1064" s="616"/>
      <c r="AR1064" s="616"/>
      <c r="AS1064" s="614"/>
      <c r="AT1064" s="614"/>
      <c r="AU1064" s="614"/>
      <c r="AV1064" s="614"/>
      <c r="AW1064" s="614"/>
      <c r="AX1064" s="614"/>
    </row>
    <row r="1065" spans="1:50" x14ac:dyDescent="0.25">
      <c r="A1065" s="612"/>
      <c r="B1065" s="612"/>
      <c r="C1065" s="613"/>
      <c r="D1065" s="612"/>
      <c r="E1065" s="612"/>
      <c r="F1065" s="613"/>
      <c r="G1065" s="612"/>
      <c r="H1065" s="612"/>
      <c r="I1065" s="735"/>
      <c r="J1065" s="612"/>
      <c r="K1065" s="613"/>
      <c r="L1065" s="614"/>
      <c r="M1065" s="614"/>
      <c r="N1065" s="614"/>
      <c r="O1065" s="614"/>
      <c r="P1065" s="614"/>
      <c r="Q1065" s="614"/>
      <c r="R1065" s="614"/>
      <c r="S1065" s="614"/>
      <c r="T1065" s="614"/>
      <c r="U1065" s="614"/>
      <c r="V1065" s="614"/>
      <c r="W1065" s="614"/>
      <c r="X1065" s="614"/>
      <c r="Y1065" s="614"/>
      <c r="Z1065" s="614"/>
      <c r="AA1065" s="614"/>
      <c r="AB1065" s="614"/>
      <c r="AC1065" s="614"/>
      <c r="AJ1065" s="614"/>
      <c r="AK1065" s="614"/>
      <c r="AL1065" s="614"/>
      <c r="AM1065" s="614"/>
      <c r="AN1065" s="614"/>
      <c r="AO1065" s="614"/>
      <c r="AP1065" s="616"/>
      <c r="AQ1065" s="616"/>
      <c r="AR1065" s="616"/>
      <c r="AS1065" s="614"/>
      <c r="AT1065" s="614"/>
      <c r="AU1065" s="614"/>
      <c r="AV1065" s="614"/>
      <c r="AW1065" s="614"/>
      <c r="AX1065" s="614"/>
    </row>
    <row r="1066" spans="1:50" x14ac:dyDescent="0.25">
      <c r="A1066" s="612"/>
      <c r="B1066" s="612"/>
      <c r="C1066" s="613"/>
      <c r="D1066" s="612"/>
      <c r="E1066" s="612"/>
      <c r="F1066" s="613"/>
      <c r="G1066" s="612"/>
      <c r="H1066" s="612"/>
      <c r="I1066" s="735"/>
      <c r="J1066" s="612"/>
      <c r="K1066" s="613"/>
      <c r="L1066" s="614"/>
      <c r="M1066" s="614"/>
      <c r="N1066" s="614"/>
      <c r="O1066" s="614"/>
      <c r="P1066" s="614"/>
      <c r="Q1066" s="614"/>
      <c r="R1066" s="614"/>
      <c r="S1066" s="614"/>
      <c r="T1066" s="614"/>
      <c r="U1066" s="614"/>
      <c r="V1066" s="614"/>
      <c r="W1066" s="614"/>
      <c r="X1066" s="614"/>
      <c r="Y1066" s="614"/>
      <c r="Z1066" s="614"/>
      <c r="AA1066" s="614"/>
      <c r="AB1066" s="614"/>
      <c r="AC1066" s="614"/>
      <c r="AJ1066" s="614"/>
      <c r="AK1066" s="614"/>
      <c r="AL1066" s="614"/>
      <c r="AM1066" s="614"/>
      <c r="AN1066" s="614"/>
      <c r="AO1066" s="614"/>
      <c r="AP1066" s="616"/>
      <c r="AQ1066" s="616"/>
      <c r="AR1066" s="616"/>
      <c r="AS1066" s="614"/>
      <c r="AT1066" s="614"/>
      <c r="AU1066" s="614"/>
      <c r="AV1066" s="614"/>
      <c r="AW1066" s="614"/>
      <c r="AX1066" s="614"/>
    </row>
    <row r="1067" spans="1:50" x14ac:dyDescent="0.25">
      <c r="A1067" s="612"/>
      <c r="B1067" s="612"/>
      <c r="C1067" s="613"/>
      <c r="D1067" s="612"/>
      <c r="E1067" s="612"/>
      <c r="F1067" s="613"/>
      <c r="G1067" s="612"/>
      <c r="H1067" s="612"/>
      <c r="I1067" s="735"/>
      <c r="J1067" s="612"/>
      <c r="K1067" s="613"/>
      <c r="L1067" s="614"/>
      <c r="M1067" s="614"/>
      <c r="N1067" s="614"/>
      <c r="O1067" s="614"/>
      <c r="P1067" s="614"/>
      <c r="Q1067" s="614"/>
      <c r="R1067" s="614"/>
      <c r="S1067" s="614"/>
      <c r="T1067" s="614"/>
      <c r="U1067" s="614"/>
      <c r="V1067" s="614"/>
      <c r="W1067" s="614"/>
      <c r="X1067" s="614"/>
      <c r="Y1067" s="614"/>
      <c r="Z1067" s="614"/>
      <c r="AA1067" s="614"/>
      <c r="AB1067" s="614"/>
      <c r="AC1067" s="614"/>
      <c r="AJ1067" s="614"/>
      <c r="AK1067" s="614"/>
      <c r="AL1067" s="614"/>
      <c r="AM1067" s="614"/>
      <c r="AN1067" s="614"/>
      <c r="AO1067" s="614"/>
      <c r="AP1067" s="616"/>
      <c r="AQ1067" s="616"/>
      <c r="AR1067" s="616"/>
      <c r="AS1067" s="614"/>
      <c r="AT1067" s="614"/>
      <c r="AU1067" s="614"/>
      <c r="AV1067" s="614"/>
      <c r="AW1067" s="614"/>
      <c r="AX1067" s="614"/>
    </row>
    <row r="1068" spans="1:50" x14ac:dyDescent="0.25">
      <c r="A1068" s="612"/>
      <c r="B1068" s="612"/>
      <c r="C1068" s="613"/>
      <c r="D1068" s="612"/>
      <c r="E1068" s="612"/>
      <c r="F1068" s="613"/>
      <c r="G1068" s="612"/>
      <c r="H1068" s="612"/>
      <c r="I1068" s="735"/>
      <c r="J1068" s="612"/>
      <c r="K1068" s="613"/>
      <c r="L1068" s="614"/>
      <c r="M1068" s="614"/>
      <c r="N1068" s="614"/>
      <c r="O1068" s="614"/>
      <c r="P1068" s="614"/>
      <c r="Q1068" s="614"/>
      <c r="R1068" s="614"/>
      <c r="S1068" s="614"/>
      <c r="T1068" s="614"/>
      <c r="U1068" s="614"/>
      <c r="V1068" s="614"/>
      <c r="W1068" s="614"/>
      <c r="X1068" s="614"/>
      <c r="Y1068" s="614"/>
      <c r="Z1068" s="614"/>
      <c r="AA1068" s="614"/>
      <c r="AB1068" s="614"/>
      <c r="AC1068" s="614"/>
      <c r="AJ1068" s="614"/>
      <c r="AK1068" s="614"/>
      <c r="AL1068" s="614"/>
      <c r="AM1068" s="614"/>
      <c r="AN1068" s="614"/>
      <c r="AO1068" s="614"/>
      <c r="AP1068" s="616"/>
      <c r="AQ1068" s="616"/>
      <c r="AR1068" s="616"/>
      <c r="AS1068" s="614"/>
      <c r="AT1068" s="614"/>
      <c r="AU1068" s="614"/>
      <c r="AV1068" s="614"/>
      <c r="AW1068" s="614"/>
      <c r="AX1068" s="614"/>
    </row>
    <row r="1069" spans="1:50" x14ac:dyDescent="0.25">
      <c r="A1069" s="612"/>
      <c r="B1069" s="612"/>
      <c r="C1069" s="613"/>
      <c r="D1069" s="612"/>
      <c r="E1069" s="612"/>
      <c r="F1069" s="613"/>
      <c r="G1069" s="612"/>
      <c r="H1069" s="612"/>
      <c r="I1069" s="735"/>
      <c r="J1069" s="612"/>
      <c r="K1069" s="613"/>
      <c r="L1069" s="614"/>
      <c r="M1069" s="614"/>
      <c r="N1069" s="614"/>
      <c r="O1069" s="614"/>
      <c r="P1069" s="614"/>
      <c r="Q1069" s="614"/>
      <c r="R1069" s="614"/>
      <c r="S1069" s="614"/>
      <c r="T1069" s="614"/>
      <c r="U1069" s="614"/>
      <c r="V1069" s="614"/>
      <c r="W1069" s="614"/>
      <c r="X1069" s="614"/>
      <c r="Y1069" s="614"/>
      <c r="Z1069" s="614"/>
      <c r="AA1069" s="614"/>
      <c r="AB1069" s="614"/>
      <c r="AC1069" s="614"/>
      <c r="AJ1069" s="614"/>
      <c r="AK1069" s="614"/>
      <c r="AL1069" s="614"/>
      <c r="AM1069" s="614"/>
      <c r="AN1069" s="614"/>
      <c r="AO1069" s="614"/>
      <c r="AP1069" s="616"/>
      <c r="AQ1069" s="616"/>
      <c r="AR1069" s="616"/>
      <c r="AS1069" s="614"/>
      <c r="AT1069" s="614"/>
      <c r="AU1069" s="614"/>
      <c r="AV1069" s="614"/>
      <c r="AW1069" s="614"/>
      <c r="AX1069" s="614"/>
    </row>
    <row r="1070" spans="1:50" x14ac:dyDescent="0.25">
      <c r="A1070" s="612"/>
      <c r="B1070" s="612"/>
      <c r="C1070" s="613"/>
      <c r="D1070" s="612"/>
      <c r="E1070" s="612"/>
      <c r="F1070" s="613"/>
      <c r="G1070" s="612"/>
      <c r="H1070" s="612"/>
      <c r="I1070" s="735"/>
      <c r="J1070" s="612"/>
      <c r="K1070" s="613"/>
      <c r="L1070" s="614"/>
      <c r="M1070" s="614"/>
      <c r="N1070" s="614"/>
      <c r="O1070" s="614"/>
      <c r="P1070" s="614"/>
      <c r="Q1070" s="614"/>
      <c r="R1070" s="614"/>
      <c r="S1070" s="614"/>
      <c r="T1070" s="614"/>
      <c r="U1070" s="614"/>
      <c r="V1070" s="614"/>
      <c r="W1070" s="614"/>
      <c r="X1070" s="614"/>
      <c r="Y1070" s="614"/>
      <c r="Z1070" s="614"/>
      <c r="AA1070" s="614"/>
      <c r="AB1070" s="614"/>
      <c r="AC1070" s="614"/>
      <c r="AJ1070" s="614"/>
      <c r="AK1070" s="614"/>
      <c r="AL1070" s="614"/>
      <c r="AM1070" s="614"/>
      <c r="AN1070" s="614"/>
      <c r="AO1070" s="614"/>
      <c r="AP1070" s="616"/>
      <c r="AQ1070" s="616"/>
      <c r="AR1070" s="616"/>
      <c r="AS1070" s="614"/>
      <c r="AT1070" s="614"/>
      <c r="AU1070" s="614"/>
      <c r="AV1070" s="614"/>
      <c r="AW1070" s="614"/>
      <c r="AX1070" s="614"/>
    </row>
    <row r="1071" spans="1:50" x14ac:dyDescent="0.25">
      <c r="A1071" s="612"/>
      <c r="B1071" s="612"/>
      <c r="C1071" s="613"/>
      <c r="D1071" s="612"/>
      <c r="E1071" s="612"/>
      <c r="F1071" s="613"/>
      <c r="G1071" s="612"/>
      <c r="H1071" s="612"/>
      <c r="I1071" s="735"/>
      <c r="J1071" s="612"/>
      <c r="K1071" s="613"/>
      <c r="L1071" s="614"/>
      <c r="M1071" s="614"/>
      <c r="N1071" s="614"/>
      <c r="O1071" s="614"/>
      <c r="P1071" s="614"/>
      <c r="Q1071" s="614"/>
      <c r="R1071" s="614"/>
      <c r="S1071" s="614"/>
      <c r="T1071" s="614"/>
      <c r="U1071" s="614"/>
      <c r="V1071" s="614"/>
      <c r="W1071" s="614"/>
      <c r="X1071" s="614"/>
      <c r="Y1071" s="614"/>
      <c r="Z1071" s="614"/>
      <c r="AA1071" s="614"/>
      <c r="AB1071" s="614"/>
      <c r="AC1071" s="614"/>
      <c r="AJ1071" s="614"/>
      <c r="AK1071" s="614"/>
      <c r="AL1071" s="614"/>
      <c r="AM1071" s="614"/>
      <c r="AN1071" s="614"/>
      <c r="AO1071" s="614"/>
      <c r="AP1071" s="616"/>
      <c r="AQ1071" s="616"/>
      <c r="AR1071" s="616"/>
      <c r="AS1071" s="614"/>
      <c r="AT1071" s="614"/>
      <c r="AU1071" s="614"/>
      <c r="AV1071" s="614"/>
      <c r="AW1071" s="614"/>
      <c r="AX1071" s="614"/>
    </row>
    <row r="1072" spans="1:50" x14ac:dyDescent="0.25">
      <c r="A1072" s="612"/>
      <c r="B1072" s="612"/>
      <c r="C1072" s="613"/>
      <c r="D1072" s="612"/>
      <c r="E1072" s="612"/>
      <c r="F1072" s="613"/>
      <c r="G1072" s="612"/>
      <c r="H1072" s="612"/>
      <c r="I1072" s="735"/>
      <c r="J1072" s="612"/>
      <c r="K1072" s="613"/>
      <c r="L1072" s="614"/>
      <c r="M1072" s="614"/>
      <c r="N1072" s="614"/>
      <c r="O1072" s="614"/>
      <c r="P1072" s="614"/>
      <c r="Q1072" s="614"/>
      <c r="R1072" s="614"/>
      <c r="S1072" s="614"/>
      <c r="T1072" s="614"/>
      <c r="U1072" s="614"/>
      <c r="V1072" s="614"/>
      <c r="W1072" s="614"/>
      <c r="X1072" s="614"/>
      <c r="Y1072" s="614"/>
      <c r="Z1072" s="614"/>
      <c r="AA1072" s="614"/>
      <c r="AB1072" s="614"/>
      <c r="AC1072" s="614"/>
      <c r="AJ1072" s="614"/>
      <c r="AK1072" s="614"/>
      <c r="AL1072" s="614"/>
      <c r="AM1072" s="614"/>
      <c r="AN1072" s="614"/>
      <c r="AO1072" s="614"/>
      <c r="AP1072" s="616"/>
      <c r="AQ1072" s="616"/>
      <c r="AR1072" s="616"/>
      <c r="AS1072" s="614"/>
      <c r="AT1072" s="614"/>
      <c r="AU1072" s="614"/>
      <c r="AV1072" s="614"/>
      <c r="AW1072" s="614"/>
      <c r="AX1072" s="614"/>
    </row>
    <row r="1073" spans="1:50" x14ac:dyDescent="0.25">
      <c r="A1073" s="612"/>
      <c r="B1073" s="612"/>
      <c r="C1073" s="613"/>
      <c r="D1073" s="612"/>
      <c r="E1073" s="612"/>
      <c r="F1073" s="613"/>
      <c r="G1073" s="612"/>
      <c r="H1073" s="612"/>
      <c r="I1073" s="735"/>
      <c r="J1073" s="612"/>
      <c r="K1073" s="613"/>
      <c r="L1073" s="614"/>
      <c r="M1073" s="614"/>
      <c r="N1073" s="614"/>
      <c r="O1073" s="614"/>
      <c r="P1073" s="614"/>
      <c r="Q1073" s="614"/>
      <c r="R1073" s="614"/>
      <c r="S1073" s="614"/>
      <c r="T1073" s="614"/>
      <c r="U1073" s="614"/>
      <c r="V1073" s="614"/>
      <c r="W1073" s="614"/>
      <c r="X1073" s="614"/>
      <c r="Y1073" s="614"/>
      <c r="Z1073" s="614"/>
      <c r="AA1073" s="614"/>
      <c r="AB1073" s="614"/>
      <c r="AC1073" s="614"/>
      <c r="AJ1073" s="614"/>
      <c r="AK1073" s="614"/>
      <c r="AL1073" s="614"/>
      <c r="AM1073" s="614"/>
      <c r="AN1073" s="614"/>
      <c r="AO1073" s="614"/>
      <c r="AP1073" s="616"/>
      <c r="AQ1073" s="616"/>
      <c r="AR1073" s="616"/>
      <c r="AS1073" s="614"/>
      <c r="AT1073" s="614"/>
      <c r="AU1073" s="614"/>
      <c r="AV1073" s="614"/>
      <c r="AW1073" s="614"/>
      <c r="AX1073" s="614"/>
    </row>
    <row r="1074" spans="1:50" x14ac:dyDescent="0.25">
      <c r="A1074" s="612"/>
      <c r="B1074" s="612"/>
      <c r="C1074" s="613"/>
      <c r="D1074" s="612"/>
      <c r="E1074" s="612"/>
      <c r="F1074" s="613"/>
      <c r="G1074" s="612"/>
      <c r="H1074" s="612"/>
      <c r="I1074" s="735"/>
      <c r="J1074" s="612"/>
      <c r="K1074" s="613"/>
      <c r="L1074" s="614"/>
      <c r="M1074" s="614"/>
      <c r="N1074" s="614"/>
      <c r="O1074" s="614"/>
      <c r="P1074" s="614"/>
      <c r="Q1074" s="614"/>
      <c r="R1074" s="614"/>
      <c r="S1074" s="614"/>
      <c r="T1074" s="614"/>
      <c r="U1074" s="614"/>
      <c r="V1074" s="614"/>
      <c r="W1074" s="614"/>
      <c r="X1074" s="614"/>
      <c r="Y1074" s="614"/>
      <c r="Z1074" s="614"/>
      <c r="AA1074" s="614"/>
      <c r="AB1074" s="614"/>
      <c r="AC1074" s="614"/>
      <c r="AJ1074" s="614"/>
      <c r="AK1074" s="614"/>
      <c r="AL1074" s="614"/>
      <c r="AM1074" s="614"/>
      <c r="AN1074" s="614"/>
      <c r="AO1074" s="614"/>
      <c r="AP1074" s="616"/>
      <c r="AQ1074" s="616"/>
      <c r="AR1074" s="616"/>
      <c r="AS1074" s="614"/>
      <c r="AT1074" s="614"/>
      <c r="AU1074" s="614"/>
      <c r="AV1074" s="614"/>
      <c r="AW1074" s="614"/>
      <c r="AX1074" s="614"/>
    </row>
    <row r="1075" spans="1:50" x14ac:dyDescent="0.25">
      <c r="A1075" s="612"/>
      <c r="B1075" s="612"/>
      <c r="C1075" s="613"/>
      <c r="D1075" s="612"/>
      <c r="E1075" s="612"/>
      <c r="F1075" s="613"/>
      <c r="G1075" s="612"/>
      <c r="H1075" s="612"/>
      <c r="I1075" s="735"/>
      <c r="J1075" s="612"/>
      <c r="K1075" s="613"/>
      <c r="L1075" s="614"/>
      <c r="M1075" s="614"/>
      <c r="N1075" s="614"/>
      <c r="O1075" s="614"/>
      <c r="P1075" s="614"/>
      <c r="Q1075" s="614"/>
      <c r="R1075" s="614"/>
      <c r="S1075" s="614"/>
      <c r="T1075" s="614"/>
      <c r="U1075" s="614"/>
      <c r="V1075" s="614"/>
      <c r="W1075" s="614"/>
      <c r="X1075" s="614"/>
      <c r="Y1075" s="614"/>
      <c r="Z1075" s="614"/>
      <c r="AA1075" s="614"/>
      <c r="AB1075" s="614"/>
      <c r="AC1075" s="614"/>
      <c r="AJ1075" s="614"/>
      <c r="AK1075" s="614"/>
      <c r="AL1075" s="614"/>
      <c r="AM1075" s="614"/>
      <c r="AN1075" s="614"/>
      <c r="AO1075" s="614"/>
      <c r="AP1075" s="616"/>
      <c r="AQ1075" s="616"/>
      <c r="AR1075" s="616"/>
      <c r="AS1075" s="614"/>
      <c r="AT1075" s="614"/>
      <c r="AU1075" s="614"/>
      <c r="AV1075" s="614"/>
      <c r="AW1075" s="614"/>
      <c r="AX1075" s="614"/>
    </row>
    <row r="1076" spans="1:50" x14ac:dyDescent="0.25">
      <c r="A1076" s="612"/>
      <c r="B1076" s="612"/>
      <c r="C1076" s="613"/>
      <c r="D1076" s="612"/>
      <c r="E1076" s="612"/>
      <c r="F1076" s="613"/>
      <c r="G1076" s="612"/>
      <c r="H1076" s="612"/>
      <c r="I1076" s="735"/>
      <c r="J1076" s="612"/>
      <c r="K1076" s="613"/>
      <c r="L1076" s="614"/>
      <c r="M1076" s="614"/>
      <c r="N1076" s="614"/>
      <c r="O1076" s="614"/>
      <c r="P1076" s="614"/>
      <c r="Q1076" s="614"/>
      <c r="R1076" s="614"/>
      <c r="S1076" s="614"/>
      <c r="T1076" s="614"/>
      <c r="U1076" s="614"/>
      <c r="V1076" s="614"/>
      <c r="W1076" s="614"/>
      <c r="X1076" s="614"/>
      <c r="Y1076" s="614"/>
      <c r="Z1076" s="614"/>
      <c r="AA1076" s="614"/>
      <c r="AB1076" s="614"/>
      <c r="AC1076" s="614"/>
      <c r="AJ1076" s="614"/>
      <c r="AK1076" s="614"/>
      <c r="AL1076" s="614"/>
      <c r="AM1076" s="614"/>
      <c r="AN1076" s="614"/>
      <c r="AO1076" s="614"/>
      <c r="AP1076" s="616"/>
      <c r="AQ1076" s="616"/>
      <c r="AR1076" s="616"/>
      <c r="AS1076" s="614"/>
      <c r="AT1076" s="614"/>
      <c r="AU1076" s="614"/>
      <c r="AV1076" s="614"/>
      <c r="AW1076" s="614"/>
      <c r="AX1076" s="614"/>
    </row>
    <row r="1077" spans="1:50" x14ac:dyDescent="0.25">
      <c r="A1077" s="612"/>
      <c r="B1077" s="612"/>
      <c r="C1077" s="613"/>
      <c r="D1077" s="612"/>
      <c r="E1077" s="612"/>
      <c r="F1077" s="613"/>
      <c r="G1077" s="612"/>
      <c r="H1077" s="612"/>
      <c r="I1077" s="735"/>
      <c r="J1077" s="612"/>
      <c r="K1077" s="613"/>
      <c r="L1077" s="614"/>
      <c r="M1077" s="614"/>
      <c r="N1077" s="614"/>
      <c r="O1077" s="614"/>
      <c r="P1077" s="614"/>
      <c r="Q1077" s="614"/>
      <c r="R1077" s="614"/>
      <c r="S1077" s="614"/>
      <c r="T1077" s="614"/>
      <c r="U1077" s="614"/>
      <c r="V1077" s="614"/>
      <c r="W1077" s="614"/>
      <c r="X1077" s="614"/>
      <c r="Y1077" s="614"/>
      <c r="Z1077" s="614"/>
      <c r="AA1077" s="614"/>
      <c r="AB1077" s="614"/>
      <c r="AC1077" s="614"/>
      <c r="AJ1077" s="614"/>
      <c r="AK1077" s="614"/>
      <c r="AL1077" s="614"/>
      <c r="AM1077" s="614"/>
      <c r="AN1077" s="614"/>
      <c r="AO1077" s="614"/>
      <c r="AP1077" s="616"/>
      <c r="AQ1077" s="616"/>
      <c r="AR1077" s="616"/>
      <c r="AS1077" s="614"/>
      <c r="AT1077" s="614"/>
      <c r="AU1077" s="614"/>
      <c r="AV1077" s="614"/>
      <c r="AW1077" s="614"/>
      <c r="AX1077" s="614"/>
    </row>
    <row r="1078" spans="1:50" x14ac:dyDescent="0.25">
      <c r="A1078" s="612"/>
      <c r="B1078" s="612"/>
      <c r="C1078" s="613"/>
      <c r="D1078" s="612"/>
      <c r="E1078" s="612"/>
      <c r="F1078" s="613"/>
      <c r="G1078" s="612"/>
      <c r="H1078" s="612"/>
      <c r="I1078" s="735"/>
      <c r="J1078" s="612"/>
      <c r="K1078" s="613"/>
      <c r="L1078" s="614"/>
      <c r="M1078" s="614"/>
      <c r="N1078" s="614"/>
      <c r="O1078" s="614"/>
      <c r="P1078" s="614"/>
      <c r="Q1078" s="614"/>
      <c r="R1078" s="614"/>
      <c r="S1078" s="614"/>
      <c r="T1078" s="614"/>
      <c r="U1078" s="614"/>
      <c r="V1078" s="614"/>
      <c r="W1078" s="614"/>
      <c r="X1078" s="614"/>
      <c r="Y1078" s="614"/>
      <c r="Z1078" s="614"/>
      <c r="AA1078" s="614"/>
      <c r="AB1078" s="614"/>
      <c r="AC1078" s="614"/>
      <c r="AJ1078" s="614"/>
      <c r="AK1078" s="614"/>
      <c r="AL1078" s="614"/>
      <c r="AM1078" s="614"/>
      <c r="AN1078" s="614"/>
      <c r="AO1078" s="614"/>
      <c r="AP1078" s="616"/>
      <c r="AQ1078" s="616"/>
      <c r="AR1078" s="616"/>
      <c r="AS1078" s="614"/>
      <c r="AT1078" s="614"/>
      <c r="AU1078" s="614"/>
      <c r="AV1078" s="614"/>
      <c r="AW1078" s="614"/>
      <c r="AX1078" s="614"/>
    </row>
    <row r="1079" spans="1:50" x14ac:dyDescent="0.25">
      <c r="A1079" s="612"/>
      <c r="B1079" s="612"/>
      <c r="C1079" s="613"/>
      <c r="D1079" s="612"/>
      <c r="E1079" s="612"/>
      <c r="F1079" s="613"/>
      <c r="G1079" s="612"/>
      <c r="H1079" s="612"/>
      <c r="I1079" s="735"/>
      <c r="J1079" s="612"/>
      <c r="K1079" s="613"/>
      <c r="L1079" s="614"/>
      <c r="M1079" s="614"/>
      <c r="N1079" s="614"/>
      <c r="O1079" s="614"/>
      <c r="P1079" s="614"/>
      <c r="Q1079" s="614"/>
      <c r="R1079" s="614"/>
      <c r="S1079" s="614"/>
      <c r="T1079" s="614"/>
      <c r="U1079" s="614"/>
      <c r="V1079" s="614"/>
      <c r="W1079" s="614"/>
      <c r="X1079" s="614"/>
      <c r="Y1079" s="614"/>
      <c r="Z1079" s="614"/>
      <c r="AA1079" s="614"/>
      <c r="AB1079" s="614"/>
      <c r="AC1079" s="614"/>
      <c r="AJ1079" s="614"/>
      <c r="AK1079" s="614"/>
      <c r="AL1079" s="614"/>
      <c r="AM1079" s="614"/>
      <c r="AN1079" s="614"/>
      <c r="AO1079" s="614"/>
      <c r="AP1079" s="616"/>
      <c r="AQ1079" s="616"/>
      <c r="AR1079" s="616"/>
      <c r="AS1079" s="614"/>
      <c r="AT1079" s="614"/>
      <c r="AU1079" s="614"/>
      <c r="AV1079" s="614"/>
      <c r="AW1079" s="614"/>
      <c r="AX1079" s="614"/>
    </row>
    <row r="1080" spans="1:50" x14ac:dyDescent="0.25">
      <c r="A1080" s="612"/>
      <c r="B1080" s="612"/>
      <c r="C1080" s="613"/>
      <c r="D1080" s="612"/>
      <c r="E1080" s="612"/>
      <c r="F1080" s="613"/>
      <c r="G1080" s="612"/>
      <c r="H1080" s="612"/>
      <c r="I1080" s="735"/>
      <c r="J1080" s="612"/>
      <c r="K1080" s="613"/>
      <c r="L1080" s="614"/>
      <c r="M1080" s="614"/>
      <c r="N1080" s="614"/>
      <c r="O1080" s="614"/>
      <c r="P1080" s="614"/>
      <c r="Q1080" s="614"/>
      <c r="R1080" s="614"/>
      <c r="S1080" s="614"/>
      <c r="T1080" s="614"/>
      <c r="U1080" s="614"/>
      <c r="V1080" s="614"/>
      <c r="W1080" s="614"/>
      <c r="X1080" s="614"/>
      <c r="Y1080" s="614"/>
      <c r="Z1080" s="614"/>
      <c r="AA1080" s="614"/>
      <c r="AB1080" s="614"/>
      <c r="AC1080" s="614"/>
      <c r="AJ1080" s="614"/>
      <c r="AK1080" s="614"/>
      <c r="AL1080" s="614"/>
      <c r="AM1080" s="614"/>
      <c r="AN1080" s="614"/>
      <c r="AO1080" s="614"/>
      <c r="AP1080" s="616"/>
      <c r="AQ1080" s="616"/>
      <c r="AR1080" s="616"/>
      <c r="AS1080" s="614"/>
      <c r="AT1080" s="614"/>
      <c r="AU1080" s="614"/>
      <c r="AV1080" s="614"/>
      <c r="AW1080" s="614"/>
      <c r="AX1080" s="614"/>
    </row>
    <row r="1081" spans="1:50" x14ac:dyDescent="0.25">
      <c r="A1081" s="612"/>
      <c r="B1081" s="612"/>
      <c r="C1081" s="613"/>
      <c r="D1081" s="612"/>
      <c r="E1081" s="612"/>
      <c r="F1081" s="613"/>
      <c r="G1081" s="612"/>
      <c r="H1081" s="612"/>
      <c r="I1081" s="735"/>
      <c r="J1081" s="612"/>
      <c r="K1081" s="613"/>
      <c r="L1081" s="614"/>
      <c r="M1081" s="614"/>
      <c r="N1081" s="614"/>
      <c r="O1081" s="614"/>
      <c r="P1081" s="614"/>
      <c r="Q1081" s="614"/>
      <c r="R1081" s="614"/>
      <c r="S1081" s="614"/>
      <c r="T1081" s="614"/>
      <c r="U1081" s="614"/>
      <c r="V1081" s="614"/>
      <c r="W1081" s="614"/>
      <c r="X1081" s="614"/>
      <c r="Y1081" s="614"/>
      <c r="Z1081" s="614"/>
      <c r="AA1081" s="614"/>
      <c r="AB1081" s="614"/>
      <c r="AC1081" s="614"/>
      <c r="AJ1081" s="614"/>
      <c r="AK1081" s="614"/>
      <c r="AL1081" s="614"/>
      <c r="AM1081" s="614"/>
      <c r="AN1081" s="614"/>
      <c r="AO1081" s="614"/>
      <c r="AP1081" s="616"/>
      <c r="AQ1081" s="616"/>
      <c r="AR1081" s="616"/>
      <c r="AS1081" s="614"/>
      <c r="AT1081" s="614"/>
      <c r="AU1081" s="614"/>
      <c r="AV1081" s="614"/>
      <c r="AW1081" s="614"/>
      <c r="AX1081" s="614"/>
    </row>
    <row r="1082" spans="1:50" x14ac:dyDescent="0.25">
      <c r="A1082" s="612"/>
      <c r="B1082" s="612"/>
      <c r="C1082" s="613"/>
      <c r="D1082" s="612"/>
      <c r="E1082" s="612"/>
      <c r="F1082" s="613"/>
      <c r="G1082" s="612"/>
      <c r="H1082" s="612"/>
      <c r="I1082" s="735"/>
      <c r="J1082" s="612"/>
      <c r="K1082" s="613"/>
      <c r="L1082" s="614"/>
      <c r="M1082" s="614"/>
      <c r="N1082" s="614"/>
      <c r="O1082" s="614"/>
      <c r="P1082" s="614"/>
      <c r="Q1082" s="614"/>
      <c r="R1082" s="614"/>
      <c r="S1082" s="614"/>
      <c r="T1082" s="614"/>
      <c r="U1082" s="614"/>
      <c r="V1082" s="614"/>
      <c r="W1082" s="614"/>
      <c r="X1082" s="614"/>
      <c r="Y1082" s="614"/>
      <c r="Z1082" s="614"/>
      <c r="AA1082" s="614"/>
      <c r="AB1082" s="614"/>
      <c r="AC1082" s="614"/>
      <c r="AJ1082" s="614"/>
      <c r="AK1082" s="614"/>
      <c r="AL1082" s="614"/>
      <c r="AM1082" s="614"/>
      <c r="AN1082" s="614"/>
      <c r="AO1082" s="614"/>
      <c r="AP1082" s="616"/>
      <c r="AQ1082" s="616"/>
      <c r="AR1082" s="616"/>
      <c r="AS1082" s="614"/>
      <c r="AT1082" s="614"/>
      <c r="AU1082" s="614"/>
      <c r="AV1082" s="614"/>
      <c r="AW1082" s="614"/>
      <c r="AX1082" s="614"/>
    </row>
    <row r="1083" spans="1:50" x14ac:dyDescent="0.25">
      <c r="A1083" s="612"/>
      <c r="B1083" s="612"/>
      <c r="C1083" s="613"/>
      <c r="D1083" s="612"/>
      <c r="E1083" s="612"/>
      <c r="F1083" s="613"/>
      <c r="G1083" s="612"/>
      <c r="H1083" s="612"/>
      <c r="I1083" s="735"/>
      <c r="J1083" s="612"/>
      <c r="K1083" s="613"/>
      <c r="L1083" s="614"/>
      <c r="M1083" s="614"/>
      <c r="N1083" s="614"/>
      <c r="O1083" s="614"/>
      <c r="P1083" s="614"/>
      <c r="Q1083" s="614"/>
      <c r="R1083" s="614"/>
      <c r="S1083" s="614"/>
      <c r="T1083" s="614"/>
      <c r="U1083" s="614"/>
      <c r="V1083" s="614"/>
      <c r="W1083" s="614"/>
      <c r="X1083" s="614"/>
      <c r="Y1083" s="614"/>
      <c r="Z1083" s="614"/>
      <c r="AA1083" s="614"/>
      <c r="AB1083" s="614"/>
      <c r="AC1083" s="614"/>
      <c r="AJ1083" s="614"/>
      <c r="AK1083" s="614"/>
      <c r="AL1083" s="614"/>
      <c r="AM1083" s="614"/>
      <c r="AN1083" s="614"/>
      <c r="AO1083" s="614"/>
      <c r="AP1083" s="616"/>
      <c r="AQ1083" s="616"/>
      <c r="AR1083" s="616"/>
      <c r="AS1083" s="614"/>
      <c r="AT1083" s="614"/>
      <c r="AU1083" s="614"/>
      <c r="AV1083" s="614"/>
      <c r="AW1083" s="614"/>
      <c r="AX1083" s="614"/>
    </row>
    <row r="1084" spans="1:50" x14ac:dyDescent="0.25">
      <c r="A1084" s="612"/>
      <c r="B1084" s="612"/>
      <c r="C1084" s="613"/>
      <c r="D1084" s="612"/>
      <c r="E1084" s="612"/>
      <c r="F1084" s="613"/>
      <c r="G1084" s="612"/>
      <c r="H1084" s="612"/>
      <c r="I1084" s="735"/>
      <c r="J1084" s="612"/>
      <c r="K1084" s="613"/>
      <c r="L1084" s="614"/>
      <c r="M1084" s="614"/>
      <c r="N1084" s="614"/>
      <c r="O1084" s="614"/>
      <c r="P1084" s="614"/>
      <c r="Q1084" s="614"/>
      <c r="R1084" s="614"/>
      <c r="S1084" s="614"/>
      <c r="T1084" s="614"/>
      <c r="U1084" s="614"/>
      <c r="V1084" s="614"/>
      <c r="W1084" s="614"/>
      <c r="X1084" s="614"/>
      <c r="Y1084" s="614"/>
      <c r="Z1084" s="614"/>
      <c r="AA1084" s="614"/>
      <c r="AB1084" s="614"/>
      <c r="AC1084" s="614"/>
      <c r="AJ1084" s="614"/>
      <c r="AK1084" s="614"/>
      <c r="AL1084" s="614"/>
      <c r="AM1084" s="614"/>
      <c r="AN1084" s="614"/>
      <c r="AO1084" s="614"/>
      <c r="AP1084" s="616"/>
      <c r="AQ1084" s="616"/>
      <c r="AR1084" s="616"/>
      <c r="AS1084" s="614"/>
      <c r="AT1084" s="614"/>
      <c r="AU1084" s="614"/>
      <c r="AV1084" s="614"/>
      <c r="AW1084" s="614"/>
      <c r="AX1084" s="614"/>
    </row>
    <row r="1085" spans="1:50" x14ac:dyDescent="0.25">
      <c r="A1085" s="612"/>
      <c r="B1085" s="612"/>
      <c r="C1085" s="613"/>
      <c r="D1085" s="612"/>
      <c r="E1085" s="612"/>
      <c r="F1085" s="613"/>
      <c r="G1085" s="612"/>
      <c r="H1085" s="612"/>
      <c r="I1085" s="735"/>
      <c r="J1085" s="612"/>
      <c r="K1085" s="613"/>
      <c r="L1085" s="614"/>
      <c r="M1085" s="614"/>
      <c r="N1085" s="614"/>
      <c r="O1085" s="614"/>
      <c r="P1085" s="614"/>
      <c r="Q1085" s="614"/>
      <c r="R1085" s="614"/>
      <c r="S1085" s="614"/>
      <c r="T1085" s="614"/>
      <c r="U1085" s="614"/>
      <c r="V1085" s="614"/>
      <c r="W1085" s="614"/>
      <c r="X1085" s="614"/>
      <c r="Y1085" s="614"/>
      <c r="Z1085" s="614"/>
      <c r="AA1085" s="614"/>
      <c r="AB1085" s="614"/>
      <c r="AC1085" s="614"/>
      <c r="AJ1085" s="614"/>
      <c r="AK1085" s="614"/>
      <c r="AL1085" s="614"/>
      <c r="AM1085" s="614"/>
      <c r="AN1085" s="614"/>
      <c r="AO1085" s="614"/>
      <c r="AP1085" s="616"/>
      <c r="AQ1085" s="616"/>
      <c r="AR1085" s="616"/>
      <c r="AS1085" s="614"/>
      <c r="AT1085" s="614"/>
      <c r="AU1085" s="614"/>
      <c r="AV1085" s="614"/>
      <c r="AW1085" s="614"/>
      <c r="AX1085" s="614"/>
    </row>
    <row r="1086" spans="1:50" x14ac:dyDescent="0.25">
      <c r="A1086" s="612"/>
      <c r="B1086" s="612"/>
      <c r="C1086" s="613"/>
      <c r="D1086" s="612"/>
      <c r="E1086" s="612"/>
      <c r="F1086" s="613"/>
      <c r="G1086" s="612"/>
      <c r="H1086" s="612"/>
      <c r="I1086" s="735"/>
      <c r="J1086" s="612"/>
      <c r="K1086" s="613"/>
      <c r="L1086" s="614"/>
      <c r="M1086" s="614"/>
      <c r="N1086" s="614"/>
      <c r="O1086" s="614"/>
      <c r="P1086" s="614"/>
      <c r="Q1086" s="614"/>
      <c r="R1086" s="614"/>
      <c r="S1086" s="614"/>
      <c r="T1086" s="614"/>
      <c r="U1086" s="614"/>
      <c r="V1086" s="614"/>
      <c r="W1086" s="614"/>
      <c r="X1086" s="614"/>
      <c r="Y1086" s="614"/>
      <c r="Z1086" s="614"/>
      <c r="AA1086" s="614"/>
      <c r="AB1086" s="614"/>
      <c r="AC1086" s="614"/>
      <c r="AJ1086" s="614"/>
      <c r="AK1086" s="614"/>
      <c r="AL1086" s="614"/>
      <c r="AM1086" s="614"/>
      <c r="AN1086" s="614"/>
      <c r="AO1086" s="614"/>
      <c r="AP1086" s="616"/>
      <c r="AQ1086" s="616"/>
      <c r="AR1086" s="616"/>
      <c r="AS1086" s="614"/>
      <c r="AT1086" s="614"/>
      <c r="AU1086" s="614"/>
      <c r="AV1086" s="614"/>
      <c r="AW1086" s="614"/>
      <c r="AX1086" s="614"/>
    </row>
    <row r="1087" spans="1:50" x14ac:dyDescent="0.25">
      <c r="A1087" s="612"/>
      <c r="B1087" s="612"/>
      <c r="C1087" s="613"/>
      <c r="D1087" s="612"/>
      <c r="E1087" s="612"/>
      <c r="F1087" s="613"/>
      <c r="G1087" s="612"/>
      <c r="H1087" s="612"/>
      <c r="I1087" s="735"/>
      <c r="J1087" s="612"/>
      <c r="K1087" s="613"/>
      <c r="L1087" s="614"/>
      <c r="M1087" s="614"/>
      <c r="N1087" s="614"/>
      <c r="O1087" s="614"/>
      <c r="P1087" s="614"/>
      <c r="Q1087" s="614"/>
      <c r="R1087" s="614"/>
      <c r="S1087" s="614"/>
      <c r="T1087" s="614"/>
      <c r="U1087" s="614"/>
      <c r="V1087" s="614"/>
      <c r="W1087" s="614"/>
      <c r="X1087" s="614"/>
      <c r="Y1087" s="614"/>
      <c r="Z1087" s="614"/>
      <c r="AA1087" s="614"/>
      <c r="AB1087" s="614"/>
      <c r="AC1087" s="614"/>
      <c r="AJ1087" s="614"/>
      <c r="AK1087" s="614"/>
      <c r="AL1087" s="614"/>
      <c r="AM1087" s="614"/>
      <c r="AN1087" s="614"/>
      <c r="AO1087" s="614"/>
      <c r="AP1087" s="616"/>
      <c r="AQ1087" s="616"/>
      <c r="AR1087" s="616"/>
      <c r="AS1087" s="614"/>
      <c r="AT1087" s="614"/>
      <c r="AU1087" s="614"/>
      <c r="AV1087" s="614"/>
      <c r="AW1087" s="614"/>
      <c r="AX1087" s="614"/>
    </row>
    <row r="1088" spans="1:50" x14ac:dyDescent="0.25">
      <c r="A1088" s="612"/>
      <c r="B1088" s="612"/>
      <c r="C1088" s="613"/>
      <c r="D1088" s="612"/>
      <c r="E1088" s="612"/>
      <c r="F1088" s="613"/>
      <c r="G1088" s="612"/>
      <c r="H1088" s="612"/>
      <c r="I1088" s="735"/>
      <c r="J1088" s="612"/>
      <c r="K1088" s="613"/>
      <c r="L1088" s="614"/>
      <c r="M1088" s="614"/>
      <c r="N1088" s="614"/>
      <c r="O1088" s="614"/>
      <c r="P1088" s="614"/>
      <c r="Q1088" s="614"/>
      <c r="R1088" s="614"/>
      <c r="S1088" s="614"/>
      <c r="T1088" s="614"/>
      <c r="U1088" s="614"/>
      <c r="V1088" s="614"/>
      <c r="W1088" s="614"/>
      <c r="X1088" s="614"/>
      <c r="Y1088" s="614"/>
      <c r="Z1088" s="614"/>
      <c r="AA1088" s="614"/>
      <c r="AB1088" s="614"/>
      <c r="AC1088" s="614"/>
      <c r="AJ1088" s="614"/>
      <c r="AK1088" s="614"/>
      <c r="AL1088" s="614"/>
      <c r="AM1088" s="614"/>
      <c r="AN1088" s="614"/>
      <c r="AO1088" s="614"/>
      <c r="AP1088" s="616"/>
      <c r="AQ1088" s="616"/>
      <c r="AR1088" s="616"/>
      <c r="AS1088" s="614"/>
      <c r="AT1088" s="614"/>
      <c r="AU1088" s="614"/>
      <c r="AV1088" s="614"/>
      <c r="AW1088" s="614"/>
      <c r="AX1088" s="614"/>
    </row>
    <row r="1089" spans="1:50" x14ac:dyDescent="0.25">
      <c r="A1089" s="612"/>
      <c r="B1089" s="612"/>
      <c r="C1089" s="613"/>
      <c r="D1089" s="612"/>
      <c r="E1089" s="612"/>
      <c r="F1089" s="613"/>
      <c r="G1089" s="612"/>
      <c r="H1089" s="612"/>
      <c r="I1089" s="735"/>
      <c r="J1089" s="612"/>
      <c r="K1089" s="613"/>
      <c r="L1089" s="614"/>
      <c r="M1089" s="614"/>
      <c r="N1089" s="614"/>
      <c r="O1089" s="614"/>
      <c r="P1089" s="614"/>
      <c r="Q1089" s="614"/>
      <c r="R1089" s="614"/>
      <c r="S1089" s="614"/>
      <c r="T1089" s="614"/>
      <c r="U1089" s="614"/>
      <c r="V1089" s="614"/>
      <c r="W1089" s="614"/>
      <c r="X1089" s="614"/>
      <c r="Y1089" s="614"/>
      <c r="Z1089" s="614"/>
      <c r="AA1089" s="614"/>
      <c r="AB1089" s="614"/>
      <c r="AC1089" s="614"/>
      <c r="AJ1089" s="614"/>
      <c r="AK1089" s="614"/>
      <c r="AL1089" s="614"/>
      <c r="AM1089" s="614"/>
      <c r="AN1089" s="614"/>
      <c r="AO1089" s="614"/>
      <c r="AP1089" s="616"/>
      <c r="AQ1089" s="616"/>
      <c r="AR1089" s="616"/>
      <c r="AS1089" s="614"/>
      <c r="AT1089" s="614"/>
      <c r="AU1089" s="614"/>
      <c r="AV1089" s="614"/>
      <c r="AW1089" s="614"/>
      <c r="AX1089" s="614"/>
    </row>
    <row r="1090" spans="1:50" x14ac:dyDescent="0.25">
      <c r="A1090" s="612"/>
      <c r="B1090" s="612"/>
      <c r="C1090" s="613"/>
      <c r="D1090" s="612"/>
      <c r="E1090" s="612"/>
      <c r="F1090" s="613"/>
      <c r="G1090" s="612"/>
      <c r="H1090" s="612"/>
      <c r="I1090" s="735"/>
      <c r="J1090" s="612"/>
      <c r="K1090" s="613"/>
      <c r="L1090" s="614"/>
      <c r="M1090" s="614"/>
      <c r="N1090" s="614"/>
      <c r="O1090" s="614"/>
      <c r="P1090" s="614"/>
      <c r="Q1090" s="614"/>
      <c r="R1090" s="614"/>
      <c r="S1090" s="614"/>
      <c r="T1090" s="614"/>
      <c r="U1090" s="614"/>
      <c r="V1090" s="614"/>
      <c r="W1090" s="614"/>
      <c r="X1090" s="614"/>
      <c r="Y1090" s="614"/>
      <c r="Z1090" s="614"/>
      <c r="AA1090" s="614"/>
      <c r="AB1090" s="614"/>
      <c r="AC1090" s="614"/>
      <c r="AJ1090" s="614"/>
      <c r="AK1090" s="614"/>
      <c r="AL1090" s="614"/>
      <c r="AM1090" s="614"/>
      <c r="AN1090" s="614"/>
      <c r="AO1090" s="614"/>
      <c r="AP1090" s="616"/>
      <c r="AQ1090" s="616"/>
      <c r="AR1090" s="616"/>
      <c r="AS1090" s="614"/>
      <c r="AT1090" s="614"/>
      <c r="AU1090" s="614"/>
      <c r="AV1090" s="614"/>
      <c r="AW1090" s="614"/>
      <c r="AX1090" s="614"/>
    </row>
    <row r="1091" spans="1:50" x14ac:dyDescent="0.25">
      <c r="A1091" s="612"/>
      <c r="B1091" s="612"/>
      <c r="C1091" s="613"/>
      <c r="D1091" s="612"/>
      <c r="E1091" s="612"/>
      <c r="F1091" s="613"/>
      <c r="G1091" s="612"/>
      <c r="H1091" s="612"/>
      <c r="I1091" s="735"/>
      <c r="J1091" s="612"/>
      <c r="K1091" s="613"/>
      <c r="L1091" s="614"/>
      <c r="M1091" s="614"/>
      <c r="N1091" s="614"/>
      <c r="O1091" s="614"/>
      <c r="P1091" s="614"/>
      <c r="Q1091" s="614"/>
      <c r="R1091" s="614"/>
      <c r="S1091" s="614"/>
      <c r="T1091" s="614"/>
      <c r="U1091" s="614"/>
      <c r="V1091" s="614"/>
      <c r="W1091" s="614"/>
      <c r="X1091" s="614"/>
      <c r="Y1091" s="614"/>
      <c r="Z1091" s="614"/>
      <c r="AA1091" s="614"/>
      <c r="AB1091" s="614"/>
      <c r="AC1091" s="614"/>
      <c r="AJ1091" s="614"/>
      <c r="AK1091" s="614"/>
      <c r="AL1091" s="614"/>
      <c r="AM1091" s="614"/>
      <c r="AN1091" s="614"/>
      <c r="AO1091" s="614"/>
      <c r="AP1091" s="616"/>
      <c r="AQ1091" s="616"/>
      <c r="AR1091" s="616"/>
      <c r="AS1091" s="614"/>
      <c r="AT1091" s="614"/>
      <c r="AU1091" s="614"/>
      <c r="AV1091" s="614"/>
      <c r="AW1091" s="614"/>
      <c r="AX1091" s="614"/>
    </row>
    <row r="1092" spans="1:50" x14ac:dyDescent="0.25">
      <c r="A1092" s="612"/>
      <c r="B1092" s="612"/>
      <c r="C1092" s="613"/>
      <c r="D1092" s="612"/>
      <c r="E1092" s="612"/>
      <c r="F1092" s="613"/>
      <c r="G1092" s="612"/>
      <c r="H1092" s="612"/>
      <c r="I1092" s="735"/>
      <c r="J1092" s="612"/>
      <c r="K1092" s="613"/>
      <c r="L1092" s="614"/>
      <c r="M1092" s="614"/>
      <c r="N1092" s="614"/>
      <c r="O1092" s="614"/>
      <c r="P1092" s="614"/>
      <c r="Q1092" s="614"/>
      <c r="R1092" s="614"/>
      <c r="S1092" s="614"/>
      <c r="T1092" s="614"/>
      <c r="U1092" s="614"/>
      <c r="V1092" s="614"/>
      <c r="W1092" s="614"/>
      <c r="X1092" s="614"/>
      <c r="Y1092" s="614"/>
      <c r="Z1092" s="614"/>
      <c r="AA1092" s="614"/>
      <c r="AB1092" s="614"/>
      <c r="AC1092" s="614"/>
      <c r="AJ1092" s="614"/>
      <c r="AK1092" s="614"/>
      <c r="AL1092" s="614"/>
      <c r="AM1092" s="614"/>
      <c r="AN1092" s="614"/>
      <c r="AO1092" s="614"/>
      <c r="AP1092" s="616"/>
      <c r="AQ1092" s="616"/>
      <c r="AR1092" s="616"/>
      <c r="AS1092" s="614"/>
      <c r="AT1092" s="614"/>
      <c r="AU1092" s="614"/>
      <c r="AV1092" s="614"/>
      <c r="AW1092" s="614"/>
      <c r="AX1092" s="614"/>
    </row>
    <row r="1093" spans="1:50" x14ac:dyDescent="0.25">
      <c r="A1093" s="612"/>
      <c r="B1093" s="612"/>
      <c r="C1093" s="613"/>
      <c r="D1093" s="612"/>
      <c r="E1093" s="612"/>
      <c r="F1093" s="613"/>
      <c r="G1093" s="612"/>
      <c r="H1093" s="612"/>
      <c r="I1093" s="735"/>
      <c r="J1093" s="612"/>
      <c r="K1093" s="613"/>
      <c r="L1093" s="614"/>
      <c r="M1093" s="614"/>
      <c r="N1093" s="614"/>
      <c r="O1093" s="614"/>
      <c r="P1093" s="614"/>
      <c r="Q1093" s="614"/>
      <c r="R1093" s="614"/>
      <c r="S1093" s="614"/>
      <c r="T1093" s="614"/>
      <c r="U1093" s="614"/>
      <c r="V1093" s="614"/>
      <c r="W1093" s="614"/>
      <c r="X1093" s="614"/>
      <c r="Y1093" s="614"/>
      <c r="Z1093" s="614"/>
      <c r="AA1093" s="614"/>
      <c r="AB1093" s="614"/>
      <c r="AC1093" s="614"/>
      <c r="AJ1093" s="614"/>
      <c r="AK1093" s="614"/>
      <c r="AL1093" s="614"/>
      <c r="AM1093" s="614"/>
      <c r="AN1093" s="614"/>
      <c r="AO1093" s="614"/>
      <c r="AP1093" s="616"/>
      <c r="AQ1093" s="616"/>
      <c r="AR1093" s="616"/>
      <c r="AS1093" s="614"/>
      <c r="AT1093" s="614"/>
      <c r="AU1093" s="614"/>
      <c r="AV1093" s="614"/>
      <c r="AW1093" s="614"/>
      <c r="AX1093" s="614"/>
    </row>
    <row r="1094" spans="1:50" x14ac:dyDescent="0.25">
      <c r="A1094" s="612"/>
      <c r="B1094" s="612"/>
      <c r="C1094" s="613"/>
      <c r="D1094" s="612"/>
      <c r="E1094" s="612"/>
      <c r="F1094" s="613"/>
      <c r="G1094" s="612"/>
      <c r="H1094" s="612"/>
      <c r="I1094" s="735"/>
      <c r="J1094" s="612"/>
      <c r="K1094" s="613"/>
      <c r="L1094" s="614"/>
      <c r="M1094" s="614"/>
      <c r="N1094" s="614"/>
      <c r="O1094" s="614"/>
      <c r="P1094" s="614"/>
      <c r="Q1094" s="614"/>
      <c r="R1094" s="614"/>
      <c r="S1094" s="614"/>
      <c r="T1094" s="614"/>
      <c r="U1094" s="614"/>
      <c r="V1094" s="614"/>
      <c r="W1094" s="614"/>
      <c r="X1094" s="614"/>
      <c r="Y1094" s="614"/>
      <c r="Z1094" s="614"/>
      <c r="AA1094" s="614"/>
      <c r="AB1094" s="614"/>
      <c r="AC1094" s="614"/>
      <c r="AJ1094" s="614"/>
      <c r="AK1094" s="614"/>
      <c r="AL1094" s="614"/>
      <c r="AM1094" s="614"/>
      <c r="AN1094" s="614"/>
      <c r="AO1094" s="614"/>
      <c r="AP1094" s="616"/>
      <c r="AQ1094" s="616"/>
      <c r="AR1094" s="616"/>
      <c r="AS1094" s="614"/>
      <c r="AT1094" s="614"/>
      <c r="AU1094" s="614"/>
      <c r="AV1094" s="614"/>
      <c r="AW1094" s="614"/>
      <c r="AX1094" s="614"/>
    </row>
    <row r="1095" spans="1:50" x14ac:dyDescent="0.25">
      <c r="A1095" s="612"/>
      <c r="B1095" s="612"/>
      <c r="C1095" s="613"/>
      <c r="D1095" s="612"/>
      <c r="E1095" s="612"/>
      <c r="F1095" s="613"/>
      <c r="G1095" s="612"/>
      <c r="H1095" s="612"/>
      <c r="I1095" s="735"/>
      <c r="J1095" s="612"/>
      <c r="K1095" s="613"/>
      <c r="L1095" s="614"/>
      <c r="M1095" s="614"/>
      <c r="N1095" s="614"/>
      <c r="O1095" s="614"/>
      <c r="P1095" s="614"/>
      <c r="Q1095" s="614"/>
      <c r="R1095" s="614"/>
      <c r="S1095" s="614"/>
      <c r="T1095" s="614"/>
      <c r="U1095" s="614"/>
      <c r="V1095" s="614"/>
      <c r="W1095" s="614"/>
      <c r="X1095" s="614"/>
      <c r="Y1095" s="614"/>
      <c r="Z1095" s="614"/>
      <c r="AA1095" s="614"/>
      <c r="AB1095" s="614"/>
      <c r="AC1095" s="614"/>
      <c r="AJ1095" s="614"/>
      <c r="AK1095" s="614"/>
      <c r="AL1095" s="614"/>
      <c r="AM1095" s="614"/>
      <c r="AN1095" s="614"/>
      <c r="AO1095" s="614"/>
      <c r="AP1095" s="616"/>
      <c r="AQ1095" s="616"/>
      <c r="AR1095" s="616"/>
      <c r="AS1095" s="614"/>
      <c r="AT1095" s="614"/>
      <c r="AU1095" s="614"/>
      <c r="AV1095" s="614"/>
      <c r="AW1095" s="614"/>
      <c r="AX1095" s="614"/>
    </row>
    <row r="1096" spans="1:50" x14ac:dyDescent="0.25">
      <c r="A1096" s="612"/>
      <c r="B1096" s="612"/>
      <c r="C1096" s="613"/>
      <c r="D1096" s="612"/>
      <c r="E1096" s="612"/>
      <c r="F1096" s="613"/>
      <c r="G1096" s="612"/>
      <c r="H1096" s="612"/>
      <c r="I1096" s="735"/>
      <c r="J1096" s="612"/>
      <c r="K1096" s="613"/>
      <c r="L1096" s="614"/>
      <c r="M1096" s="614"/>
      <c r="N1096" s="614"/>
      <c r="O1096" s="614"/>
      <c r="P1096" s="614"/>
      <c r="Q1096" s="614"/>
      <c r="R1096" s="614"/>
      <c r="S1096" s="614"/>
      <c r="T1096" s="614"/>
      <c r="U1096" s="614"/>
      <c r="V1096" s="614"/>
      <c r="W1096" s="614"/>
      <c r="X1096" s="614"/>
      <c r="Y1096" s="614"/>
      <c r="Z1096" s="614"/>
      <c r="AA1096" s="614"/>
      <c r="AB1096" s="614"/>
      <c r="AC1096" s="614"/>
      <c r="AJ1096" s="614"/>
      <c r="AK1096" s="614"/>
      <c r="AL1096" s="614"/>
      <c r="AM1096" s="614"/>
      <c r="AN1096" s="614"/>
      <c r="AO1096" s="614"/>
      <c r="AP1096" s="616"/>
      <c r="AQ1096" s="616"/>
      <c r="AR1096" s="616"/>
      <c r="AS1096" s="614"/>
      <c r="AT1096" s="614"/>
      <c r="AU1096" s="614"/>
      <c r="AV1096" s="614"/>
      <c r="AW1096" s="614"/>
      <c r="AX1096" s="614"/>
    </row>
    <row r="1097" spans="1:50" x14ac:dyDescent="0.25">
      <c r="A1097" s="612"/>
      <c r="B1097" s="612"/>
      <c r="C1097" s="613"/>
      <c r="D1097" s="612"/>
      <c r="E1097" s="612"/>
      <c r="F1097" s="613"/>
      <c r="G1097" s="612"/>
      <c r="H1097" s="612"/>
      <c r="I1097" s="735"/>
      <c r="J1097" s="612"/>
      <c r="K1097" s="613"/>
      <c r="L1097" s="614"/>
      <c r="M1097" s="614"/>
      <c r="N1097" s="614"/>
      <c r="O1097" s="614"/>
      <c r="P1097" s="614"/>
      <c r="Q1097" s="614"/>
      <c r="R1097" s="614"/>
      <c r="S1097" s="614"/>
      <c r="T1097" s="614"/>
      <c r="U1097" s="614"/>
      <c r="V1097" s="614"/>
      <c r="W1097" s="614"/>
      <c r="X1097" s="614"/>
      <c r="Y1097" s="614"/>
      <c r="Z1097" s="614"/>
      <c r="AA1097" s="614"/>
      <c r="AB1097" s="614"/>
      <c r="AC1097" s="614"/>
      <c r="AJ1097" s="614"/>
      <c r="AK1097" s="614"/>
      <c r="AL1097" s="614"/>
      <c r="AM1097" s="614"/>
      <c r="AN1097" s="614"/>
      <c r="AO1097" s="614"/>
      <c r="AP1097" s="616"/>
      <c r="AQ1097" s="616"/>
      <c r="AR1097" s="616"/>
      <c r="AS1097" s="614"/>
      <c r="AT1097" s="614"/>
      <c r="AU1097" s="614"/>
      <c r="AV1097" s="614"/>
      <c r="AW1097" s="614"/>
      <c r="AX1097" s="614"/>
    </row>
    <row r="1098" spans="1:50" x14ac:dyDescent="0.25">
      <c r="A1098" s="612"/>
      <c r="B1098" s="612"/>
      <c r="C1098" s="613"/>
      <c r="D1098" s="612"/>
      <c r="E1098" s="612"/>
      <c r="F1098" s="613"/>
      <c r="G1098" s="612"/>
      <c r="H1098" s="612"/>
      <c r="I1098" s="735"/>
      <c r="J1098" s="612"/>
      <c r="K1098" s="613"/>
      <c r="L1098" s="614"/>
      <c r="M1098" s="614"/>
      <c r="N1098" s="614"/>
      <c r="O1098" s="614"/>
      <c r="P1098" s="614"/>
      <c r="Q1098" s="614"/>
      <c r="R1098" s="614"/>
      <c r="S1098" s="614"/>
      <c r="T1098" s="614"/>
      <c r="U1098" s="614"/>
      <c r="V1098" s="614"/>
      <c r="W1098" s="614"/>
      <c r="X1098" s="614"/>
      <c r="Y1098" s="614"/>
      <c r="Z1098" s="614"/>
      <c r="AA1098" s="614"/>
      <c r="AB1098" s="614"/>
      <c r="AC1098" s="614"/>
      <c r="AJ1098" s="614"/>
      <c r="AK1098" s="614"/>
      <c r="AL1098" s="614"/>
      <c r="AM1098" s="614"/>
      <c r="AN1098" s="614"/>
      <c r="AO1098" s="614"/>
      <c r="AP1098" s="616"/>
      <c r="AQ1098" s="616"/>
      <c r="AR1098" s="616"/>
      <c r="AS1098" s="614"/>
      <c r="AT1098" s="614"/>
      <c r="AU1098" s="614"/>
      <c r="AV1098" s="614"/>
      <c r="AW1098" s="614"/>
      <c r="AX1098" s="614"/>
    </row>
    <row r="1099" spans="1:50" x14ac:dyDescent="0.25">
      <c r="A1099" s="612"/>
      <c r="B1099" s="612"/>
      <c r="C1099" s="613"/>
      <c r="D1099" s="612"/>
      <c r="E1099" s="612"/>
      <c r="F1099" s="613"/>
      <c r="G1099" s="612"/>
      <c r="H1099" s="612"/>
      <c r="I1099" s="735"/>
      <c r="J1099" s="612"/>
      <c r="K1099" s="613"/>
      <c r="L1099" s="614"/>
      <c r="M1099" s="614"/>
      <c r="N1099" s="614"/>
      <c r="O1099" s="614"/>
      <c r="P1099" s="614"/>
      <c r="Q1099" s="614"/>
      <c r="R1099" s="614"/>
      <c r="S1099" s="614"/>
      <c r="T1099" s="614"/>
      <c r="U1099" s="614"/>
      <c r="V1099" s="614"/>
      <c r="W1099" s="614"/>
      <c r="X1099" s="614"/>
      <c r="Y1099" s="614"/>
      <c r="Z1099" s="614"/>
      <c r="AA1099" s="614"/>
      <c r="AB1099" s="614"/>
      <c r="AC1099" s="614"/>
      <c r="AJ1099" s="614"/>
      <c r="AK1099" s="614"/>
      <c r="AL1099" s="614"/>
      <c r="AM1099" s="614"/>
      <c r="AN1099" s="614"/>
      <c r="AO1099" s="614"/>
      <c r="AP1099" s="616"/>
      <c r="AQ1099" s="616"/>
      <c r="AR1099" s="616"/>
      <c r="AS1099" s="614"/>
      <c r="AT1099" s="614"/>
      <c r="AU1099" s="614"/>
      <c r="AV1099" s="614"/>
      <c r="AW1099" s="614"/>
      <c r="AX1099" s="614"/>
    </row>
    <row r="1100" spans="1:50" x14ac:dyDescent="0.25">
      <c r="A1100" s="612"/>
      <c r="B1100" s="612"/>
      <c r="C1100" s="613"/>
      <c r="D1100" s="612"/>
      <c r="E1100" s="612"/>
      <c r="F1100" s="613"/>
      <c r="G1100" s="612"/>
      <c r="H1100" s="612"/>
      <c r="I1100" s="735"/>
      <c r="J1100" s="612"/>
      <c r="K1100" s="613"/>
      <c r="L1100" s="614"/>
      <c r="M1100" s="614"/>
      <c r="N1100" s="614"/>
      <c r="O1100" s="614"/>
      <c r="P1100" s="614"/>
      <c r="Q1100" s="614"/>
      <c r="R1100" s="614"/>
      <c r="S1100" s="614"/>
      <c r="T1100" s="614"/>
      <c r="U1100" s="614"/>
      <c r="V1100" s="614"/>
      <c r="W1100" s="614"/>
      <c r="X1100" s="614"/>
      <c r="Y1100" s="614"/>
      <c r="Z1100" s="614"/>
      <c r="AA1100" s="614"/>
      <c r="AB1100" s="614"/>
      <c r="AC1100" s="614"/>
      <c r="AJ1100" s="614"/>
      <c r="AK1100" s="614"/>
      <c r="AL1100" s="614"/>
      <c r="AM1100" s="614"/>
      <c r="AN1100" s="614"/>
      <c r="AO1100" s="614"/>
      <c r="AP1100" s="616"/>
      <c r="AQ1100" s="616"/>
      <c r="AR1100" s="616"/>
      <c r="AS1100" s="614"/>
      <c r="AT1100" s="614"/>
      <c r="AU1100" s="614"/>
      <c r="AV1100" s="614"/>
      <c r="AW1100" s="614"/>
      <c r="AX1100" s="614"/>
    </row>
    <row r="1101" spans="1:50" x14ac:dyDescent="0.25">
      <c r="A1101" s="612"/>
      <c r="B1101" s="612"/>
      <c r="C1101" s="613"/>
      <c r="D1101" s="612"/>
      <c r="E1101" s="612"/>
      <c r="F1101" s="613"/>
      <c r="G1101" s="612"/>
      <c r="H1101" s="612"/>
      <c r="I1101" s="735"/>
      <c r="J1101" s="612"/>
      <c r="K1101" s="613"/>
      <c r="L1101" s="614"/>
      <c r="M1101" s="614"/>
      <c r="N1101" s="614"/>
      <c r="O1101" s="614"/>
      <c r="P1101" s="614"/>
      <c r="Q1101" s="614"/>
      <c r="R1101" s="614"/>
      <c r="S1101" s="614"/>
      <c r="T1101" s="614"/>
      <c r="U1101" s="614"/>
      <c r="V1101" s="614"/>
      <c r="W1101" s="614"/>
      <c r="X1101" s="614"/>
      <c r="Y1101" s="614"/>
      <c r="Z1101" s="614"/>
      <c r="AA1101" s="614"/>
      <c r="AB1101" s="614"/>
      <c r="AC1101" s="614"/>
      <c r="AJ1101" s="614"/>
      <c r="AK1101" s="614"/>
      <c r="AL1101" s="614"/>
      <c r="AM1101" s="614"/>
      <c r="AN1101" s="614"/>
      <c r="AO1101" s="614"/>
      <c r="AP1101" s="616"/>
      <c r="AQ1101" s="616"/>
      <c r="AR1101" s="616"/>
      <c r="AS1101" s="614"/>
      <c r="AT1101" s="614"/>
      <c r="AU1101" s="614"/>
      <c r="AV1101" s="614"/>
      <c r="AW1101" s="614"/>
      <c r="AX1101" s="614"/>
    </row>
    <row r="1102" spans="1:50" x14ac:dyDescent="0.25">
      <c r="A1102" s="612"/>
      <c r="B1102" s="612"/>
      <c r="C1102" s="613"/>
      <c r="D1102" s="612"/>
      <c r="E1102" s="612"/>
      <c r="F1102" s="613"/>
      <c r="G1102" s="612"/>
      <c r="H1102" s="612"/>
      <c r="I1102" s="735"/>
      <c r="J1102" s="612"/>
      <c r="K1102" s="613"/>
      <c r="L1102" s="614"/>
      <c r="M1102" s="614"/>
      <c r="N1102" s="614"/>
      <c r="O1102" s="614"/>
      <c r="P1102" s="614"/>
      <c r="Q1102" s="614"/>
      <c r="R1102" s="614"/>
      <c r="S1102" s="614"/>
      <c r="T1102" s="614"/>
      <c r="U1102" s="614"/>
      <c r="V1102" s="614"/>
      <c r="W1102" s="614"/>
      <c r="X1102" s="614"/>
      <c r="Y1102" s="614"/>
      <c r="Z1102" s="614"/>
      <c r="AA1102" s="614"/>
      <c r="AB1102" s="614"/>
      <c r="AC1102" s="614"/>
      <c r="AJ1102" s="614"/>
      <c r="AK1102" s="614"/>
      <c r="AL1102" s="614"/>
      <c r="AM1102" s="614"/>
      <c r="AN1102" s="614"/>
      <c r="AO1102" s="614"/>
      <c r="AP1102" s="616"/>
      <c r="AQ1102" s="616"/>
      <c r="AR1102" s="616"/>
      <c r="AS1102" s="614"/>
      <c r="AT1102" s="614"/>
      <c r="AU1102" s="614"/>
      <c r="AV1102" s="614"/>
      <c r="AW1102" s="614"/>
      <c r="AX1102" s="614"/>
    </row>
    <row r="1103" spans="1:50" x14ac:dyDescent="0.25">
      <c r="A1103" s="612"/>
      <c r="B1103" s="612"/>
      <c r="C1103" s="613"/>
      <c r="D1103" s="612"/>
      <c r="E1103" s="612"/>
      <c r="F1103" s="613"/>
      <c r="G1103" s="612"/>
      <c r="H1103" s="612"/>
      <c r="I1103" s="735"/>
      <c r="J1103" s="612"/>
      <c r="K1103" s="613"/>
      <c r="L1103" s="614"/>
      <c r="M1103" s="614"/>
      <c r="N1103" s="614"/>
      <c r="O1103" s="614"/>
      <c r="P1103" s="614"/>
      <c r="Q1103" s="614"/>
      <c r="R1103" s="614"/>
      <c r="S1103" s="614"/>
      <c r="T1103" s="614"/>
      <c r="U1103" s="614"/>
      <c r="V1103" s="614"/>
      <c r="W1103" s="614"/>
      <c r="X1103" s="614"/>
      <c r="Y1103" s="614"/>
      <c r="Z1103" s="614"/>
      <c r="AA1103" s="614"/>
      <c r="AB1103" s="614"/>
      <c r="AC1103" s="614"/>
      <c r="AJ1103" s="614"/>
      <c r="AK1103" s="614"/>
      <c r="AL1103" s="614"/>
      <c r="AM1103" s="614"/>
      <c r="AN1103" s="614"/>
      <c r="AO1103" s="614"/>
      <c r="AP1103" s="616"/>
      <c r="AQ1103" s="616"/>
      <c r="AR1103" s="616"/>
      <c r="AS1103" s="614"/>
      <c r="AT1103" s="614"/>
      <c r="AU1103" s="614"/>
      <c r="AV1103" s="614"/>
      <c r="AW1103" s="614"/>
      <c r="AX1103" s="614"/>
    </row>
    <row r="1104" spans="1:50" x14ac:dyDescent="0.25">
      <c r="A1104" s="612"/>
      <c r="B1104" s="612"/>
      <c r="C1104" s="613"/>
      <c r="D1104" s="612"/>
      <c r="E1104" s="612"/>
      <c r="F1104" s="613"/>
      <c r="G1104" s="612"/>
      <c r="H1104" s="612"/>
      <c r="I1104" s="735"/>
      <c r="J1104" s="612"/>
      <c r="K1104" s="613"/>
      <c r="L1104" s="614"/>
      <c r="M1104" s="614"/>
      <c r="N1104" s="614"/>
      <c r="O1104" s="614"/>
      <c r="P1104" s="614"/>
      <c r="Q1104" s="614"/>
      <c r="R1104" s="614"/>
      <c r="S1104" s="614"/>
      <c r="T1104" s="614"/>
      <c r="U1104" s="614"/>
      <c r="V1104" s="614"/>
      <c r="W1104" s="614"/>
      <c r="X1104" s="614"/>
      <c r="Y1104" s="614"/>
      <c r="Z1104" s="614"/>
      <c r="AA1104" s="614"/>
      <c r="AB1104" s="614"/>
      <c r="AC1104" s="614"/>
      <c r="AJ1104" s="614"/>
      <c r="AK1104" s="614"/>
      <c r="AL1104" s="614"/>
      <c r="AM1104" s="614"/>
      <c r="AN1104" s="614"/>
      <c r="AO1104" s="614"/>
      <c r="AP1104" s="616"/>
      <c r="AQ1104" s="616"/>
      <c r="AR1104" s="616"/>
      <c r="AS1104" s="614"/>
      <c r="AT1104" s="614"/>
      <c r="AU1104" s="614"/>
      <c r="AV1104" s="614"/>
      <c r="AW1104" s="614"/>
      <c r="AX1104" s="614"/>
    </row>
    <row r="1105" spans="1:50" x14ac:dyDescent="0.25">
      <c r="A1105" s="612"/>
      <c r="B1105" s="612"/>
      <c r="C1105" s="613"/>
      <c r="D1105" s="612"/>
      <c r="E1105" s="612"/>
      <c r="F1105" s="613"/>
      <c r="G1105" s="612"/>
      <c r="H1105" s="612"/>
      <c r="I1105" s="735"/>
      <c r="J1105" s="612"/>
      <c r="K1105" s="613"/>
      <c r="L1105" s="614"/>
      <c r="M1105" s="614"/>
      <c r="N1105" s="614"/>
      <c r="O1105" s="614"/>
      <c r="P1105" s="614"/>
      <c r="Q1105" s="614"/>
      <c r="R1105" s="614"/>
      <c r="S1105" s="614"/>
      <c r="T1105" s="614"/>
      <c r="U1105" s="614"/>
      <c r="V1105" s="614"/>
      <c r="W1105" s="614"/>
      <c r="X1105" s="614"/>
      <c r="Y1105" s="614"/>
      <c r="Z1105" s="614"/>
      <c r="AA1105" s="614"/>
      <c r="AB1105" s="614"/>
      <c r="AC1105" s="614"/>
      <c r="AJ1105" s="614"/>
      <c r="AK1105" s="614"/>
      <c r="AL1105" s="614"/>
      <c r="AM1105" s="614"/>
      <c r="AN1105" s="614"/>
      <c r="AO1105" s="614"/>
      <c r="AP1105" s="616"/>
      <c r="AQ1105" s="616"/>
      <c r="AR1105" s="616"/>
      <c r="AS1105" s="614"/>
      <c r="AT1105" s="614"/>
      <c r="AU1105" s="614"/>
      <c r="AV1105" s="614"/>
      <c r="AW1105" s="614"/>
      <c r="AX1105" s="614"/>
    </row>
    <row r="1106" spans="1:50" x14ac:dyDescent="0.25">
      <c r="A1106" s="612"/>
      <c r="B1106" s="612"/>
      <c r="C1106" s="613"/>
      <c r="D1106" s="612"/>
      <c r="E1106" s="612"/>
      <c r="F1106" s="613"/>
      <c r="G1106" s="612"/>
      <c r="H1106" s="612"/>
      <c r="I1106" s="735"/>
      <c r="J1106" s="612"/>
      <c r="K1106" s="613"/>
      <c r="L1106" s="614"/>
      <c r="M1106" s="614"/>
      <c r="N1106" s="614"/>
      <c r="O1106" s="614"/>
      <c r="P1106" s="614"/>
      <c r="Q1106" s="614"/>
      <c r="R1106" s="614"/>
      <c r="S1106" s="614"/>
      <c r="T1106" s="614"/>
      <c r="U1106" s="614"/>
      <c r="V1106" s="614"/>
      <c r="W1106" s="614"/>
      <c r="X1106" s="614"/>
      <c r="Y1106" s="614"/>
      <c r="Z1106" s="614"/>
      <c r="AA1106" s="614"/>
      <c r="AB1106" s="614"/>
      <c r="AC1106" s="614"/>
      <c r="AJ1106" s="614"/>
      <c r="AK1106" s="614"/>
      <c r="AL1106" s="614"/>
      <c r="AM1106" s="614"/>
      <c r="AN1106" s="614"/>
      <c r="AO1106" s="614"/>
      <c r="AP1106" s="616"/>
      <c r="AQ1106" s="616"/>
      <c r="AR1106" s="616"/>
      <c r="AS1106" s="614"/>
      <c r="AT1106" s="614"/>
      <c r="AU1106" s="614"/>
      <c r="AV1106" s="614"/>
      <c r="AW1106" s="614"/>
      <c r="AX1106" s="614"/>
    </row>
    <row r="1107" spans="1:50" x14ac:dyDescent="0.25">
      <c r="A1107" s="612"/>
      <c r="B1107" s="612"/>
      <c r="C1107" s="613"/>
      <c r="D1107" s="612"/>
      <c r="E1107" s="612"/>
      <c r="F1107" s="613"/>
      <c r="G1107" s="612"/>
      <c r="H1107" s="612"/>
      <c r="I1107" s="735"/>
      <c r="J1107" s="612"/>
      <c r="K1107" s="613"/>
      <c r="L1107" s="614"/>
      <c r="M1107" s="614"/>
      <c r="N1107" s="614"/>
      <c r="O1107" s="614"/>
      <c r="P1107" s="614"/>
      <c r="Q1107" s="614"/>
      <c r="R1107" s="614"/>
      <c r="S1107" s="614"/>
      <c r="T1107" s="614"/>
      <c r="U1107" s="614"/>
      <c r="V1107" s="614"/>
      <c r="W1107" s="614"/>
      <c r="X1107" s="614"/>
      <c r="Y1107" s="614"/>
      <c r="Z1107" s="614"/>
      <c r="AA1107" s="614"/>
      <c r="AB1107" s="614"/>
      <c r="AC1107" s="614"/>
      <c r="AJ1107" s="614"/>
      <c r="AK1107" s="614"/>
      <c r="AL1107" s="614"/>
      <c r="AM1107" s="614"/>
      <c r="AN1107" s="614"/>
      <c r="AO1107" s="614"/>
      <c r="AP1107" s="616"/>
      <c r="AQ1107" s="616"/>
      <c r="AR1107" s="616"/>
      <c r="AS1107" s="614"/>
      <c r="AT1107" s="614"/>
      <c r="AU1107" s="614"/>
      <c r="AV1107" s="614"/>
      <c r="AW1107" s="614"/>
      <c r="AX1107" s="614"/>
    </row>
    <row r="1108" spans="1:50" x14ac:dyDescent="0.25">
      <c r="A1108" s="612"/>
      <c r="B1108" s="612"/>
      <c r="C1108" s="613"/>
      <c r="D1108" s="612"/>
      <c r="E1108" s="612"/>
      <c r="F1108" s="613"/>
      <c r="G1108" s="612"/>
      <c r="H1108" s="612"/>
      <c r="I1108" s="735"/>
      <c r="J1108" s="612"/>
      <c r="K1108" s="613"/>
      <c r="L1108" s="614"/>
      <c r="M1108" s="614"/>
      <c r="N1108" s="614"/>
      <c r="O1108" s="614"/>
      <c r="P1108" s="614"/>
      <c r="Q1108" s="614"/>
      <c r="R1108" s="614"/>
      <c r="S1108" s="614"/>
      <c r="T1108" s="614"/>
      <c r="U1108" s="614"/>
      <c r="V1108" s="614"/>
      <c r="W1108" s="614"/>
      <c r="X1108" s="614"/>
      <c r="Y1108" s="614"/>
      <c r="Z1108" s="614"/>
      <c r="AA1108" s="614"/>
      <c r="AB1108" s="614"/>
      <c r="AC1108" s="614"/>
      <c r="AJ1108" s="614"/>
      <c r="AK1108" s="614"/>
      <c r="AL1108" s="614"/>
      <c r="AM1108" s="614"/>
      <c r="AN1108" s="614"/>
      <c r="AO1108" s="614"/>
      <c r="AP1108" s="616"/>
      <c r="AQ1108" s="616"/>
      <c r="AR1108" s="616"/>
      <c r="AS1108" s="614"/>
      <c r="AT1108" s="614"/>
      <c r="AU1108" s="614"/>
      <c r="AV1108" s="614"/>
      <c r="AW1108" s="614"/>
      <c r="AX1108" s="614"/>
    </row>
    <row r="1109" spans="1:50" x14ac:dyDescent="0.25">
      <c r="A1109" s="612"/>
      <c r="B1109" s="612"/>
      <c r="C1109" s="613"/>
      <c r="D1109" s="612"/>
      <c r="E1109" s="612"/>
      <c r="F1109" s="613"/>
      <c r="G1109" s="612"/>
      <c r="H1109" s="612"/>
      <c r="I1109" s="735"/>
      <c r="J1109" s="612"/>
      <c r="K1109" s="613"/>
      <c r="L1109" s="614"/>
      <c r="M1109" s="614"/>
      <c r="N1109" s="614"/>
      <c r="O1109" s="614"/>
      <c r="P1109" s="614"/>
      <c r="Q1109" s="614"/>
      <c r="R1109" s="614"/>
      <c r="S1109" s="614"/>
      <c r="T1109" s="614"/>
      <c r="U1109" s="614"/>
      <c r="V1109" s="614"/>
      <c r="W1109" s="614"/>
      <c r="X1109" s="614"/>
      <c r="Y1109" s="614"/>
      <c r="Z1109" s="614"/>
      <c r="AA1109" s="614"/>
      <c r="AB1109" s="614"/>
      <c r="AC1109" s="614"/>
      <c r="AJ1109" s="614"/>
      <c r="AK1109" s="614"/>
      <c r="AL1109" s="614"/>
      <c r="AM1109" s="614"/>
      <c r="AN1109" s="614"/>
      <c r="AO1109" s="614"/>
      <c r="AP1109" s="616"/>
      <c r="AQ1109" s="616"/>
      <c r="AR1109" s="616"/>
      <c r="AS1109" s="614"/>
      <c r="AT1109" s="614"/>
      <c r="AU1109" s="614"/>
      <c r="AV1109" s="614"/>
      <c r="AW1109" s="614"/>
      <c r="AX1109" s="614"/>
    </row>
    <row r="1110" spans="1:50" x14ac:dyDescent="0.25">
      <c r="A1110" s="612"/>
      <c r="B1110" s="612"/>
      <c r="C1110" s="613"/>
      <c r="D1110" s="612"/>
      <c r="E1110" s="612"/>
      <c r="F1110" s="613"/>
      <c r="G1110" s="612"/>
      <c r="H1110" s="612"/>
      <c r="I1110" s="735"/>
      <c r="J1110" s="612"/>
      <c r="K1110" s="613"/>
      <c r="L1110" s="614"/>
      <c r="M1110" s="614"/>
      <c r="N1110" s="614"/>
      <c r="O1110" s="614"/>
      <c r="P1110" s="614"/>
      <c r="Q1110" s="614"/>
      <c r="R1110" s="614"/>
      <c r="S1110" s="614"/>
      <c r="T1110" s="614"/>
      <c r="U1110" s="614"/>
      <c r="V1110" s="614"/>
      <c r="W1110" s="614"/>
      <c r="X1110" s="614"/>
      <c r="Y1110" s="614"/>
      <c r="Z1110" s="614"/>
      <c r="AA1110" s="614"/>
      <c r="AB1110" s="614"/>
      <c r="AC1110" s="614"/>
      <c r="AJ1110" s="614"/>
      <c r="AK1110" s="614"/>
      <c r="AL1110" s="614"/>
      <c r="AM1110" s="614"/>
      <c r="AN1110" s="614"/>
      <c r="AO1110" s="614"/>
      <c r="AP1110" s="616"/>
      <c r="AQ1110" s="616"/>
      <c r="AR1110" s="616"/>
      <c r="AS1110" s="614"/>
      <c r="AT1110" s="614"/>
      <c r="AU1110" s="614"/>
      <c r="AV1110" s="614"/>
      <c r="AW1110" s="614"/>
      <c r="AX1110" s="614"/>
    </row>
    <row r="1111" spans="1:50" x14ac:dyDescent="0.25">
      <c r="A1111" s="612"/>
      <c r="B1111" s="612"/>
      <c r="C1111" s="613"/>
      <c r="D1111" s="612"/>
      <c r="E1111" s="612"/>
      <c r="F1111" s="613"/>
      <c r="G1111" s="612"/>
      <c r="H1111" s="612"/>
      <c r="I1111" s="735"/>
      <c r="J1111" s="612"/>
      <c r="K1111" s="613"/>
      <c r="L1111" s="614"/>
      <c r="M1111" s="614"/>
      <c r="N1111" s="614"/>
      <c r="O1111" s="614"/>
      <c r="P1111" s="614"/>
      <c r="Q1111" s="614"/>
      <c r="R1111" s="614"/>
      <c r="S1111" s="614"/>
      <c r="T1111" s="614"/>
      <c r="U1111" s="614"/>
      <c r="V1111" s="614"/>
      <c r="W1111" s="614"/>
      <c r="X1111" s="614"/>
      <c r="Y1111" s="614"/>
      <c r="Z1111" s="614"/>
      <c r="AA1111" s="614"/>
      <c r="AB1111" s="614"/>
      <c r="AC1111" s="614"/>
      <c r="AJ1111" s="614"/>
      <c r="AK1111" s="614"/>
      <c r="AL1111" s="614"/>
      <c r="AM1111" s="614"/>
      <c r="AN1111" s="614"/>
      <c r="AO1111" s="614"/>
      <c r="AP1111" s="616"/>
      <c r="AQ1111" s="616"/>
      <c r="AR1111" s="616"/>
      <c r="AS1111" s="614"/>
      <c r="AT1111" s="614"/>
      <c r="AU1111" s="614"/>
      <c r="AV1111" s="614"/>
      <c r="AW1111" s="614"/>
      <c r="AX1111" s="614"/>
    </row>
    <row r="1112" spans="1:50" x14ac:dyDescent="0.25">
      <c r="A1112" s="612"/>
      <c r="B1112" s="612"/>
      <c r="C1112" s="613"/>
      <c r="D1112" s="612"/>
      <c r="E1112" s="612"/>
      <c r="F1112" s="613"/>
      <c r="G1112" s="612"/>
      <c r="H1112" s="612"/>
      <c r="I1112" s="735"/>
      <c r="J1112" s="612"/>
      <c r="K1112" s="613"/>
      <c r="L1112" s="614"/>
      <c r="M1112" s="614"/>
      <c r="N1112" s="614"/>
      <c r="O1112" s="614"/>
      <c r="P1112" s="614"/>
      <c r="Q1112" s="614"/>
      <c r="R1112" s="614"/>
      <c r="S1112" s="614"/>
      <c r="T1112" s="614"/>
      <c r="U1112" s="614"/>
      <c r="V1112" s="614"/>
      <c r="W1112" s="614"/>
      <c r="X1112" s="614"/>
      <c r="Y1112" s="614"/>
      <c r="Z1112" s="614"/>
      <c r="AA1112" s="614"/>
      <c r="AB1112" s="614"/>
      <c r="AC1112" s="614"/>
      <c r="AJ1112" s="614"/>
      <c r="AK1112" s="614"/>
      <c r="AL1112" s="614"/>
      <c r="AM1112" s="614"/>
      <c r="AN1112" s="614"/>
      <c r="AO1112" s="614"/>
      <c r="AP1112" s="616"/>
      <c r="AQ1112" s="616"/>
      <c r="AR1112" s="616"/>
      <c r="AS1112" s="614"/>
      <c r="AT1112" s="614"/>
      <c r="AU1112" s="614"/>
      <c r="AV1112" s="614"/>
      <c r="AW1112" s="614"/>
      <c r="AX1112" s="614"/>
    </row>
    <row r="1113" spans="1:50" x14ac:dyDescent="0.25">
      <c r="A1113" s="612"/>
      <c r="B1113" s="612"/>
      <c r="C1113" s="613"/>
      <c r="D1113" s="612"/>
      <c r="E1113" s="612"/>
      <c r="F1113" s="613"/>
      <c r="G1113" s="612"/>
      <c r="H1113" s="612"/>
      <c r="I1113" s="735"/>
      <c r="J1113" s="612"/>
      <c r="K1113" s="613"/>
      <c r="L1113" s="614"/>
      <c r="M1113" s="614"/>
      <c r="N1113" s="614"/>
      <c r="O1113" s="614"/>
      <c r="P1113" s="614"/>
      <c r="Q1113" s="614"/>
      <c r="R1113" s="614"/>
      <c r="S1113" s="614"/>
      <c r="T1113" s="614"/>
      <c r="U1113" s="614"/>
      <c r="V1113" s="614"/>
      <c r="W1113" s="614"/>
      <c r="X1113" s="614"/>
      <c r="Y1113" s="614"/>
      <c r="Z1113" s="614"/>
      <c r="AA1113" s="614"/>
      <c r="AB1113" s="614"/>
      <c r="AC1113" s="614"/>
      <c r="AJ1113" s="614"/>
      <c r="AK1113" s="614"/>
      <c r="AL1113" s="614"/>
      <c r="AM1113" s="614"/>
      <c r="AN1113" s="614"/>
      <c r="AO1113" s="614"/>
      <c r="AP1113" s="616"/>
      <c r="AQ1113" s="616"/>
      <c r="AR1113" s="616"/>
      <c r="AS1113" s="614"/>
      <c r="AT1113" s="614"/>
      <c r="AU1113" s="614"/>
      <c r="AV1113" s="614"/>
      <c r="AW1113" s="614"/>
      <c r="AX1113" s="614"/>
    </row>
    <row r="1114" spans="1:50" x14ac:dyDescent="0.25">
      <c r="A1114" s="612"/>
      <c r="B1114" s="612"/>
      <c r="C1114" s="613"/>
      <c r="D1114" s="612"/>
      <c r="E1114" s="612"/>
      <c r="F1114" s="613"/>
      <c r="G1114" s="612"/>
      <c r="H1114" s="612"/>
      <c r="I1114" s="735"/>
      <c r="J1114" s="612"/>
      <c r="K1114" s="613"/>
      <c r="L1114" s="614"/>
      <c r="M1114" s="614"/>
      <c r="N1114" s="614"/>
      <c r="O1114" s="614"/>
      <c r="P1114" s="614"/>
      <c r="Q1114" s="614"/>
      <c r="R1114" s="614"/>
      <c r="S1114" s="614"/>
      <c r="T1114" s="614"/>
      <c r="U1114" s="614"/>
      <c r="V1114" s="614"/>
      <c r="W1114" s="614"/>
      <c r="X1114" s="614"/>
      <c r="Y1114" s="614"/>
      <c r="Z1114" s="614"/>
      <c r="AA1114" s="614"/>
      <c r="AB1114" s="614"/>
      <c r="AC1114" s="614"/>
      <c r="AJ1114" s="614"/>
      <c r="AK1114" s="614"/>
      <c r="AL1114" s="614"/>
      <c r="AM1114" s="614"/>
      <c r="AN1114" s="614"/>
      <c r="AO1114" s="614"/>
      <c r="AP1114" s="616"/>
      <c r="AQ1114" s="616"/>
      <c r="AR1114" s="616"/>
      <c r="AS1114" s="614"/>
      <c r="AT1114" s="614"/>
      <c r="AU1114" s="614"/>
      <c r="AV1114" s="614"/>
      <c r="AW1114" s="614"/>
      <c r="AX1114" s="614"/>
    </row>
    <row r="1115" spans="1:50" x14ac:dyDescent="0.25">
      <c r="A1115" s="612"/>
      <c r="B1115" s="612"/>
      <c r="C1115" s="613"/>
      <c r="D1115" s="612"/>
      <c r="E1115" s="612"/>
      <c r="F1115" s="613"/>
      <c r="G1115" s="612"/>
      <c r="H1115" s="612"/>
      <c r="I1115" s="735"/>
      <c r="J1115" s="612"/>
      <c r="K1115" s="613"/>
      <c r="L1115" s="614"/>
      <c r="M1115" s="614"/>
      <c r="N1115" s="614"/>
      <c r="O1115" s="614"/>
      <c r="P1115" s="614"/>
      <c r="Q1115" s="614"/>
      <c r="R1115" s="614"/>
      <c r="S1115" s="614"/>
      <c r="T1115" s="614"/>
      <c r="U1115" s="614"/>
      <c r="V1115" s="614"/>
      <c r="W1115" s="614"/>
      <c r="X1115" s="614"/>
      <c r="Y1115" s="614"/>
      <c r="Z1115" s="614"/>
      <c r="AA1115" s="614"/>
      <c r="AB1115" s="614"/>
      <c r="AC1115" s="614"/>
      <c r="AJ1115" s="614"/>
      <c r="AK1115" s="614"/>
      <c r="AL1115" s="614"/>
      <c r="AM1115" s="614"/>
      <c r="AN1115" s="614"/>
      <c r="AO1115" s="614"/>
      <c r="AP1115" s="616"/>
      <c r="AQ1115" s="616"/>
      <c r="AR1115" s="616"/>
      <c r="AS1115" s="614"/>
      <c r="AT1115" s="614"/>
      <c r="AU1115" s="614"/>
      <c r="AV1115" s="614"/>
      <c r="AW1115" s="614"/>
      <c r="AX1115" s="614"/>
    </row>
    <row r="1116" spans="1:50" x14ac:dyDescent="0.25">
      <c r="A1116" s="612"/>
      <c r="B1116" s="612"/>
      <c r="C1116" s="613"/>
      <c r="D1116" s="612"/>
      <c r="E1116" s="612"/>
      <c r="F1116" s="613"/>
      <c r="G1116" s="612"/>
      <c r="H1116" s="612"/>
      <c r="I1116" s="735"/>
      <c r="J1116" s="612"/>
      <c r="K1116" s="613"/>
      <c r="L1116" s="614"/>
      <c r="M1116" s="614"/>
      <c r="N1116" s="614"/>
      <c r="O1116" s="614"/>
      <c r="P1116" s="614"/>
      <c r="Q1116" s="614"/>
      <c r="R1116" s="614"/>
      <c r="S1116" s="614"/>
      <c r="T1116" s="614"/>
      <c r="U1116" s="614"/>
      <c r="V1116" s="614"/>
      <c r="W1116" s="614"/>
      <c r="X1116" s="614"/>
      <c r="Y1116" s="614"/>
      <c r="Z1116" s="614"/>
      <c r="AA1116" s="614"/>
      <c r="AB1116" s="614"/>
      <c r="AC1116" s="614"/>
      <c r="AJ1116" s="614"/>
      <c r="AK1116" s="614"/>
      <c r="AL1116" s="614"/>
      <c r="AM1116" s="614"/>
      <c r="AN1116" s="614"/>
      <c r="AO1116" s="614"/>
      <c r="AP1116" s="616"/>
      <c r="AQ1116" s="616"/>
      <c r="AR1116" s="616"/>
      <c r="AS1116" s="614"/>
      <c r="AT1116" s="614"/>
      <c r="AU1116" s="614"/>
      <c r="AV1116" s="614"/>
      <c r="AW1116" s="614"/>
      <c r="AX1116" s="614"/>
    </row>
    <row r="1117" spans="1:50" x14ac:dyDescent="0.25">
      <c r="A1117" s="612"/>
      <c r="B1117" s="612"/>
      <c r="C1117" s="613"/>
      <c r="D1117" s="612"/>
      <c r="E1117" s="612"/>
      <c r="F1117" s="613"/>
      <c r="G1117" s="612"/>
      <c r="H1117" s="612"/>
      <c r="I1117" s="735"/>
      <c r="J1117" s="612"/>
      <c r="K1117" s="613"/>
      <c r="L1117" s="614"/>
      <c r="M1117" s="614"/>
      <c r="N1117" s="614"/>
      <c r="O1117" s="614"/>
      <c r="P1117" s="614"/>
      <c r="Q1117" s="614"/>
      <c r="R1117" s="614"/>
      <c r="S1117" s="614"/>
      <c r="T1117" s="614"/>
      <c r="U1117" s="614"/>
      <c r="V1117" s="614"/>
      <c r="W1117" s="614"/>
      <c r="X1117" s="614"/>
      <c r="Y1117" s="614"/>
      <c r="Z1117" s="614"/>
      <c r="AA1117" s="614"/>
      <c r="AB1117" s="614"/>
      <c r="AC1117" s="614"/>
      <c r="AJ1117" s="614"/>
      <c r="AK1117" s="614"/>
      <c r="AL1117" s="614"/>
      <c r="AM1117" s="614"/>
      <c r="AN1117" s="614"/>
      <c r="AO1117" s="614"/>
      <c r="AP1117" s="616"/>
      <c r="AQ1117" s="616"/>
      <c r="AR1117" s="616"/>
      <c r="AS1117" s="614"/>
      <c r="AT1117" s="614"/>
      <c r="AU1117" s="614"/>
      <c r="AV1117" s="614"/>
      <c r="AW1117" s="614"/>
      <c r="AX1117" s="614"/>
    </row>
    <row r="1118" spans="1:50" x14ac:dyDescent="0.25">
      <c r="A1118" s="612"/>
      <c r="B1118" s="612"/>
      <c r="C1118" s="613"/>
      <c r="D1118" s="612"/>
      <c r="E1118" s="612"/>
      <c r="F1118" s="613"/>
      <c r="G1118" s="612"/>
      <c r="H1118" s="612"/>
      <c r="I1118" s="735"/>
      <c r="J1118" s="612"/>
      <c r="K1118" s="613"/>
      <c r="L1118" s="614"/>
      <c r="M1118" s="614"/>
      <c r="N1118" s="614"/>
      <c r="O1118" s="614"/>
      <c r="P1118" s="614"/>
      <c r="Q1118" s="614"/>
      <c r="R1118" s="614"/>
      <c r="S1118" s="614"/>
      <c r="T1118" s="614"/>
      <c r="U1118" s="614"/>
      <c r="V1118" s="614"/>
      <c r="W1118" s="614"/>
      <c r="X1118" s="614"/>
      <c r="Y1118" s="614"/>
      <c r="Z1118" s="614"/>
      <c r="AA1118" s="614"/>
      <c r="AB1118" s="614"/>
      <c r="AC1118" s="614"/>
      <c r="AJ1118" s="614"/>
      <c r="AK1118" s="614"/>
      <c r="AL1118" s="614"/>
      <c r="AM1118" s="614"/>
      <c r="AN1118" s="614"/>
      <c r="AO1118" s="614"/>
      <c r="AP1118" s="616"/>
      <c r="AQ1118" s="616"/>
      <c r="AR1118" s="616"/>
      <c r="AS1118" s="614"/>
      <c r="AT1118" s="614"/>
      <c r="AU1118" s="614"/>
      <c r="AV1118" s="614"/>
      <c r="AW1118" s="614"/>
      <c r="AX1118" s="614"/>
    </row>
    <row r="1119" spans="1:50" x14ac:dyDescent="0.25">
      <c r="A1119" s="612"/>
      <c r="B1119" s="612"/>
      <c r="C1119" s="613"/>
      <c r="D1119" s="612"/>
      <c r="E1119" s="612"/>
      <c r="F1119" s="613"/>
      <c r="G1119" s="612"/>
      <c r="H1119" s="612"/>
      <c r="I1119" s="735"/>
      <c r="J1119" s="612"/>
      <c r="K1119" s="613"/>
      <c r="L1119" s="614"/>
      <c r="M1119" s="614"/>
      <c r="N1119" s="614"/>
      <c r="O1119" s="614"/>
      <c r="P1119" s="614"/>
      <c r="Q1119" s="614"/>
      <c r="R1119" s="614"/>
      <c r="S1119" s="614"/>
      <c r="T1119" s="614"/>
      <c r="U1119" s="614"/>
      <c r="V1119" s="614"/>
      <c r="W1119" s="614"/>
      <c r="X1119" s="614"/>
      <c r="Y1119" s="614"/>
      <c r="Z1119" s="614"/>
      <c r="AA1119" s="614"/>
      <c r="AB1119" s="614"/>
      <c r="AC1119" s="614"/>
      <c r="AJ1119" s="614"/>
      <c r="AK1119" s="614"/>
      <c r="AL1119" s="614"/>
      <c r="AM1119" s="614"/>
      <c r="AN1119" s="614"/>
      <c r="AO1119" s="614"/>
      <c r="AP1119" s="616"/>
      <c r="AQ1119" s="616"/>
      <c r="AR1119" s="616"/>
      <c r="AS1119" s="614"/>
      <c r="AT1119" s="614"/>
      <c r="AU1119" s="614"/>
      <c r="AV1119" s="614"/>
      <c r="AW1119" s="614"/>
      <c r="AX1119" s="614"/>
    </row>
    <row r="1120" spans="1:50" x14ac:dyDescent="0.25">
      <c r="A1120" s="612"/>
      <c r="B1120" s="612"/>
      <c r="C1120" s="613"/>
      <c r="D1120" s="612"/>
      <c r="E1120" s="612"/>
      <c r="F1120" s="613"/>
      <c r="G1120" s="612"/>
      <c r="H1120" s="612"/>
      <c r="I1120" s="735"/>
      <c r="J1120" s="612"/>
      <c r="K1120" s="613"/>
      <c r="L1120" s="614"/>
      <c r="M1120" s="614"/>
      <c r="N1120" s="614"/>
      <c r="O1120" s="614"/>
      <c r="P1120" s="614"/>
      <c r="Q1120" s="614"/>
      <c r="R1120" s="614"/>
      <c r="S1120" s="614"/>
      <c r="T1120" s="614"/>
      <c r="U1120" s="614"/>
      <c r="V1120" s="614"/>
      <c r="W1120" s="614"/>
      <c r="X1120" s="614"/>
      <c r="Y1120" s="614"/>
      <c r="Z1120" s="614"/>
      <c r="AA1120" s="614"/>
      <c r="AB1120" s="614"/>
      <c r="AC1120" s="614"/>
      <c r="AJ1120" s="614"/>
      <c r="AK1120" s="614"/>
      <c r="AL1120" s="614"/>
      <c r="AM1120" s="614"/>
      <c r="AN1120" s="614"/>
      <c r="AO1120" s="614"/>
      <c r="AP1120" s="616"/>
      <c r="AQ1120" s="616"/>
      <c r="AR1120" s="616"/>
      <c r="AS1120" s="614"/>
      <c r="AT1120" s="614"/>
      <c r="AU1120" s="614"/>
      <c r="AV1120" s="614"/>
      <c r="AW1120" s="614"/>
      <c r="AX1120" s="614"/>
    </row>
    <row r="1121" spans="1:50" x14ac:dyDescent="0.25">
      <c r="A1121" s="612"/>
      <c r="B1121" s="612"/>
      <c r="C1121" s="613"/>
      <c r="D1121" s="612"/>
      <c r="E1121" s="612"/>
      <c r="F1121" s="613"/>
      <c r="G1121" s="612"/>
      <c r="H1121" s="612"/>
      <c r="I1121" s="735"/>
      <c r="J1121" s="612"/>
      <c r="K1121" s="613"/>
      <c r="L1121" s="614"/>
      <c r="M1121" s="614"/>
      <c r="N1121" s="614"/>
      <c r="O1121" s="614"/>
      <c r="P1121" s="614"/>
      <c r="Q1121" s="614"/>
      <c r="R1121" s="614"/>
      <c r="S1121" s="614"/>
      <c r="T1121" s="614"/>
      <c r="U1121" s="614"/>
      <c r="V1121" s="614"/>
      <c r="W1121" s="614"/>
      <c r="X1121" s="614"/>
      <c r="Y1121" s="614"/>
      <c r="Z1121" s="614"/>
      <c r="AA1121" s="614"/>
      <c r="AB1121" s="614"/>
      <c r="AC1121" s="614"/>
      <c r="AJ1121" s="614"/>
      <c r="AK1121" s="614"/>
      <c r="AL1121" s="614"/>
      <c r="AM1121" s="614"/>
      <c r="AN1121" s="614"/>
      <c r="AO1121" s="614"/>
      <c r="AP1121" s="616"/>
      <c r="AQ1121" s="616"/>
      <c r="AR1121" s="616"/>
      <c r="AS1121" s="614"/>
      <c r="AT1121" s="614"/>
      <c r="AU1121" s="614"/>
      <c r="AV1121" s="614"/>
      <c r="AW1121" s="614"/>
      <c r="AX1121" s="614"/>
    </row>
    <row r="1122" spans="1:50" x14ac:dyDescent="0.25">
      <c r="A1122" s="612"/>
      <c r="B1122" s="612"/>
      <c r="C1122" s="613"/>
      <c r="D1122" s="612"/>
      <c r="E1122" s="612"/>
      <c r="F1122" s="613"/>
      <c r="G1122" s="612"/>
      <c r="H1122" s="612"/>
      <c r="I1122" s="735"/>
      <c r="J1122" s="612"/>
      <c r="K1122" s="613"/>
      <c r="L1122" s="614"/>
      <c r="M1122" s="614"/>
      <c r="N1122" s="614"/>
      <c r="O1122" s="614"/>
      <c r="P1122" s="614"/>
      <c r="Q1122" s="614"/>
      <c r="R1122" s="614"/>
      <c r="S1122" s="614"/>
      <c r="T1122" s="614"/>
      <c r="U1122" s="614"/>
      <c r="V1122" s="614"/>
      <c r="W1122" s="614"/>
      <c r="X1122" s="614"/>
      <c r="Y1122" s="614"/>
      <c r="Z1122" s="614"/>
      <c r="AA1122" s="614"/>
      <c r="AB1122" s="614"/>
      <c r="AC1122" s="614"/>
      <c r="AJ1122" s="614"/>
      <c r="AK1122" s="614"/>
      <c r="AL1122" s="614"/>
      <c r="AM1122" s="614"/>
      <c r="AN1122" s="614"/>
      <c r="AO1122" s="614"/>
      <c r="AP1122" s="616"/>
      <c r="AQ1122" s="616"/>
      <c r="AR1122" s="616"/>
      <c r="AS1122" s="614"/>
      <c r="AT1122" s="614"/>
      <c r="AU1122" s="614"/>
      <c r="AV1122" s="614"/>
      <c r="AW1122" s="614"/>
      <c r="AX1122" s="614"/>
    </row>
    <row r="1123" spans="1:50" x14ac:dyDescent="0.25">
      <c r="A1123" s="612"/>
      <c r="B1123" s="612"/>
      <c r="C1123" s="613"/>
      <c r="D1123" s="612"/>
      <c r="E1123" s="612"/>
      <c r="F1123" s="613"/>
      <c r="G1123" s="612"/>
      <c r="H1123" s="612"/>
      <c r="I1123" s="735"/>
      <c r="J1123" s="612"/>
      <c r="K1123" s="613"/>
      <c r="L1123" s="614"/>
      <c r="M1123" s="614"/>
      <c r="N1123" s="614"/>
      <c r="O1123" s="614"/>
      <c r="P1123" s="614"/>
      <c r="Q1123" s="614"/>
      <c r="R1123" s="614"/>
      <c r="S1123" s="614"/>
      <c r="T1123" s="614"/>
      <c r="U1123" s="614"/>
      <c r="V1123" s="614"/>
      <c r="W1123" s="614"/>
      <c r="X1123" s="614"/>
      <c r="Y1123" s="614"/>
      <c r="Z1123" s="614"/>
      <c r="AA1123" s="614"/>
      <c r="AB1123" s="614"/>
      <c r="AC1123" s="614"/>
      <c r="AJ1123" s="614"/>
      <c r="AK1123" s="614"/>
      <c r="AL1123" s="614"/>
      <c r="AM1123" s="614"/>
      <c r="AN1123" s="614"/>
      <c r="AO1123" s="614"/>
      <c r="AP1123" s="616"/>
      <c r="AQ1123" s="616"/>
      <c r="AR1123" s="616"/>
      <c r="AS1123" s="614"/>
      <c r="AT1123" s="614"/>
      <c r="AU1123" s="614"/>
      <c r="AV1123" s="614"/>
      <c r="AW1123" s="614"/>
      <c r="AX1123" s="614"/>
    </row>
    <row r="1124" spans="1:50" x14ac:dyDescent="0.25">
      <c r="A1124" s="612"/>
      <c r="B1124" s="612"/>
      <c r="C1124" s="613"/>
      <c r="D1124" s="612"/>
      <c r="E1124" s="612"/>
      <c r="F1124" s="613"/>
      <c r="G1124" s="612"/>
      <c r="H1124" s="612"/>
      <c r="I1124" s="735"/>
      <c r="J1124" s="612"/>
      <c r="K1124" s="613"/>
      <c r="L1124" s="614"/>
      <c r="M1124" s="614"/>
      <c r="N1124" s="614"/>
      <c r="O1124" s="614"/>
      <c r="P1124" s="614"/>
      <c r="Q1124" s="614"/>
      <c r="R1124" s="614"/>
      <c r="S1124" s="614"/>
      <c r="T1124" s="614"/>
      <c r="U1124" s="614"/>
      <c r="V1124" s="614"/>
      <c r="W1124" s="614"/>
      <c r="X1124" s="614"/>
      <c r="Y1124" s="614"/>
      <c r="Z1124" s="614"/>
      <c r="AA1124" s="614"/>
      <c r="AB1124" s="614"/>
      <c r="AC1124" s="614"/>
      <c r="AJ1124" s="614"/>
      <c r="AK1124" s="614"/>
      <c r="AL1124" s="614"/>
      <c r="AM1124" s="614"/>
      <c r="AN1124" s="614"/>
      <c r="AO1124" s="614"/>
      <c r="AP1124" s="616"/>
      <c r="AQ1124" s="616"/>
      <c r="AR1124" s="616"/>
      <c r="AS1124" s="614"/>
      <c r="AT1124" s="614"/>
      <c r="AU1124" s="614"/>
      <c r="AV1124" s="614"/>
      <c r="AW1124" s="614"/>
      <c r="AX1124" s="614"/>
    </row>
    <row r="1125" spans="1:50" x14ac:dyDescent="0.25">
      <c r="A1125" s="612"/>
      <c r="B1125" s="612"/>
      <c r="C1125" s="613"/>
      <c r="D1125" s="612"/>
      <c r="E1125" s="612"/>
      <c r="F1125" s="613"/>
      <c r="G1125" s="612"/>
      <c r="H1125" s="612"/>
      <c r="I1125" s="735"/>
      <c r="J1125" s="612"/>
      <c r="K1125" s="613"/>
      <c r="L1125" s="614"/>
      <c r="M1125" s="614"/>
      <c r="N1125" s="614"/>
      <c r="O1125" s="614"/>
      <c r="P1125" s="614"/>
      <c r="Q1125" s="614"/>
      <c r="R1125" s="614"/>
      <c r="S1125" s="614"/>
      <c r="T1125" s="614"/>
      <c r="U1125" s="614"/>
      <c r="V1125" s="614"/>
      <c r="W1125" s="614"/>
      <c r="X1125" s="614"/>
      <c r="Y1125" s="614"/>
      <c r="Z1125" s="614"/>
      <c r="AA1125" s="614"/>
      <c r="AB1125" s="614"/>
      <c r="AC1125" s="614"/>
      <c r="AJ1125" s="614"/>
      <c r="AK1125" s="614"/>
      <c r="AL1125" s="614"/>
      <c r="AM1125" s="614"/>
      <c r="AN1125" s="614"/>
      <c r="AO1125" s="614"/>
      <c r="AP1125" s="616"/>
      <c r="AQ1125" s="616"/>
      <c r="AR1125" s="616"/>
      <c r="AS1125" s="614"/>
      <c r="AT1125" s="614"/>
      <c r="AU1125" s="614"/>
      <c r="AV1125" s="614"/>
      <c r="AW1125" s="614"/>
      <c r="AX1125" s="614"/>
    </row>
    <row r="1126" spans="1:50" x14ac:dyDescent="0.25">
      <c r="A1126" s="612"/>
      <c r="B1126" s="612"/>
      <c r="C1126" s="613"/>
      <c r="D1126" s="612"/>
      <c r="E1126" s="612"/>
      <c r="F1126" s="613"/>
      <c r="G1126" s="612"/>
      <c r="H1126" s="612"/>
      <c r="I1126" s="735"/>
      <c r="J1126" s="612"/>
      <c r="K1126" s="613"/>
      <c r="L1126" s="614"/>
      <c r="M1126" s="614"/>
      <c r="N1126" s="614"/>
      <c r="O1126" s="614"/>
      <c r="P1126" s="614"/>
      <c r="Q1126" s="614"/>
      <c r="R1126" s="614"/>
      <c r="S1126" s="614"/>
      <c r="T1126" s="614"/>
      <c r="U1126" s="614"/>
      <c r="V1126" s="614"/>
      <c r="W1126" s="614"/>
      <c r="X1126" s="614"/>
      <c r="Y1126" s="614"/>
      <c r="Z1126" s="614"/>
      <c r="AA1126" s="614"/>
      <c r="AB1126" s="614"/>
      <c r="AC1126" s="614"/>
      <c r="AJ1126" s="614"/>
      <c r="AK1126" s="614"/>
      <c r="AL1126" s="614"/>
      <c r="AM1126" s="614"/>
      <c r="AN1126" s="614"/>
      <c r="AO1126" s="614"/>
      <c r="AP1126" s="616"/>
      <c r="AQ1126" s="616"/>
      <c r="AR1126" s="616"/>
      <c r="AS1126" s="614"/>
      <c r="AT1126" s="614"/>
      <c r="AU1126" s="614"/>
      <c r="AV1126" s="614"/>
      <c r="AW1126" s="614"/>
      <c r="AX1126" s="614"/>
    </row>
    <row r="1127" spans="1:50" x14ac:dyDescent="0.25">
      <c r="A1127" s="612"/>
      <c r="B1127" s="612"/>
      <c r="C1127" s="613"/>
      <c r="D1127" s="612"/>
      <c r="E1127" s="612"/>
      <c r="F1127" s="613"/>
      <c r="G1127" s="612"/>
      <c r="H1127" s="612"/>
      <c r="I1127" s="735"/>
      <c r="J1127" s="612"/>
      <c r="K1127" s="613"/>
      <c r="L1127" s="614"/>
      <c r="M1127" s="614"/>
      <c r="N1127" s="614"/>
      <c r="O1127" s="614"/>
      <c r="P1127" s="614"/>
      <c r="Q1127" s="614"/>
      <c r="R1127" s="614"/>
      <c r="S1127" s="614"/>
      <c r="T1127" s="614"/>
      <c r="U1127" s="614"/>
      <c r="V1127" s="614"/>
      <c r="W1127" s="614"/>
      <c r="X1127" s="614"/>
      <c r="Y1127" s="614"/>
      <c r="Z1127" s="614"/>
      <c r="AA1127" s="614"/>
      <c r="AB1127" s="614"/>
      <c r="AC1127" s="614"/>
      <c r="AJ1127" s="614"/>
      <c r="AK1127" s="614"/>
      <c r="AL1127" s="614"/>
      <c r="AM1127" s="614"/>
      <c r="AN1127" s="614"/>
      <c r="AO1127" s="614"/>
      <c r="AP1127" s="616"/>
      <c r="AQ1127" s="616"/>
      <c r="AR1127" s="616"/>
      <c r="AS1127" s="614"/>
      <c r="AT1127" s="614"/>
      <c r="AU1127" s="614"/>
      <c r="AV1127" s="614"/>
      <c r="AW1127" s="614"/>
      <c r="AX1127" s="614"/>
    </row>
    <row r="1128" spans="1:50" x14ac:dyDescent="0.25">
      <c r="A1128" s="612"/>
      <c r="B1128" s="612"/>
      <c r="C1128" s="613"/>
      <c r="D1128" s="612"/>
      <c r="E1128" s="612"/>
      <c r="F1128" s="613"/>
      <c r="G1128" s="612"/>
      <c r="H1128" s="612"/>
      <c r="I1128" s="735"/>
      <c r="J1128" s="612"/>
      <c r="K1128" s="613"/>
      <c r="L1128" s="614"/>
      <c r="M1128" s="614"/>
      <c r="N1128" s="614"/>
      <c r="O1128" s="614"/>
      <c r="P1128" s="614"/>
      <c r="Q1128" s="614"/>
      <c r="R1128" s="614"/>
      <c r="S1128" s="614"/>
      <c r="T1128" s="614"/>
      <c r="U1128" s="614"/>
      <c r="V1128" s="614"/>
      <c r="W1128" s="614"/>
      <c r="X1128" s="614"/>
      <c r="Y1128" s="614"/>
      <c r="Z1128" s="614"/>
      <c r="AA1128" s="614"/>
      <c r="AB1128" s="614"/>
      <c r="AC1128" s="614"/>
      <c r="AJ1128" s="614"/>
      <c r="AK1128" s="614"/>
      <c r="AL1128" s="614"/>
      <c r="AM1128" s="614"/>
      <c r="AN1128" s="614"/>
      <c r="AO1128" s="614"/>
      <c r="AP1128" s="616"/>
      <c r="AQ1128" s="616"/>
      <c r="AR1128" s="616"/>
      <c r="AS1128" s="614"/>
      <c r="AT1128" s="614"/>
      <c r="AU1128" s="614"/>
      <c r="AV1128" s="614"/>
      <c r="AW1128" s="614"/>
      <c r="AX1128" s="614"/>
    </row>
    <row r="1129" spans="1:50" x14ac:dyDescent="0.25">
      <c r="A1129" s="612"/>
      <c r="B1129" s="612"/>
      <c r="C1129" s="613"/>
      <c r="D1129" s="612"/>
      <c r="E1129" s="612"/>
      <c r="F1129" s="613"/>
      <c r="G1129" s="612"/>
      <c r="H1129" s="612"/>
      <c r="I1129" s="735"/>
      <c r="J1129" s="612"/>
      <c r="K1129" s="613"/>
      <c r="L1129" s="614"/>
      <c r="M1129" s="614"/>
      <c r="N1129" s="614"/>
      <c r="O1129" s="614"/>
      <c r="P1129" s="614"/>
      <c r="Q1129" s="614"/>
      <c r="R1129" s="614"/>
      <c r="S1129" s="614"/>
      <c r="T1129" s="614"/>
      <c r="U1129" s="614"/>
      <c r="V1129" s="614"/>
      <c r="W1129" s="614"/>
      <c r="X1129" s="614"/>
      <c r="Y1129" s="614"/>
      <c r="Z1129" s="614"/>
      <c r="AA1129" s="614"/>
      <c r="AB1129" s="614"/>
      <c r="AC1129" s="614"/>
      <c r="AJ1129" s="614"/>
      <c r="AK1129" s="614"/>
      <c r="AL1129" s="614"/>
      <c r="AM1129" s="614"/>
      <c r="AN1129" s="614"/>
      <c r="AO1129" s="614"/>
      <c r="AP1129" s="616"/>
      <c r="AQ1129" s="616"/>
      <c r="AR1129" s="616"/>
      <c r="AS1129" s="614"/>
      <c r="AT1129" s="614"/>
      <c r="AU1129" s="614"/>
      <c r="AV1129" s="614"/>
      <c r="AW1129" s="614"/>
      <c r="AX1129" s="614"/>
    </row>
    <row r="1130" spans="1:50" x14ac:dyDescent="0.25">
      <c r="A1130" s="612"/>
      <c r="B1130" s="612"/>
      <c r="C1130" s="613"/>
      <c r="D1130" s="612"/>
      <c r="E1130" s="612"/>
      <c r="F1130" s="613"/>
      <c r="G1130" s="612"/>
      <c r="H1130" s="612"/>
      <c r="I1130" s="735"/>
      <c r="J1130" s="612"/>
      <c r="K1130" s="613"/>
      <c r="L1130" s="614"/>
      <c r="M1130" s="614"/>
      <c r="N1130" s="614"/>
      <c r="O1130" s="614"/>
      <c r="P1130" s="614"/>
      <c r="Q1130" s="614"/>
      <c r="R1130" s="614"/>
      <c r="S1130" s="614"/>
      <c r="T1130" s="614"/>
      <c r="U1130" s="614"/>
      <c r="V1130" s="614"/>
      <c r="W1130" s="614"/>
      <c r="X1130" s="614"/>
      <c r="Y1130" s="614"/>
      <c r="Z1130" s="614"/>
      <c r="AA1130" s="614"/>
      <c r="AB1130" s="614"/>
      <c r="AC1130" s="614"/>
      <c r="AJ1130" s="614"/>
      <c r="AK1130" s="614"/>
      <c r="AL1130" s="614"/>
      <c r="AM1130" s="614"/>
      <c r="AN1130" s="614"/>
      <c r="AO1130" s="614"/>
      <c r="AP1130" s="616"/>
      <c r="AQ1130" s="616"/>
      <c r="AR1130" s="616"/>
      <c r="AS1130" s="614"/>
      <c r="AT1130" s="614"/>
      <c r="AU1130" s="614"/>
      <c r="AV1130" s="614"/>
      <c r="AW1130" s="614"/>
      <c r="AX1130" s="614"/>
    </row>
    <row r="1131" spans="1:50" x14ac:dyDescent="0.25">
      <c r="A1131" s="612"/>
      <c r="B1131" s="612"/>
      <c r="C1131" s="613"/>
      <c r="D1131" s="612"/>
      <c r="E1131" s="612"/>
      <c r="F1131" s="613"/>
      <c r="G1131" s="612"/>
      <c r="H1131" s="612"/>
      <c r="I1131" s="735"/>
      <c r="J1131" s="612"/>
      <c r="K1131" s="613"/>
      <c r="L1131" s="614"/>
      <c r="M1131" s="614"/>
      <c r="N1131" s="614"/>
      <c r="O1131" s="614"/>
      <c r="P1131" s="614"/>
      <c r="Q1131" s="614"/>
      <c r="R1131" s="614"/>
      <c r="S1131" s="614"/>
      <c r="T1131" s="614"/>
      <c r="U1131" s="614"/>
      <c r="V1131" s="614"/>
      <c r="W1131" s="614"/>
      <c r="X1131" s="614"/>
      <c r="Y1131" s="614"/>
      <c r="Z1131" s="614"/>
      <c r="AA1131" s="614"/>
      <c r="AB1131" s="614"/>
      <c r="AC1131" s="614"/>
      <c r="AJ1131" s="614"/>
      <c r="AK1131" s="614"/>
      <c r="AL1131" s="614"/>
      <c r="AM1131" s="614"/>
      <c r="AN1131" s="614"/>
      <c r="AO1131" s="614"/>
      <c r="AP1131" s="616"/>
      <c r="AQ1131" s="616"/>
      <c r="AR1131" s="616"/>
      <c r="AS1131" s="614"/>
      <c r="AT1131" s="614"/>
      <c r="AU1131" s="614"/>
      <c r="AV1131" s="614"/>
      <c r="AW1131" s="614"/>
      <c r="AX1131" s="614"/>
    </row>
    <row r="1132" spans="1:50" x14ac:dyDescent="0.25">
      <c r="A1132" s="612"/>
      <c r="B1132" s="612"/>
      <c r="C1132" s="613"/>
      <c r="D1132" s="612"/>
      <c r="E1132" s="612"/>
      <c r="F1132" s="613"/>
      <c r="G1132" s="612"/>
      <c r="H1132" s="612"/>
      <c r="I1132" s="735"/>
      <c r="J1132" s="612"/>
      <c r="K1132" s="613"/>
      <c r="L1132" s="614"/>
      <c r="M1132" s="614"/>
      <c r="N1132" s="614"/>
      <c r="O1132" s="614"/>
      <c r="P1132" s="614"/>
      <c r="Q1132" s="614"/>
      <c r="R1132" s="614"/>
      <c r="S1132" s="614"/>
      <c r="T1132" s="614"/>
      <c r="U1132" s="614"/>
      <c r="V1132" s="614"/>
      <c r="W1132" s="614"/>
      <c r="X1132" s="614"/>
      <c r="Y1132" s="614"/>
      <c r="Z1132" s="614"/>
      <c r="AA1132" s="614"/>
      <c r="AB1132" s="614"/>
      <c r="AC1132" s="614"/>
      <c r="AJ1132" s="614"/>
      <c r="AK1132" s="614"/>
      <c r="AL1132" s="614"/>
      <c r="AM1132" s="614"/>
      <c r="AN1132" s="614"/>
      <c r="AO1132" s="614"/>
      <c r="AP1132" s="616"/>
      <c r="AQ1132" s="616"/>
      <c r="AR1132" s="616"/>
      <c r="AS1132" s="614"/>
      <c r="AT1132" s="614"/>
      <c r="AU1132" s="614"/>
      <c r="AV1132" s="614"/>
      <c r="AW1132" s="614"/>
      <c r="AX1132" s="614"/>
    </row>
    <row r="1133" spans="1:50" x14ac:dyDescent="0.25">
      <c r="A1133" s="612"/>
      <c r="B1133" s="612"/>
      <c r="C1133" s="613"/>
      <c r="D1133" s="612"/>
      <c r="E1133" s="612"/>
      <c r="F1133" s="613"/>
      <c r="G1133" s="612"/>
      <c r="H1133" s="612"/>
      <c r="I1133" s="735"/>
      <c r="J1133" s="612"/>
      <c r="K1133" s="613"/>
      <c r="L1133" s="614"/>
      <c r="M1133" s="614"/>
      <c r="N1133" s="614"/>
      <c r="O1133" s="614"/>
      <c r="P1133" s="614"/>
      <c r="Q1133" s="614"/>
      <c r="R1133" s="614"/>
      <c r="S1133" s="614"/>
      <c r="T1133" s="614"/>
      <c r="U1133" s="614"/>
      <c r="V1133" s="614"/>
      <c r="W1133" s="614"/>
      <c r="X1133" s="614"/>
      <c r="Y1133" s="614"/>
      <c r="Z1133" s="614"/>
      <c r="AA1133" s="614"/>
      <c r="AB1133" s="614"/>
      <c r="AC1133" s="614"/>
      <c r="AJ1133" s="614"/>
      <c r="AK1133" s="614"/>
      <c r="AL1133" s="614"/>
      <c r="AM1133" s="614"/>
      <c r="AN1133" s="614"/>
      <c r="AO1133" s="614"/>
      <c r="AP1133" s="616"/>
      <c r="AQ1133" s="616"/>
      <c r="AR1133" s="616"/>
      <c r="AS1133" s="614"/>
      <c r="AT1133" s="614"/>
      <c r="AU1133" s="614"/>
      <c r="AV1133" s="614"/>
      <c r="AW1133" s="614"/>
      <c r="AX1133" s="614"/>
    </row>
    <row r="1134" spans="1:50" x14ac:dyDescent="0.25">
      <c r="A1134" s="612"/>
      <c r="B1134" s="612"/>
      <c r="C1134" s="613"/>
      <c r="D1134" s="612"/>
      <c r="E1134" s="612"/>
      <c r="F1134" s="613"/>
      <c r="G1134" s="612"/>
      <c r="H1134" s="612"/>
      <c r="I1134" s="735"/>
      <c r="J1134" s="612"/>
      <c r="K1134" s="613"/>
      <c r="L1134" s="614"/>
      <c r="M1134" s="614"/>
      <c r="N1134" s="614"/>
      <c r="O1134" s="614"/>
      <c r="P1134" s="614"/>
      <c r="Q1134" s="614"/>
      <c r="R1134" s="614"/>
      <c r="S1134" s="614"/>
      <c r="T1134" s="614"/>
      <c r="U1134" s="614"/>
      <c r="V1134" s="614"/>
      <c r="W1134" s="614"/>
      <c r="X1134" s="614"/>
      <c r="Y1134" s="614"/>
      <c r="Z1134" s="614"/>
      <c r="AA1134" s="614"/>
      <c r="AB1134" s="614"/>
      <c r="AC1134" s="614"/>
      <c r="AJ1134" s="614"/>
      <c r="AK1134" s="614"/>
      <c r="AL1134" s="614"/>
      <c r="AM1134" s="614"/>
      <c r="AN1134" s="614"/>
      <c r="AO1134" s="614"/>
      <c r="AP1134" s="616"/>
      <c r="AQ1134" s="616"/>
      <c r="AR1134" s="616"/>
      <c r="AS1134" s="614"/>
      <c r="AT1134" s="614"/>
      <c r="AU1134" s="614"/>
      <c r="AV1134" s="614"/>
      <c r="AW1134" s="614"/>
      <c r="AX1134" s="614"/>
    </row>
    <row r="1135" spans="1:50" x14ac:dyDescent="0.25">
      <c r="A1135" s="612"/>
      <c r="B1135" s="612"/>
      <c r="C1135" s="613"/>
      <c r="D1135" s="612"/>
      <c r="E1135" s="612"/>
      <c r="F1135" s="613"/>
      <c r="G1135" s="612"/>
      <c r="H1135" s="612"/>
      <c r="I1135" s="735"/>
      <c r="J1135" s="612"/>
      <c r="K1135" s="613"/>
      <c r="L1135" s="614"/>
      <c r="M1135" s="614"/>
      <c r="N1135" s="614"/>
      <c r="O1135" s="614"/>
      <c r="P1135" s="614"/>
      <c r="Q1135" s="614"/>
      <c r="R1135" s="614"/>
      <c r="S1135" s="614"/>
      <c r="T1135" s="614"/>
      <c r="U1135" s="614"/>
      <c r="V1135" s="614"/>
      <c r="W1135" s="614"/>
      <c r="X1135" s="614"/>
      <c r="Y1135" s="614"/>
      <c r="Z1135" s="614"/>
      <c r="AA1135" s="614"/>
      <c r="AB1135" s="614"/>
      <c r="AC1135" s="614"/>
      <c r="AJ1135" s="614"/>
      <c r="AK1135" s="614"/>
      <c r="AL1135" s="614"/>
      <c r="AM1135" s="614"/>
      <c r="AN1135" s="614"/>
      <c r="AO1135" s="614"/>
      <c r="AP1135" s="616"/>
      <c r="AQ1135" s="616"/>
      <c r="AR1135" s="616"/>
      <c r="AS1135" s="614"/>
      <c r="AT1135" s="614"/>
      <c r="AU1135" s="614"/>
      <c r="AV1135" s="614"/>
      <c r="AW1135" s="614"/>
      <c r="AX1135" s="614"/>
    </row>
    <row r="1136" spans="1:50" x14ac:dyDescent="0.25">
      <c r="A1136" s="612"/>
      <c r="B1136" s="612"/>
      <c r="C1136" s="613"/>
      <c r="D1136" s="612"/>
      <c r="E1136" s="612"/>
      <c r="F1136" s="613"/>
      <c r="G1136" s="612"/>
      <c r="H1136" s="612"/>
      <c r="I1136" s="735"/>
      <c r="J1136" s="612"/>
      <c r="K1136" s="613"/>
      <c r="L1136" s="614"/>
      <c r="M1136" s="614"/>
      <c r="N1136" s="614"/>
      <c r="O1136" s="614"/>
      <c r="P1136" s="614"/>
      <c r="Q1136" s="614"/>
      <c r="R1136" s="614"/>
      <c r="S1136" s="614"/>
      <c r="T1136" s="614"/>
      <c r="U1136" s="614"/>
      <c r="V1136" s="614"/>
      <c r="W1136" s="614"/>
      <c r="X1136" s="614"/>
      <c r="Y1136" s="614"/>
      <c r="Z1136" s="614"/>
      <c r="AA1136" s="614"/>
      <c r="AB1136" s="614"/>
      <c r="AC1136" s="614"/>
      <c r="AJ1136" s="614"/>
      <c r="AK1136" s="614"/>
      <c r="AL1136" s="614"/>
      <c r="AM1136" s="614"/>
      <c r="AN1136" s="614"/>
      <c r="AO1136" s="614"/>
      <c r="AP1136" s="616"/>
      <c r="AQ1136" s="616"/>
      <c r="AR1136" s="616"/>
      <c r="AS1136" s="614"/>
      <c r="AT1136" s="614"/>
      <c r="AU1136" s="614"/>
      <c r="AV1136" s="614"/>
      <c r="AW1136" s="614"/>
      <c r="AX1136" s="614"/>
    </row>
    <row r="1137" spans="1:50" x14ac:dyDescent="0.25">
      <c r="A1137" s="612"/>
      <c r="B1137" s="612"/>
      <c r="C1137" s="613"/>
      <c r="D1137" s="612"/>
      <c r="E1137" s="612"/>
      <c r="F1137" s="613"/>
      <c r="G1137" s="612"/>
      <c r="H1137" s="612"/>
      <c r="I1137" s="735"/>
      <c r="J1137" s="612"/>
      <c r="K1137" s="613"/>
      <c r="L1137" s="614"/>
      <c r="M1137" s="614"/>
      <c r="N1137" s="614"/>
      <c r="O1137" s="614"/>
      <c r="P1137" s="614"/>
      <c r="Q1137" s="614"/>
      <c r="R1137" s="614"/>
      <c r="S1137" s="614"/>
      <c r="T1137" s="614"/>
      <c r="U1137" s="614"/>
      <c r="V1137" s="614"/>
      <c r="W1137" s="614"/>
      <c r="X1137" s="614"/>
      <c r="Y1137" s="614"/>
      <c r="Z1137" s="614"/>
      <c r="AA1137" s="614"/>
      <c r="AB1137" s="614"/>
      <c r="AC1137" s="614"/>
      <c r="AJ1137" s="614"/>
      <c r="AK1137" s="614"/>
      <c r="AL1137" s="614"/>
      <c r="AM1137" s="614"/>
      <c r="AN1137" s="614"/>
      <c r="AO1137" s="614"/>
      <c r="AP1137" s="616"/>
      <c r="AQ1137" s="616"/>
      <c r="AR1137" s="616"/>
      <c r="AS1137" s="614"/>
      <c r="AT1137" s="614"/>
      <c r="AU1137" s="614"/>
      <c r="AV1137" s="614"/>
      <c r="AW1137" s="614"/>
      <c r="AX1137" s="614"/>
    </row>
    <row r="1138" spans="1:50" x14ac:dyDescent="0.25">
      <c r="A1138" s="612"/>
      <c r="B1138" s="612"/>
      <c r="C1138" s="613"/>
      <c r="D1138" s="612"/>
      <c r="E1138" s="612"/>
      <c r="F1138" s="613"/>
      <c r="G1138" s="612"/>
      <c r="H1138" s="612"/>
      <c r="I1138" s="735"/>
      <c r="J1138" s="612"/>
      <c r="K1138" s="613"/>
      <c r="L1138" s="614"/>
      <c r="M1138" s="614"/>
      <c r="N1138" s="614"/>
      <c r="O1138" s="614"/>
      <c r="P1138" s="614"/>
      <c r="Q1138" s="614"/>
      <c r="R1138" s="614"/>
      <c r="S1138" s="614"/>
      <c r="T1138" s="614"/>
      <c r="U1138" s="614"/>
      <c r="V1138" s="614"/>
      <c r="W1138" s="614"/>
      <c r="X1138" s="614"/>
      <c r="Y1138" s="614"/>
      <c r="Z1138" s="614"/>
      <c r="AA1138" s="614"/>
      <c r="AB1138" s="614"/>
      <c r="AC1138" s="614"/>
      <c r="AJ1138" s="614"/>
      <c r="AK1138" s="614"/>
      <c r="AL1138" s="614"/>
      <c r="AM1138" s="614"/>
      <c r="AN1138" s="614"/>
      <c r="AO1138" s="614"/>
      <c r="AP1138" s="616"/>
      <c r="AQ1138" s="616"/>
      <c r="AR1138" s="616"/>
      <c r="AS1138" s="614"/>
      <c r="AT1138" s="614"/>
      <c r="AU1138" s="614"/>
      <c r="AV1138" s="614"/>
      <c r="AW1138" s="614"/>
      <c r="AX1138" s="614"/>
    </row>
    <row r="1139" spans="1:50" x14ac:dyDescent="0.25">
      <c r="A1139" s="612"/>
      <c r="B1139" s="612"/>
      <c r="C1139" s="613"/>
      <c r="D1139" s="612"/>
      <c r="E1139" s="612"/>
      <c r="F1139" s="613"/>
      <c r="G1139" s="612"/>
      <c r="H1139" s="612"/>
      <c r="I1139" s="735"/>
      <c r="J1139" s="612"/>
      <c r="K1139" s="613"/>
      <c r="L1139" s="614"/>
      <c r="M1139" s="614"/>
      <c r="N1139" s="614"/>
      <c r="O1139" s="614"/>
      <c r="P1139" s="614"/>
      <c r="Q1139" s="614"/>
      <c r="R1139" s="614"/>
      <c r="S1139" s="614"/>
      <c r="T1139" s="614"/>
      <c r="U1139" s="614"/>
      <c r="V1139" s="614"/>
      <c r="W1139" s="614"/>
      <c r="X1139" s="614"/>
      <c r="Y1139" s="614"/>
      <c r="Z1139" s="614"/>
      <c r="AA1139" s="614"/>
      <c r="AB1139" s="614"/>
      <c r="AC1139" s="614"/>
      <c r="AJ1139" s="614"/>
      <c r="AK1139" s="614"/>
      <c r="AL1139" s="614"/>
      <c r="AM1139" s="614"/>
      <c r="AN1139" s="614"/>
      <c r="AO1139" s="614"/>
      <c r="AP1139" s="616"/>
      <c r="AQ1139" s="616"/>
      <c r="AR1139" s="616"/>
      <c r="AS1139" s="614"/>
      <c r="AT1139" s="614"/>
      <c r="AU1139" s="614"/>
      <c r="AV1139" s="614"/>
      <c r="AW1139" s="614"/>
      <c r="AX1139" s="614"/>
    </row>
    <row r="1140" spans="1:50" x14ac:dyDescent="0.25">
      <c r="A1140" s="612"/>
      <c r="B1140" s="612"/>
      <c r="C1140" s="613"/>
      <c r="D1140" s="612"/>
      <c r="E1140" s="612"/>
      <c r="F1140" s="613"/>
      <c r="G1140" s="612"/>
      <c r="H1140" s="612"/>
      <c r="I1140" s="735"/>
      <c r="J1140" s="612"/>
      <c r="K1140" s="613"/>
      <c r="L1140" s="614"/>
      <c r="M1140" s="614"/>
      <c r="N1140" s="614"/>
      <c r="O1140" s="614"/>
      <c r="P1140" s="614"/>
      <c r="Q1140" s="614"/>
      <c r="R1140" s="614"/>
      <c r="S1140" s="614"/>
      <c r="T1140" s="614"/>
      <c r="U1140" s="614"/>
      <c r="V1140" s="614"/>
      <c r="W1140" s="614"/>
      <c r="X1140" s="614"/>
      <c r="Y1140" s="614"/>
      <c r="Z1140" s="614"/>
      <c r="AA1140" s="614"/>
      <c r="AB1140" s="614"/>
      <c r="AC1140" s="614"/>
      <c r="AJ1140" s="614"/>
      <c r="AK1140" s="614"/>
      <c r="AL1140" s="614"/>
      <c r="AM1140" s="614"/>
      <c r="AN1140" s="614"/>
      <c r="AO1140" s="614"/>
      <c r="AP1140" s="616"/>
      <c r="AQ1140" s="616"/>
      <c r="AR1140" s="616"/>
      <c r="AS1140" s="614"/>
      <c r="AT1140" s="614"/>
      <c r="AU1140" s="614"/>
      <c r="AV1140" s="614"/>
      <c r="AW1140" s="614"/>
      <c r="AX1140" s="614"/>
    </row>
    <row r="1141" spans="1:50" x14ac:dyDescent="0.25">
      <c r="A1141" s="612"/>
      <c r="B1141" s="612"/>
      <c r="C1141" s="613"/>
      <c r="D1141" s="612"/>
      <c r="E1141" s="612"/>
      <c r="F1141" s="613"/>
      <c r="G1141" s="612"/>
      <c r="H1141" s="612"/>
      <c r="I1141" s="735"/>
      <c r="J1141" s="612"/>
      <c r="K1141" s="613"/>
      <c r="L1141" s="614"/>
      <c r="M1141" s="614"/>
      <c r="N1141" s="614"/>
      <c r="O1141" s="614"/>
      <c r="P1141" s="614"/>
      <c r="Q1141" s="614"/>
      <c r="R1141" s="614"/>
      <c r="S1141" s="614"/>
      <c r="T1141" s="614"/>
      <c r="U1141" s="614"/>
      <c r="V1141" s="614"/>
      <c r="W1141" s="614"/>
      <c r="X1141" s="614"/>
      <c r="Y1141" s="614"/>
      <c r="Z1141" s="614"/>
      <c r="AA1141" s="614"/>
      <c r="AB1141" s="614"/>
      <c r="AC1141" s="614"/>
      <c r="AJ1141" s="614"/>
      <c r="AK1141" s="614"/>
      <c r="AL1141" s="614"/>
      <c r="AM1141" s="614"/>
      <c r="AN1141" s="614"/>
      <c r="AO1141" s="614"/>
      <c r="AP1141" s="616"/>
      <c r="AQ1141" s="616"/>
      <c r="AR1141" s="616"/>
      <c r="AS1141" s="614"/>
      <c r="AT1141" s="614"/>
      <c r="AU1141" s="614"/>
      <c r="AV1141" s="614"/>
      <c r="AW1141" s="614"/>
      <c r="AX1141" s="614"/>
    </row>
    <row r="1142" spans="1:50" x14ac:dyDescent="0.25">
      <c r="A1142" s="612"/>
      <c r="B1142" s="612"/>
      <c r="C1142" s="613"/>
      <c r="D1142" s="612"/>
      <c r="E1142" s="612"/>
      <c r="F1142" s="613"/>
      <c r="G1142" s="612"/>
      <c r="H1142" s="612"/>
      <c r="I1142" s="735"/>
      <c r="J1142" s="612"/>
      <c r="K1142" s="613"/>
      <c r="L1142" s="614"/>
      <c r="M1142" s="614"/>
      <c r="N1142" s="614"/>
      <c r="O1142" s="614"/>
      <c r="P1142" s="614"/>
      <c r="Q1142" s="614"/>
      <c r="R1142" s="614"/>
      <c r="S1142" s="614"/>
      <c r="T1142" s="614"/>
      <c r="U1142" s="614"/>
      <c r="V1142" s="614"/>
      <c r="W1142" s="614"/>
      <c r="X1142" s="614"/>
      <c r="Y1142" s="614"/>
      <c r="Z1142" s="614"/>
      <c r="AA1142" s="614"/>
      <c r="AB1142" s="614"/>
      <c r="AC1142" s="614"/>
      <c r="AJ1142" s="614"/>
      <c r="AK1142" s="614"/>
      <c r="AL1142" s="614"/>
      <c r="AM1142" s="614"/>
      <c r="AN1142" s="614"/>
      <c r="AO1142" s="614"/>
      <c r="AP1142" s="616"/>
      <c r="AQ1142" s="616"/>
      <c r="AR1142" s="616"/>
      <c r="AS1142" s="614"/>
      <c r="AT1142" s="614"/>
      <c r="AU1142" s="614"/>
      <c r="AV1142" s="614"/>
      <c r="AW1142" s="614"/>
      <c r="AX1142" s="614"/>
    </row>
    <row r="1143" spans="1:50" x14ac:dyDescent="0.25">
      <c r="A1143" s="612"/>
      <c r="B1143" s="612"/>
      <c r="C1143" s="613"/>
      <c r="D1143" s="612"/>
      <c r="E1143" s="612"/>
      <c r="F1143" s="613"/>
      <c r="G1143" s="612"/>
      <c r="H1143" s="612"/>
      <c r="I1143" s="735"/>
      <c r="J1143" s="612"/>
      <c r="K1143" s="613"/>
      <c r="L1143" s="614"/>
      <c r="M1143" s="614"/>
      <c r="N1143" s="614"/>
      <c r="O1143" s="614"/>
      <c r="P1143" s="614"/>
      <c r="Q1143" s="614"/>
      <c r="R1143" s="614"/>
      <c r="S1143" s="614"/>
      <c r="T1143" s="614"/>
      <c r="U1143" s="614"/>
      <c r="V1143" s="614"/>
      <c r="W1143" s="614"/>
      <c r="X1143" s="614"/>
      <c r="Y1143" s="614"/>
      <c r="Z1143" s="614"/>
      <c r="AA1143" s="614"/>
      <c r="AB1143" s="614"/>
      <c r="AC1143" s="614"/>
      <c r="AJ1143" s="614"/>
      <c r="AK1143" s="614"/>
      <c r="AL1143" s="614"/>
      <c r="AM1143" s="614"/>
      <c r="AN1143" s="614"/>
      <c r="AO1143" s="614"/>
      <c r="AP1143" s="616"/>
      <c r="AQ1143" s="616"/>
      <c r="AR1143" s="616"/>
      <c r="AS1143" s="614"/>
      <c r="AT1143" s="614"/>
      <c r="AU1143" s="614"/>
      <c r="AV1143" s="614"/>
      <c r="AW1143" s="614"/>
      <c r="AX1143" s="614"/>
    </row>
    <row r="1144" spans="1:50" x14ac:dyDescent="0.25">
      <c r="A1144" s="612"/>
      <c r="B1144" s="612"/>
      <c r="C1144" s="613"/>
      <c r="D1144" s="612"/>
      <c r="E1144" s="612"/>
      <c r="F1144" s="613"/>
      <c r="G1144" s="612"/>
      <c r="H1144" s="612"/>
      <c r="I1144" s="735"/>
      <c r="J1144" s="612"/>
      <c r="K1144" s="613"/>
      <c r="L1144" s="614"/>
      <c r="M1144" s="614"/>
      <c r="N1144" s="614"/>
      <c r="O1144" s="614"/>
      <c r="P1144" s="614"/>
      <c r="Q1144" s="614"/>
      <c r="R1144" s="614"/>
      <c r="S1144" s="614"/>
      <c r="T1144" s="614"/>
      <c r="U1144" s="614"/>
      <c r="V1144" s="614"/>
      <c r="W1144" s="614"/>
      <c r="X1144" s="614"/>
      <c r="Y1144" s="614"/>
      <c r="Z1144" s="614"/>
      <c r="AA1144" s="614"/>
      <c r="AB1144" s="614"/>
      <c r="AC1144" s="614"/>
      <c r="AJ1144" s="614"/>
      <c r="AK1144" s="614"/>
      <c r="AL1144" s="614"/>
      <c r="AM1144" s="614"/>
      <c r="AN1144" s="614"/>
      <c r="AO1144" s="614"/>
      <c r="AP1144" s="616"/>
      <c r="AQ1144" s="616"/>
      <c r="AR1144" s="616"/>
      <c r="AS1144" s="614"/>
      <c r="AT1144" s="614"/>
      <c r="AU1144" s="614"/>
      <c r="AV1144" s="614"/>
      <c r="AW1144" s="614"/>
      <c r="AX1144" s="614"/>
    </row>
    <row r="1145" spans="1:50" x14ac:dyDescent="0.25">
      <c r="A1145" s="612"/>
      <c r="B1145" s="612"/>
      <c r="C1145" s="613"/>
      <c r="D1145" s="612"/>
      <c r="E1145" s="612"/>
      <c r="F1145" s="613"/>
      <c r="G1145" s="612"/>
      <c r="H1145" s="612"/>
      <c r="I1145" s="735"/>
      <c r="J1145" s="612"/>
      <c r="K1145" s="613"/>
      <c r="L1145" s="614"/>
      <c r="M1145" s="614"/>
      <c r="N1145" s="614"/>
      <c r="O1145" s="614"/>
      <c r="P1145" s="614"/>
      <c r="Q1145" s="614"/>
      <c r="R1145" s="614"/>
      <c r="S1145" s="614"/>
      <c r="T1145" s="614"/>
      <c r="U1145" s="614"/>
      <c r="V1145" s="614"/>
      <c r="W1145" s="614"/>
      <c r="X1145" s="614"/>
      <c r="Y1145" s="614"/>
      <c r="Z1145" s="614"/>
      <c r="AA1145" s="614"/>
      <c r="AB1145" s="614"/>
      <c r="AC1145" s="614"/>
      <c r="AJ1145" s="614"/>
      <c r="AK1145" s="614"/>
      <c r="AL1145" s="614"/>
      <c r="AM1145" s="614"/>
      <c r="AN1145" s="614"/>
      <c r="AO1145" s="614"/>
      <c r="AP1145" s="616"/>
      <c r="AQ1145" s="616"/>
      <c r="AR1145" s="616"/>
      <c r="AS1145" s="614"/>
      <c r="AT1145" s="614"/>
      <c r="AU1145" s="614"/>
      <c r="AV1145" s="614"/>
      <c r="AW1145" s="614"/>
      <c r="AX1145" s="614"/>
    </row>
    <row r="1146" spans="1:50" x14ac:dyDescent="0.25">
      <c r="A1146" s="612"/>
      <c r="B1146" s="612"/>
      <c r="C1146" s="613"/>
      <c r="D1146" s="612"/>
      <c r="E1146" s="612"/>
      <c r="F1146" s="613"/>
      <c r="G1146" s="612"/>
      <c r="H1146" s="612"/>
      <c r="I1146" s="735"/>
      <c r="J1146" s="612"/>
      <c r="K1146" s="613"/>
      <c r="L1146" s="614"/>
      <c r="M1146" s="614"/>
      <c r="N1146" s="614"/>
      <c r="O1146" s="614"/>
      <c r="P1146" s="614"/>
      <c r="Q1146" s="614"/>
      <c r="R1146" s="614"/>
      <c r="S1146" s="614"/>
      <c r="T1146" s="614"/>
      <c r="U1146" s="614"/>
      <c r="V1146" s="614"/>
      <c r="W1146" s="614"/>
      <c r="X1146" s="614"/>
      <c r="Y1146" s="614"/>
      <c r="Z1146" s="614"/>
      <c r="AA1146" s="614"/>
      <c r="AB1146" s="614"/>
      <c r="AC1146" s="614"/>
      <c r="AJ1146" s="614"/>
      <c r="AK1146" s="614"/>
      <c r="AL1146" s="614"/>
      <c r="AM1146" s="614"/>
      <c r="AN1146" s="614"/>
      <c r="AO1146" s="614"/>
      <c r="AP1146" s="616"/>
      <c r="AQ1146" s="616"/>
      <c r="AR1146" s="616"/>
      <c r="AS1146" s="614"/>
      <c r="AT1146" s="614"/>
      <c r="AU1146" s="614"/>
      <c r="AV1146" s="614"/>
      <c r="AW1146" s="614"/>
      <c r="AX1146" s="614"/>
    </row>
    <row r="1147" spans="1:50" x14ac:dyDescent="0.25">
      <c r="A1147" s="612"/>
      <c r="B1147" s="612"/>
      <c r="C1147" s="613"/>
      <c r="D1147" s="612"/>
      <c r="E1147" s="612"/>
      <c r="F1147" s="613"/>
      <c r="G1147" s="612"/>
      <c r="H1147" s="612"/>
      <c r="I1147" s="735"/>
      <c r="J1147" s="612"/>
      <c r="K1147" s="613"/>
      <c r="L1147" s="614"/>
      <c r="M1147" s="614"/>
      <c r="N1147" s="614"/>
      <c r="O1147" s="614"/>
      <c r="P1147" s="614"/>
      <c r="Q1147" s="614"/>
      <c r="R1147" s="614"/>
      <c r="S1147" s="614"/>
      <c r="T1147" s="614"/>
      <c r="U1147" s="614"/>
      <c r="V1147" s="614"/>
      <c r="W1147" s="614"/>
      <c r="X1147" s="614"/>
      <c r="Y1147" s="614"/>
      <c r="Z1147" s="614"/>
      <c r="AA1147" s="614"/>
      <c r="AB1147" s="614"/>
      <c r="AC1147" s="614"/>
      <c r="AJ1147" s="614"/>
      <c r="AK1147" s="614"/>
      <c r="AL1147" s="614"/>
      <c r="AM1147" s="614"/>
      <c r="AN1147" s="614"/>
      <c r="AO1147" s="614"/>
      <c r="AP1147" s="616"/>
      <c r="AQ1147" s="616"/>
      <c r="AR1147" s="616"/>
      <c r="AS1147" s="614"/>
      <c r="AT1147" s="614"/>
      <c r="AU1147" s="614"/>
      <c r="AV1147" s="614"/>
      <c r="AW1147" s="614"/>
      <c r="AX1147" s="614"/>
    </row>
    <row r="1148" spans="1:50" x14ac:dyDescent="0.25">
      <c r="A1148" s="612"/>
      <c r="B1148" s="612"/>
      <c r="C1148" s="613"/>
      <c r="D1148" s="612"/>
      <c r="E1148" s="612"/>
      <c r="F1148" s="613"/>
      <c r="G1148" s="612"/>
      <c r="H1148" s="612"/>
      <c r="I1148" s="735"/>
      <c r="J1148" s="612"/>
      <c r="K1148" s="613"/>
      <c r="L1148" s="614"/>
      <c r="M1148" s="614"/>
      <c r="N1148" s="614"/>
      <c r="O1148" s="614"/>
      <c r="P1148" s="614"/>
      <c r="Q1148" s="614"/>
      <c r="R1148" s="614"/>
      <c r="S1148" s="614"/>
      <c r="T1148" s="614"/>
      <c r="U1148" s="614"/>
      <c r="V1148" s="614"/>
      <c r="W1148" s="614"/>
      <c r="X1148" s="614"/>
      <c r="Y1148" s="614"/>
      <c r="Z1148" s="614"/>
      <c r="AA1148" s="614"/>
      <c r="AB1148" s="614"/>
      <c r="AC1148" s="614"/>
      <c r="AJ1148" s="614"/>
      <c r="AK1148" s="614"/>
      <c r="AL1148" s="614"/>
      <c r="AM1148" s="614"/>
      <c r="AN1148" s="614"/>
      <c r="AO1148" s="614"/>
      <c r="AP1148" s="616"/>
      <c r="AQ1148" s="616"/>
      <c r="AR1148" s="616"/>
      <c r="AS1148" s="614"/>
      <c r="AT1148" s="614"/>
      <c r="AU1148" s="614"/>
      <c r="AV1148" s="614"/>
      <c r="AW1148" s="614"/>
      <c r="AX1148" s="614"/>
    </row>
    <row r="1149" spans="1:50" x14ac:dyDescent="0.25">
      <c r="A1149" s="612"/>
      <c r="B1149" s="612"/>
      <c r="C1149" s="613"/>
      <c r="D1149" s="612"/>
      <c r="E1149" s="612"/>
      <c r="F1149" s="613"/>
      <c r="G1149" s="612"/>
      <c r="H1149" s="612"/>
      <c r="I1149" s="735"/>
      <c r="J1149" s="612"/>
      <c r="K1149" s="613"/>
      <c r="L1149" s="614"/>
      <c r="M1149" s="614"/>
      <c r="N1149" s="614"/>
      <c r="O1149" s="614"/>
      <c r="P1149" s="614"/>
      <c r="Q1149" s="614"/>
      <c r="R1149" s="614"/>
      <c r="S1149" s="614"/>
      <c r="T1149" s="614"/>
      <c r="U1149" s="614"/>
      <c r="V1149" s="614"/>
      <c r="W1149" s="614"/>
      <c r="X1149" s="614"/>
      <c r="Y1149" s="614"/>
      <c r="Z1149" s="614"/>
      <c r="AA1149" s="614"/>
      <c r="AB1149" s="614"/>
      <c r="AC1149" s="614"/>
      <c r="AJ1149" s="614"/>
      <c r="AK1149" s="614"/>
      <c r="AL1149" s="614"/>
      <c r="AM1149" s="614"/>
      <c r="AN1149" s="614"/>
      <c r="AO1149" s="614"/>
      <c r="AP1149" s="616"/>
      <c r="AQ1149" s="616"/>
      <c r="AR1149" s="616"/>
      <c r="AS1149" s="614"/>
      <c r="AT1149" s="614"/>
      <c r="AU1149" s="614"/>
      <c r="AV1149" s="614"/>
      <c r="AW1149" s="614"/>
      <c r="AX1149" s="614"/>
    </row>
    <row r="1150" spans="1:50" x14ac:dyDescent="0.25">
      <c r="A1150" s="612"/>
      <c r="B1150" s="612"/>
      <c r="C1150" s="613"/>
      <c r="D1150" s="612"/>
      <c r="E1150" s="612"/>
      <c r="F1150" s="613"/>
      <c r="G1150" s="612"/>
      <c r="H1150" s="612"/>
      <c r="I1150" s="735"/>
      <c r="J1150" s="612"/>
      <c r="K1150" s="613"/>
      <c r="L1150" s="614"/>
      <c r="M1150" s="614"/>
      <c r="N1150" s="614"/>
      <c r="O1150" s="614"/>
      <c r="P1150" s="614"/>
      <c r="Q1150" s="614"/>
      <c r="R1150" s="614"/>
      <c r="S1150" s="614"/>
      <c r="T1150" s="614"/>
      <c r="U1150" s="614"/>
      <c r="V1150" s="614"/>
      <c r="W1150" s="614"/>
      <c r="X1150" s="614"/>
      <c r="Y1150" s="614"/>
      <c r="Z1150" s="614"/>
      <c r="AA1150" s="614"/>
      <c r="AB1150" s="614"/>
      <c r="AC1150" s="614"/>
      <c r="AJ1150" s="614"/>
      <c r="AK1150" s="614"/>
      <c r="AL1150" s="614"/>
      <c r="AM1150" s="614"/>
      <c r="AN1150" s="614"/>
      <c r="AO1150" s="614"/>
      <c r="AP1150" s="616"/>
      <c r="AQ1150" s="616"/>
      <c r="AR1150" s="616"/>
      <c r="AS1150" s="614"/>
      <c r="AT1150" s="614"/>
      <c r="AU1150" s="614"/>
      <c r="AV1150" s="614"/>
      <c r="AW1150" s="614"/>
      <c r="AX1150" s="614"/>
    </row>
    <row r="1151" spans="1:50" x14ac:dyDescent="0.25">
      <c r="A1151" s="612"/>
      <c r="B1151" s="612"/>
      <c r="C1151" s="613"/>
      <c r="D1151" s="612"/>
      <c r="E1151" s="612"/>
      <c r="F1151" s="613"/>
      <c r="G1151" s="612"/>
      <c r="H1151" s="612"/>
      <c r="I1151" s="735"/>
      <c r="J1151" s="612"/>
      <c r="K1151" s="613"/>
      <c r="L1151" s="614"/>
      <c r="M1151" s="614"/>
      <c r="N1151" s="614"/>
      <c r="O1151" s="614"/>
      <c r="P1151" s="614"/>
      <c r="Q1151" s="614"/>
      <c r="R1151" s="614"/>
      <c r="S1151" s="614"/>
      <c r="T1151" s="614"/>
      <c r="U1151" s="614"/>
      <c r="V1151" s="614"/>
      <c r="W1151" s="614"/>
      <c r="X1151" s="614"/>
      <c r="Y1151" s="614"/>
      <c r="Z1151" s="614"/>
      <c r="AA1151" s="614"/>
      <c r="AB1151" s="614"/>
      <c r="AC1151" s="614"/>
      <c r="AJ1151" s="614"/>
      <c r="AK1151" s="614"/>
      <c r="AL1151" s="614"/>
      <c r="AM1151" s="614"/>
      <c r="AN1151" s="614"/>
      <c r="AO1151" s="614"/>
      <c r="AP1151" s="616"/>
      <c r="AQ1151" s="616"/>
      <c r="AR1151" s="616"/>
      <c r="AS1151" s="614"/>
      <c r="AT1151" s="614"/>
      <c r="AU1151" s="614"/>
      <c r="AV1151" s="614"/>
      <c r="AW1151" s="614"/>
      <c r="AX1151" s="614"/>
    </row>
    <row r="1152" spans="1:50" x14ac:dyDescent="0.25">
      <c r="A1152" s="612"/>
      <c r="B1152" s="612"/>
      <c r="C1152" s="613"/>
      <c r="D1152" s="612"/>
      <c r="E1152" s="612"/>
      <c r="F1152" s="613"/>
      <c r="G1152" s="612"/>
      <c r="H1152" s="612"/>
      <c r="I1152" s="735"/>
      <c r="J1152" s="612"/>
      <c r="K1152" s="613"/>
      <c r="L1152" s="614"/>
      <c r="M1152" s="614"/>
      <c r="N1152" s="614"/>
      <c r="O1152" s="614"/>
      <c r="P1152" s="614"/>
      <c r="Q1152" s="614"/>
      <c r="R1152" s="614"/>
      <c r="S1152" s="614"/>
      <c r="T1152" s="614"/>
      <c r="U1152" s="614"/>
      <c r="V1152" s="614"/>
      <c r="W1152" s="614"/>
      <c r="X1152" s="614"/>
      <c r="Y1152" s="614"/>
      <c r="Z1152" s="614"/>
      <c r="AA1152" s="614"/>
      <c r="AB1152" s="614"/>
      <c r="AC1152" s="614"/>
      <c r="AJ1152" s="614"/>
      <c r="AK1152" s="614"/>
      <c r="AL1152" s="614"/>
      <c r="AM1152" s="614"/>
      <c r="AN1152" s="614"/>
      <c r="AO1152" s="614"/>
      <c r="AP1152" s="616"/>
      <c r="AQ1152" s="616"/>
      <c r="AR1152" s="616"/>
      <c r="AS1152" s="614"/>
      <c r="AT1152" s="614"/>
      <c r="AU1152" s="614"/>
      <c r="AV1152" s="614"/>
      <c r="AW1152" s="614"/>
      <c r="AX1152" s="614"/>
    </row>
    <row r="1153" spans="1:50" x14ac:dyDescent="0.25">
      <c r="A1153" s="612"/>
      <c r="B1153" s="612"/>
      <c r="C1153" s="613"/>
      <c r="D1153" s="612"/>
      <c r="E1153" s="612"/>
      <c r="F1153" s="613"/>
      <c r="G1153" s="612"/>
      <c r="H1153" s="612"/>
      <c r="I1153" s="735"/>
      <c r="J1153" s="612"/>
      <c r="K1153" s="613"/>
      <c r="L1153" s="614"/>
      <c r="M1153" s="614"/>
      <c r="N1153" s="614"/>
      <c r="O1153" s="614"/>
      <c r="P1153" s="614"/>
      <c r="Q1153" s="614"/>
      <c r="R1153" s="614"/>
      <c r="S1153" s="614"/>
      <c r="T1153" s="614"/>
      <c r="U1153" s="614"/>
      <c r="V1153" s="614"/>
      <c r="W1153" s="614"/>
      <c r="X1153" s="614"/>
      <c r="Y1153" s="614"/>
      <c r="Z1153" s="614"/>
      <c r="AA1153" s="614"/>
      <c r="AB1153" s="614"/>
      <c r="AC1153" s="614"/>
      <c r="AJ1153" s="614"/>
      <c r="AK1153" s="614"/>
      <c r="AL1153" s="614"/>
      <c r="AM1153" s="614"/>
      <c r="AN1153" s="614"/>
      <c r="AO1153" s="614"/>
      <c r="AP1153" s="616"/>
      <c r="AQ1153" s="616"/>
      <c r="AR1153" s="616"/>
      <c r="AS1153" s="614"/>
      <c r="AT1153" s="614"/>
      <c r="AU1153" s="614"/>
      <c r="AV1153" s="614"/>
      <c r="AW1153" s="614"/>
      <c r="AX1153" s="614"/>
    </row>
    <row r="1154" spans="1:50" x14ac:dyDescent="0.25">
      <c r="A1154" s="612"/>
      <c r="B1154" s="612"/>
      <c r="C1154" s="613"/>
      <c r="D1154" s="612"/>
      <c r="E1154" s="612"/>
      <c r="F1154" s="613"/>
      <c r="G1154" s="612"/>
      <c r="H1154" s="612"/>
      <c r="I1154" s="735"/>
      <c r="J1154" s="612"/>
      <c r="K1154" s="613"/>
      <c r="L1154" s="614"/>
      <c r="M1154" s="614"/>
      <c r="N1154" s="614"/>
      <c r="O1154" s="614"/>
      <c r="P1154" s="614"/>
      <c r="Q1154" s="614"/>
      <c r="R1154" s="614"/>
      <c r="S1154" s="614"/>
      <c r="T1154" s="614"/>
      <c r="U1154" s="614"/>
      <c r="V1154" s="614"/>
      <c r="W1154" s="614"/>
      <c r="X1154" s="614"/>
      <c r="Y1154" s="614"/>
      <c r="Z1154" s="614"/>
      <c r="AA1154" s="614"/>
      <c r="AB1154" s="614"/>
      <c r="AC1154" s="614"/>
      <c r="AJ1154" s="614"/>
      <c r="AK1154" s="614"/>
      <c r="AL1154" s="614"/>
      <c r="AM1154" s="614"/>
      <c r="AN1154" s="614"/>
      <c r="AO1154" s="614"/>
      <c r="AP1154" s="616"/>
      <c r="AQ1154" s="616"/>
      <c r="AR1154" s="616"/>
      <c r="AS1154" s="614"/>
      <c r="AT1154" s="614"/>
      <c r="AU1154" s="614"/>
      <c r="AV1154" s="614"/>
      <c r="AW1154" s="614"/>
      <c r="AX1154" s="614"/>
    </row>
    <row r="1155" spans="1:50" x14ac:dyDescent="0.25">
      <c r="A1155" s="612"/>
      <c r="B1155" s="612"/>
      <c r="C1155" s="613"/>
      <c r="D1155" s="612"/>
      <c r="E1155" s="612"/>
      <c r="F1155" s="613"/>
      <c r="G1155" s="612"/>
      <c r="H1155" s="612"/>
      <c r="I1155" s="735"/>
      <c r="J1155" s="612"/>
      <c r="K1155" s="613"/>
      <c r="L1155" s="614"/>
      <c r="M1155" s="614"/>
      <c r="N1155" s="614"/>
      <c r="O1155" s="614"/>
      <c r="P1155" s="614"/>
      <c r="Q1155" s="614"/>
      <c r="R1155" s="614"/>
      <c r="S1155" s="614"/>
      <c r="T1155" s="614"/>
      <c r="U1155" s="614"/>
      <c r="V1155" s="614"/>
      <c r="W1155" s="614"/>
      <c r="X1155" s="614"/>
      <c r="Y1155" s="614"/>
      <c r="Z1155" s="614"/>
      <c r="AA1155" s="614"/>
      <c r="AB1155" s="614"/>
      <c r="AC1155" s="614"/>
      <c r="AJ1155" s="614"/>
      <c r="AK1155" s="614"/>
      <c r="AL1155" s="614"/>
      <c r="AM1155" s="614"/>
      <c r="AN1155" s="614"/>
      <c r="AO1155" s="614"/>
      <c r="AP1155" s="616"/>
      <c r="AQ1155" s="616"/>
      <c r="AR1155" s="616"/>
      <c r="AS1155" s="614"/>
      <c r="AT1155" s="614"/>
      <c r="AU1155" s="614"/>
      <c r="AV1155" s="614"/>
      <c r="AW1155" s="614"/>
      <c r="AX1155" s="614"/>
    </row>
    <row r="1156" spans="1:50" x14ac:dyDescent="0.25">
      <c r="A1156" s="612"/>
      <c r="B1156" s="612"/>
      <c r="C1156" s="613"/>
      <c r="D1156" s="612"/>
      <c r="E1156" s="612"/>
      <c r="F1156" s="613"/>
      <c r="G1156" s="612"/>
      <c r="H1156" s="612"/>
      <c r="I1156" s="735"/>
      <c r="J1156" s="612"/>
      <c r="K1156" s="613"/>
      <c r="L1156" s="614"/>
      <c r="M1156" s="614"/>
      <c r="N1156" s="614"/>
      <c r="O1156" s="614"/>
      <c r="P1156" s="614"/>
      <c r="Q1156" s="614"/>
      <c r="R1156" s="614"/>
      <c r="S1156" s="614"/>
      <c r="T1156" s="614"/>
      <c r="U1156" s="614"/>
      <c r="V1156" s="614"/>
      <c r="W1156" s="614"/>
      <c r="X1156" s="614"/>
      <c r="Y1156" s="614"/>
      <c r="Z1156" s="614"/>
      <c r="AA1156" s="614"/>
      <c r="AB1156" s="614"/>
      <c r="AC1156" s="614"/>
      <c r="AJ1156" s="614"/>
      <c r="AK1156" s="614"/>
      <c r="AL1156" s="614"/>
      <c r="AM1156" s="614"/>
      <c r="AN1156" s="614"/>
      <c r="AO1156" s="614"/>
      <c r="AP1156" s="616"/>
      <c r="AQ1156" s="616"/>
      <c r="AR1156" s="616"/>
      <c r="AS1156" s="614"/>
      <c r="AT1156" s="614"/>
      <c r="AU1156" s="614"/>
      <c r="AV1156" s="614"/>
      <c r="AW1156" s="614"/>
      <c r="AX1156" s="614"/>
    </row>
    <row r="1157" spans="1:50" x14ac:dyDescent="0.25">
      <c r="A1157" s="612"/>
      <c r="B1157" s="612"/>
      <c r="C1157" s="613"/>
      <c r="D1157" s="612"/>
      <c r="E1157" s="612"/>
      <c r="F1157" s="613"/>
      <c r="G1157" s="612"/>
      <c r="H1157" s="612"/>
      <c r="I1157" s="735"/>
      <c r="J1157" s="612"/>
      <c r="K1157" s="613"/>
      <c r="L1157" s="614"/>
      <c r="M1157" s="614"/>
      <c r="N1157" s="614"/>
      <c r="O1157" s="614"/>
      <c r="P1157" s="614"/>
      <c r="Q1157" s="614"/>
      <c r="R1157" s="614"/>
      <c r="S1157" s="614"/>
      <c r="T1157" s="614"/>
      <c r="U1157" s="614"/>
      <c r="V1157" s="614"/>
      <c r="W1157" s="614"/>
      <c r="X1157" s="614"/>
      <c r="Y1157" s="614"/>
      <c r="Z1157" s="614"/>
      <c r="AA1157" s="614"/>
      <c r="AB1157" s="614"/>
      <c r="AC1157" s="614"/>
      <c r="AJ1157" s="614"/>
      <c r="AK1157" s="614"/>
      <c r="AL1157" s="614"/>
      <c r="AM1157" s="614"/>
      <c r="AN1157" s="614"/>
      <c r="AO1157" s="614"/>
      <c r="AP1157" s="616"/>
      <c r="AQ1157" s="616"/>
      <c r="AR1157" s="616"/>
      <c r="AS1157" s="614"/>
      <c r="AT1157" s="614"/>
      <c r="AU1157" s="614"/>
      <c r="AV1157" s="614"/>
      <c r="AW1157" s="614"/>
      <c r="AX1157" s="614"/>
    </row>
    <row r="1158" spans="1:50" x14ac:dyDescent="0.25">
      <c r="A1158" s="612"/>
      <c r="B1158" s="612"/>
      <c r="C1158" s="613"/>
      <c r="D1158" s="612"/>
      <c r="E1158" s="612"/>
      <c r="F1158" s="613"/>
      <c r="G1158" s="612"/>
      <c r="H1158" s="612"/>
      <c r="I1158" s="735"/>
      <c r="J1158" s="612"/>
      <c r="K1158" s="613"/>
      <c r="L1158" s="614"/>
      <c r="M1158" s="614"/>
      <c r="N1158" s="614"/>
      <c r="O1158" s="614"/>
      <c r="P1158" s="614"/>
      <c r="Q1158" s="614"/>
      <c r="R1158" s="614"/>
      <c r="S1158" s="614"/>
      <c r="T1158" s="614"/>
      <c r="U1158" s="614"/>
      <c r="V1158" s="614"/>
      <c r="W1158" s="614"/>
      <c r="X1158" s="614"/>
      <c r="Y1158" s="614"/>
      <c r="Z1158" s="614"/>
      <c r="AA1158" s="614"/>
      <c r="AB1158" s="614"/>
      <c r="AC1158" s="614"/>
      <c r="AJ1158" s="614"/>
      <c r="AK1158" s="614"/>
      <c r="AL1158" s="614"/>
      <c r="AM1158" s="614"/>
      <c r="AN1158" s="614"/>
      <c r="AO1158" s="614"/>
      <c r="AP1158" s="616"/>
      <c r="AQ1158" s="616"/>
      <c r="AR1158" s="616"/>
      <c r="AS1158" s="614"/>
      <c r="AT1158" s="614"/>
      <c r="AU1158" s="614"/>
      <c r="AV1158" s="614"/>
      <c r="AW1158" s="614"/>
      <c r="AX1158" s="614"/>
    </row>
    <row r="1159" spans="1:50" x14ac:dyDescent="0.25">
      <c r="A1159" s="612"/>
      <c r="B1159" s="612"/>
      <c r="C1159" s="613"/>
      <c r="D1159" s="612"/>
      <c r="E1159" s="612"/>
      <c r="F1159" s="613"/>
      <c r="G1159" s="612"/>
      <c r="H1159" s="612"/>
      <c r="I1159" s="735"/>
      <c r="J1159" s="612"/>
      <c r="K1159" s="613"/>
      <c r="L1159" s="614"/>
      <c r="M1159" s="614"/>
      <c r="N1159" s="614"/>
      <c r="O1159" s="614"/>
      <c r="P1159" s="614"/>
      <c r="Q1159" s="614"/>
      <c r="R1159" s="614"/>
      <c r="S1159" s="614"/>
      <c r="T1159" s="614"/>
      <c r="U1159" s="614"/>
      <c r="V1159" s="614"/>
      <c r="W1159" s="614"/>
      <c r="X1159" s="614"/>
      <c r="Y1159" s="614"/>
      <c r="Z1159" s="614"/>
      <c r="AA1159" s="614"/>
      <c r="AB1159" s="614"/>
      <c r="AC1159" s="614"/>
      <c r="AJ1159" s="614"/>
      <c r="AK1159" s="614"/>
      <c r="AL1159" s="614"/>
      <c r="AM1159" s="614"/>
      <c r="AN1159" s="614"/>
      <c r="AO1159" s="614"/>
      <c r="AP1159" s="616"/>
      <c r="AQ1159" s="616"/>
      <c r="AR1159" s="616"/>
      <c r="AS1159" s="614"/>
      <c r="AT1159" s="614"/>
      <c r="AU1159" s="614"/>
      <c r="AV1159" s="614"/>
      <c r="AW1159" s="614"/>
      <c r="AX1159" s="614"/>
    </row>
    <row r="1160" spans="1:50" x14ac:dyDescent="0.25">
      <c r="A1160" s="612"/>
      <c r="B1160" s="612"/>
      <c r="C1160" s="613"/>
      <c r="D1160" s="612"/>
      <c r="E1160" s="612"/>
      <c r="F1160" s="613"/>
      <c r="G1160" s="612"/>
      <c r="H1160" s="612"/>
      <c r="I1160" s="735"/>
      <c r="J1160" s="612"/>
      <c r="K1160" s="613"/>
      <c r="L1160" s="614"/>
      <c r="M1160" s="614"/>
      <c r="N1160" s="614"/>
      <c r="O1160" s="614"/>
      <c r="P1160" s="614"/>
      <c r="Q1160" s="614"/>
      <c r="R1160" s="614"/>
      <c r="S1160" s="614"/>
      <c r="T1160" s="614"/>
      <c r="U1160" s="614"/>
      <c r="V1160" s="614"/>
      <c r="W1160" s="614"/>
      <c r="X1160" s="614"/>
      <c r="Y1160" s="614"/>
      <c r="Z1160" s="614"/>
      <c r="AA1160" s="614"/>
      <c r="AB1160" s="614"/>
      <c r="AC1160" s="614"/>
      <c r="AJ1160" s="614"/>
      <c r="AK1160" s="614"/>
      <c r="AL1160" s="614"/>
      <c r="AM1160" s="614"/>
      <c r="AN1160" s="614"/>
      <c r="AO1160" s="614"/>
      <c r="AP1160" s="616"/>
      <c r="AQ1160" s="616"/>
      <c r="AR1160" s="616"/>
      <c r="AS1160" s="614"/>
      <c r="AT1160" s="614"/>
      <c r="AU1160" s="614"/>
      <c r="AV1160" s="614"/>
      <c r="AW1160" s="614"/>
      <c r="AX1160" s="614"/>
    </row>
    <row r="1161" spans="1:50" x14ac:dyDescent="0.25">
      <c r="A1161" s="612"/>
      <c r="B1161" s="612"/>
      <c r="C1161" s="613"/>
      <c r="D1161" s="612"/>
      <c r="E1161" s="612"/>
      <c r="F1161" s="613"/>
      <c r="G1161" s="612"/>
      <c r="H1161" s="612"/>
      <c r="I1161" s="735"/>
      <c r="J1161" s="612"/>
      <c r="K1161" s="613"/>
      <c r="L1161" s="614"/>
      <c r="M1161" s="614"/>
      <c r="N1161" s="614"/>
      <c r="O1161" s="614"/>
      <c r="P1161" s="614"/>
      <c r="Q1161" s="614"/>
      <c r="R1161" s="614"/>
      <c r="S1161" s="614"/>
      <c r="T1161" s="614"/>
      <c r="U1161" s="614"/>
      <c r="V1161" s="614"/>
      <c r="W1161" s="614"/>
      <c r="X1161" s="614"/>
      <c r="Y1161" s="614"/>
      <c r="Z1161" s="614"/>
      <c r="AA1161" s="614"/>
      <c r="AB1161" s="614"/>
      <c r="AC1161" s="614"/>
      <c r="AJ1161" s="614"/>
      <c r="AK1161" s="614"/>
      <c r="AL1161" s="614"/>
      <c r="AM1161" s="614"/>
      <c r="AN1161" s="614"/>
      <c r="AO1161" s="614"/>
      <c r="AP1161" s="616"/>
      <c r="AQ1161" s="616"/>
      <c r="AR1161" s="616"/>
      <c r="AS1161" s="614"/>
      <c r="AT1161" s="614"/>
      <c r="AU1161" s="614"/>
      <c r="AV1161" s="614"/>
      <c r="AW1161" s="614"/>
      <c r="AX1161" s="614"/>
    </row>
    <row r="1162" spans="1:50" x14ac:dyDescent="0.25">
      <c r="A1162" s="612"/>
      <c r="B1162" s="612"/>
      <c r="C1162" s="613"/>
      <c r="D1162" s="612"/>
      <c r="E1162" s="612"/>
      <c r="F1162" s="613"/>
      <c r="G1162" s="612"/>
      <c r="H1162" s="612"/>
      <c r="I1162" s="735"/>
      <c r="J1162" s="612"/>
      <c r="K1162" s="613"/>
      <c r="L1162" s="614"/>
      <c r="M1162" s="614"/>
      <c r="N1162" s="614"/>
      <c r="O1162" s="614"/>
      <c r="P1162" s="614"/>
      <c r="Q1162" s="614"/>
      <c r="R1162" s="614"/>
      <c r="S1162" s="614"/>
      <c r="T1162" s="614"/>
      <c r="U1162" s="614"/>
      <c r="V1162" s="614"/>
      <c r="W1162" s="614"/>
      <c r="X1162" s="614"/>
      <c r="Y1162" s="614"/>
      <c r="Z1162" s="614"/>
      <c r="AA1162" s="614"/>
      <c r="AB1162" s="614"/>
      <c r="AC1162" s="614"/>
      <c r="AJ1162" s="614"/>
      <c r="AK1162" s="614"/>
      <c r="AL1162" s="614"/>
      <c r="AM1162" s="614"/>
      <c r="AN1162" s="614"/>
      <c r="AO1162" s="614"/>
      <c r="AP1162" s="616"/>
      <c r="AQ1162" s="616"/>
      <c r="AR1162" s="616"/>
      <c r="AS1162" s="614"/>
      <c r="AT1162" s="614"/>
      <c r="AU1162" s="614"/>
      <c r="AV1162" s="614"/>
      <c r="AW1162" s="614"/>
      <c r="AX1162" s="614"/>
    </row>
    <row r="1163" spans="1:50" x14ac:dyDescent="0.25">
      <c r="A1163" s="612"/>
      <c r="B1163" s="612"/>
      <c r="C1163" s="613"/>
      <c r="D1163" s="612"/>
      <c r="E1163" s="612"/>
      <c r="F1163" s="613"/>
      <c r="G1163" s="612"/>
      <c r="H1163" s="612"/>
      <c r="I1163" s="735"/>
      <c r="J1163" s="612"/>
      <c r="K1163" s="613"/>
      <c r="L1163" s="614"/>
      <c r="M1163" s="614"/>
      <c r="N1163" s="614"/>
      <c r="O1163" s="614"/>
      <c r="P1163" s="614"/>
      <c r="Q1163" s="614"/>
      <c r="R1163" s="614"/>
      <c r="S1163" s="614"/>
      <c r="T1163" s="614"/>
      <c r="U1163" s="614"/>
      <c r="V1163" s="614"/>
      <c r="W1163" s="614"/>
      <c r="X1163" s="614"/>
      <c r="Y1163" s="614"/>
      <c r="Z1163" s="614"/>
      <c r="AA1163" s="614"/>
      <c r="AB1163" s="614"/>
      <c r="AC1163" s="614"/>
      <c r="AJ1163" s="614"/>
      <c r="AK1163" s="614"/>
      <c r="AL1163" s="614"/>
      <c r="AM1163" s="614"/>
      <c r="AN1163" s="614"/>
      <c r="AO1163" s="614"/>
      <c r="AP1163" s="616"/>
      <c r="AQ1163" s="616"/>
      <c r="AR1163" s="616"/>
      <c r="AS1163" s="614"/>
      <c r="AT1163" s="614"/>
      <c r="AU1163" s="614"/>
      <c r="AV1163" s="614"/>
      <c r="AW1163" s="614"/>
      <c r="AX1163" s="614"/>
    </row>
    <row r="1164" spans="1:50" x14ac:dyDescent="0.25">
      <c r="A1164" s="612"/>
      <c r="B1164" s="612"/>
      <c r="C1164" s="613"/>
      <c r="D1164" s="612"/>
      <c r="E1164" s="612"/>
      <c r="F1164" s="613"/>
      <c r="G1164" s="612"/>
      <c r="H1164" s="612"/>
      <c r="I1164" s="735"/>
      <c r="J1164" s="612"/>
      <c r="K1164" s="613"/>
      <c r="L1164" s="614"/>
      <c r="M1164" s="614"/>
      <c r="N1164" s="614"/>
      <c r="O1164" s="614"/>
      <c r="P1164" s="614"/>
      <c r="Q1164" s="614"/>
      <c r="R1164" s="614"/>
      <c r="S1164" s="614"/>
      <c r="T1164" s="614"/>
      <c r="U1164" s="614"/>
      <c r="V1164" s="614"/>
      <c r="W1164" s="614"/>
      <c r="X1164" s="614"/>
      <c r="Y1164" s="614"/>
      <c r="Z1164" s="614"/>
      <c r="AA1164" s="614"/>
      <c r="AB1164" s="614"/>
      <c r="AC1164" s="614"/>
      <c r="AJ1164" s="614"/>
      <c r="AK1164" s="614"/>
      <c r="AL1164" s="614"/>
      <c r="AM1164" s="614"/>
      <c r="AN1164" s="614"/>
      <c r="AO1164" s="614"/>
      <c r="AP1164" s="616"/>
      <c r="AQ1164" s="616"/>
      <c r="AR1164" s="616"/>
      <c r="AS1164" s="614"/>
      <c r="AT1164" s="614"/>
      <c r="AU1164" s="614"/>
      <c r="AV1164" s="614"/>
      <c r="AW1164" s="614"/>
      <c r="AX1164" s="614"/>
    </row>
    <row r="1165" spans="1:50" x14ac:dyDescent="0.25">
      <c r="A1165" s="612"/>
      <c r="B1165" s="612"/>
      <c r="C1165" s="613"/>
      <c r="D1165" s="612"/>
      <c r="E1165" s="612"/>
      <c r="F1165" s="613"/>
      <c r="G1165" s="612"/>
      <c r="H1165" s="612"/>
      <c r="I1165" s="735"/>
      <c r="J1165" s="612"/>
      <c r="K1165" s="613"/>
      <c r="L1165" s="614"/>
      <c r="M1165" s="614"/>
      <c r="N1165" s="614"/>
      <c r="O1165" s="614"/>
      <c r="P1165" s="614"/>
      <c r="Q1165" s="614"/>
      <c r="R1165" s="614"/>
      <c r="S1165" s="614"/>
      <c r="T1165" s="614"/>
      <c r="U1165" s="614"/>
      <c r="V1165" s="614"/>
      <c r="W1165" s="614"/>
      <c r="X1165" s="614"/>
      <c r="Y1165" s="614"/>
      <c r="Z1165" s="614"/>
      <c r="AA1165" s="614"/>
      <c r="AB1165" s="614"/>
      <c r="AC1165" s="614"/>
      <c r="AJ1165" s="614"/>
      <c r="AK1165" s="614"/>
      <c r="AL1165" s="614"/>
      <c r="AM1165" s="614"/>
      <c r="AN1165" s="614"/>
      <c r="AO1165" s="614"/>
      <c r="AP1165" s="616"/>
      <c r="AQ1165" s="616"/>
      <c r="AR1165" s="616"/>
      <c r="AS1165" s="614"/>
      <c r="AT1165" s="614"/>
      <c r="AU1165" s="614"/>
      <c r="AV1165" s="614"/>
      <c r="AW1165" s="614"/>
      <c r="AX1165" s="614"/>
    </row>
    <row r="1166" spans="1:50" x14ac:dyDescent="0.25">
      <c r="A1166" s="612"/>
      <c r="B1166" s="612"/>
      <c r="C1166" s="613"/>
      <c r="D1166" s="612"/>
      <c r="E1166" s="612"/>
      <c r="F1166" s="613"/>
      <c r="G1166" s="612"/>
      <c r="H1166" s="612"/>
      <c r="I1166" s="735"/>
      <c r="J1166" s="612"/>
      <c r="K1166" s="613"/>
      <c r="L1166" s="614"/>
      <c r="M1166" s="614"/>
      <c r="N1166" s="614"/>
      <c r="O1166" s="614"/>
      <c r="P1166" s="614"/>
      <c r="Q1166" s="614"/>
      <c r="R1166" s="614"/>
      <c r="S1166" s="614"/>
      <c r="T1166" s="614"/>
      <c r="U1166" s="614"/>
      <c r="V1166" s="614"/>
      <c r="W1166" s="614"/>
      <c r="X1166" s="614"/>
      <c r="Y1166" s="614"/>
      <c r="Z1166" s="614"/>
      <c r="AA1166" s="614"/>
      <c r="AB1166" s="614"/>
      <c r="AC1166" s="614"/>
      <c r="AJ1166" s="614"/>
      <c r="AK1166" s="614"/>
      <c r="AL1166" s="614"/>
      <c r="AM1166" s="614"/>
      <c r="AN1166" s="614"/>
      <c r="AO1166" s="614"/>
      <c r="AP1166" s="616"/>
      <c r="AQ1166" s="616"/>
      <c r="AR1166" s="616"/>
      <c r="AS1166" s="614"/>
      <c r="AT1166" s="614"/>
      <c r="AU1166" s="614"/>
      <c r="AV1166" s="614"/>
      <c r="AW1166" s="614"/>
      <c r="AX1166" s="614"/>
    </row>
    <row r="1167" spans="1:50" x14ac:dyDescent="0.25">
      <c r="A1167" s="612"/>
      <c r="B1167" s="612"/>
      <c r="C1167" s="613"/>
      <c r="D1167" s="612"/>
      <c r="E1167" s="612"/>
      <c r="F1167" s="613"/>
      <c r="G1167" s="612"/>
      <c r="H1167" s="612"/>
      <c r="I1167" s="735"/>
      <c r="J1167" s="612"/>
      <c r="K1167" s="613"/>
      <c r="L1167" s="614"/>
      <c r="M1167" s="614"/>
      <c r="N1167" s="614"/>
      <c r="O1167" s="614"/>
      <c r="P1167" s="614"/>
      <c r="Q1167" s="614"/>
      <c r="R1167" s="614"/>
      <c r="S1167" s="614"/>
      <c r="T1167" s="614"/>
      <c r="U1167" s="614"/>
      <c r="V1167" s="614"/>
      <c r="W1167" s="614"/>
      <c r="X1167" s="614"/>
      <c r="Y1167" s="614"/>
      <c r="Z1167" s="614"/>
      <c r="AA1167" s="614"/>
      <c r="AB1167" s="614"/>
      <c r="AC1167" s="614"/>
      <c r="AJ1167" s="614"/>
      <c r="AK1167" s="614"/>
      <c r="AL1167" s="614"/>
      <c r="AM1167" s="614"/>
      <c r="AN1167" s="614"/>
      <c r="AO1167" s="614"/>
      <c r="AP1167" s="616"/>
      <c r="AQ1167" s="616"/>
      <c r="AR1167" s="616"/>
      <c r="AS1167" s="614"/>
      <c r="AT1167" s="614"/>
      <c r="AU1167" s="614"/>
      <c r="AV1167" s="614"/>
      <c r="AW1167" s="614"/>
      <c r="AX1167" s="614"/>
    </row>
    <row r="1168" spans="1:50" x14ac:dyDescent="0.25">
      <c r="A1168" s="612"/>
      <c r="B1168" s="612"/>
      <c r="C1168" s="613"/>
      <c r="D1168" s="612"/>
      <c r="E1168" s="612"/>
      <c r="F1168" s="613"/>
      <c r="G1168" s="612"/>
      <c r="H1168" s="612"/>
      <c r="I1168" s="735"/>
      <c r="J1168" s="612"/>
      <c r="K1168" s="613"/>
      <c r="L1168" s="614"/>
      <c r="M1168" s="614"/>
      <c r="N1168" s="614"/>
      <c r="O1168" s="614"/>
      <c r="P1168" s="614"/>
      <c r="Q1168" s="614"/>
      <c r="R1168" s="614"/>
      <c r="S1168" s="614"/>
      <c r="T1168" s="614"/>
      <c r="U1168" s="614"/>
      <c r="V1168" s="614"/>
      <c r="W1168" s="614"/>
      <c r="X1168" s="614"/>
      <c r="Y1168" s="614"/>
      <c r="Z1168" s="614"/>
      <c r="AA1168" s="614"/>
      <c r="AB1168" s="614"/>
      <c r="AC1168" s="614"/>
      <c r="AJ1168" s="614"/>
      <c r="AK1168" s="614"/>
      <c r="AL1168" s="614"/>
      <c r="AM1168" s="614"/>
      <c r="AN1168" s="614"/>
      <c r="AO1168" s="614"/>
      <c r="AP1168" s="616"/>
      <c r="AQ1168" s="616"/>
      <c r="AR1168" s="616"/>
      <c r="AS1168" s="614"/>
      <c r="AT1168" s="614"/>
      <c r="AU1168" s="614"/>
      <c r="AV1168" s="614"/>
      <c r="AW1168" s="614"/>
      <c r="AX1168" s="614"/>
    </row>
    <row r="1169" spans="1:50" x14ac:dyDescent="0.25">
      <c r="A1169" s="612"/>
      <c r="B1169" s="612"/>
      <c r="C1169" s="613"/>
      <c r="D1169" s="612"/>
      <c r="E1169" s="612"/>
      <c r="F1169" s="613"/>
      <c r="G1169" s="612"/>
      <c r="H1169" s="612"/>
      <c r="I1169" s="735"/>
      <c r="J1169" s="612"/>
      <c r="K1169" s="613"/>
      <c r="L1169" s="614"/>
      <c r="M1169" s="614"/>
      <c r="N1169" s="614"/>
      <c r="O1169" s="614"/>
      <c r="P1169" s="614"/>
      <c r="Q1169" s="614"/>
      <c r="R1169" s="614"/>
      <c r="S1169" s="614"/>
      <c r="T1169" s="614"/>
      <c r="U1169" s="614"/>
      <c r="V1169" s="614"/>
      <c r="W1169" s="614"/>
      <c r="X1169" s="614"/>
      <c r="Y1169" s="614"/>
      <c r="Z1169" s="614"/>
      <c r="AA1169" s="614"/>
      <c r="AB1169" s="614"/>
      <c r="AC1169" s="614"/>
      <c r="AJ1169" s="614"/>
      <c r="AK1169" s="614"/>
      <c r="AL1169" s="614"/>
      <c r="AM1169" s="614"/>
      <c r="AN1169" s="614"/>
      <c r="AO1169" s="614"/>
      <c r="AP1169" s="616"/>
      <c r="AQ1169" s="616"/>
      <c r="AR1169" s="616"/>
      <c r="AS1169" s="614"/>
      <c r="AT1169" s="614"/>
      <c r="AU1169" s="614"/>
      <c r="AV1169" s="614"/>
      <c r="AW1169" s="614"/>
      <c r="AX1169" s="614"/>
    </row>
    <row r="1170" spans="1:50" x14ac:dyDescent="0.25">
      <c r="A1170" s="612"/>
      <c r="B1170" s="612"/>
      <c r="C1170" s="613"/>
      <c r="D1170" s="612"/>
      <c r="E1170" s="612"/>
      <c r="F1170" s="613"/>
      <c r="G1170" s="612"/>
      <c r="H1170" s="612"/>
      <c r="I1170" s="735"/>
      <c r="J1170" s="612"/>
      <c r="K1170" s="613"/>
      <c r="L1170" s="614"/>
      <c r="M1170" s="614"/>
      <c r="N1170" s="614"/>
      <c r="O1170" s="614"/>
      <c r="P1170" s="614"/>
      <c r="Q1170" s="614"/>
      <c r="R1170" s="614"/>
      <c r="S1170" s="614"/>
      <c r="T1170" s="614"/>
      <c r="U1170" s="614"/>
      <c r="V1170" s="614"/>
      <c r="W1170" s="614"/>
      <c r="X1170" s="614"/>
      <c r="Y1170" s="614"/>
      <c r="Z1170" s="614"/>
      <c r="AA1170" s="614"/>
      <c r="AB1170" s="614"/>
      <c r="AC1170" s="614"/>
      <c r="AJ1170" s="614"/>
      <c r="AK1170" s="614"/>
      <c r="AL1170" s="614"/>
      <c r="AM1170" s="614"/>
      <c r="AN1170" s="614"/>
      <c r="AO1170" s="614"/>
      <c r="AP1170" s="616"/>
      <c r="AQ1170" s="616"/>
      <c r="AR1170" s="616"/>
      <c r="AS1170" s="614"/>
      <c r="AT1170" s="614"/>
      <c r="AU1170" s="614"/>
      <c r="AV1170" s="614"/>
      <c r="AW1170" s="614"/>
      <c r="AX1170" s="614"/>
    </row>
    <row r="1171" spans="1:50" x14ac:dyDescent="0.25">
      <c r="A1171" s="612"/>
      <c r="B1171" s="612"/>
      <c r="C1171" s="613"/>
      <c r="D1171" s="612"/>
      <c r="E1171" s="612"/>
      <c r="F1171" s="613"/>
      <c r="G1171" s="612"/>
      <c r="H1171" s="612"/>
      <c r="I1171" s="735"/>
      <c r="J1171" s="612"/>
      <c r="K1171" s="613"/>
      <c r="L1171" s="614"/>
      <c r="M1171" s="614"/>
      <c r="N1171" s="614"/>
      <c r="O1171" s="614"/>
      <c r="P1171" s="614"/>
      <c r="Q1171" s="614"/>
      <c r="R1171" s="614"/>
      <c r="S1171" s="614"/>
      <c r="T1171" s="614"/>
      <c r="U1171" s="614"/>
      <c r="V1171" s="614"/>
      <c r="W1171" s="614"/>
      <c r="X1171" s="614"/>
      <c r="Y1171" s="614"/>
      <c r="Z1171" s="614"/>
      <c r="AA1171" s="614"/>
      <c r="AB1171" s="614"/>
      <c r="AC1171" s="614"/>
      <c r="AJ1171" s="614"/>
      <c r="AK1171" s="614"/>
      <c r="AL1171" s="614"/>
      <c r="AM1171" s="614"/>
      <c r="AN1171" s="614"/>
      <c r="AO1171" s="614"/>
      <c r="AP1171" s="616"/>
      <c r="AQ1171" s="616"/>
      <c r="AR1171" s="616"/>
      <c r="AS1171" s="614"/>
      <c r="AT1171" s="614"/>
      <c r="AU1171" s="614"/>
      <c r="AV1171" s="614"/>
      <c r="AW1171" s="614"/>
      <c r="AX1171" s="614"/>
    </row>
    <row r="1172" spans="1:50" x14ac:dyDescent="0.25">
      <c r="A1172" s="612"/>
      <c r="B1172" s="612"/>
      <c r="C1172" s="613"/>
      <c r="D1172" s="612"/>
      <c r="E1172" s="612"/>
      <c r="F1172" s="613"/>
      <c r="G1172" s="612"/>
      <c r="H1172" s="612"/>
      <c r="I1172" s="735"/>
      <c r="J1172" s="612"/>
      <c r="K1172" s="613"/>
      <c r="L1172" s="614"/>
      <c r="M1172" s="614"/>
      <c r="N1172" s="614"/>
      <c r="O1172" s="614"/>
      <c r="P1172" s="614"/>
      <c r="Q1172" s="614"/>
      <c r="R1172" s="614"/>
      <c r="S1172" s="614"/>
      <c r="T1172" s="614"/>
      <c r="U1172" s="614"/>
      <c r="V1172" s="614"/>
      <c r="W1172" s="614"/>
      <c r="X1172" s="614"/>
      <c r="Y1172" s="614"/>
      <c r="Z1172" s="614"/>
      <c r="AA1172" s="614"/>
      <c r="AB1172" s="614"/>
      <c r="AC1172" s="614"/>
      <c r="AJ1172" s="614"/>
      <c r="AK1172" s="614"/>
      <c r="AL1172" s="614"/>
      <c r="AM1172" s="614"/>
      <c r="AN1172" s="614"/>
      <c r="AO1172" s="614"/>
      <c r="AP1172" s="616"/>
      <c r="AQ1172" s="616"/>
      <c r="AR1172" s="616"/>
      <c r="AS1172" s="614"/>
      <c r="AT1172" s="614"/>
      <c r="AU1172" s="614"/>
      <c r="AV1172" s="614"/>
      <c r="AW1172" s="614"/>
      <c r="AX1172" s="614"/>
    </row>
    <row r="1173" spans="1:50" x14ac:dyDescent="0.25">
      <c r="A1173" s="612"/>
      <c r="B1173" s="612"/>
      <c r="C1173" s="613"/>
      <c r="D1173" s="612"/>
      <c r="E1173" s="612"/>
      <c r="F1173" s="613"/>
      <c r="G1173" s="612"/>
      <c r="H1173" s="612"/>
      <c r="I1173" s="735"/>
      <c r="J1173" s="612"/>
      <c r="K1173" s="613"/>
      <c r="L1173" s="614"/>
      <c r="M1173" s="614"/>
      <c r="N1173" s="614"/>
      <c r="O1173" s="614"/>
      <c r="P1173" s="614"/>
      <c r="Q1173" s="614"/>
      <c r="R1173" s="614"/>
      <c r="S1173" s="614"/>
      <c r="T1173" s="614"/>
      <c r="U1173" s="614"/>
      <c r="V1173" s="614"/>
      <c r="W1173" s="614"/>
      <c r="X1173" s="614"/>
      <c r="Y1173" s="614"/>
      <c r="Z1173" s="614"/>
      <c r="AA1173" s="614"/>
      <c r="AB1173" s="614"/>
      <c r="AC1173" s="614"/>
      <c r="AJ1173" s="614"/>
      <c r="AK1173" s="614"/>
      <c r="AL1173" s="614"/>
      <c r="AM1173" s="614"/>
      <c r="AN1173" s="614"/>
      <c r="AO1173" s="614"/>
      <c r="AP1173" s="616"/>
      <c r="AQ1173" s="616"/>
      <c r="AR1173" s="616"/>
      <c r="AS1173" s="614"/>
      <c r="AT1173" s="614"/>
      <c r="AU1173" s="614"/>
      <c r="AV1173" s="614"/>
      <c r="AW1173" s="614"/>
      <c r="AX1173" s="614"/>
    </row>
    <row r="1174" spans="1:50" x14ac:dyDescent="0.25">
      <c r="A1174" s="612"/>
      <c r="B1174" s="612"/>
      <c r="C1174" s="613"/>
      <c r="D1174" s="612"/>
      <c r="E1174" s="612"/>
      <c r="F1174" s="613"/>
      <c r="G1174" s="612"/>
      <c r="H1174" s="612"/>
      <c r="I1174" s="735"/>
      <c r="J1174" s="612"/>
      <c r="K1174" s="613"/>
      <c r="L1174" s="614"/>
      <c r="M1174" s="614"/>
      <c r="N1174" s="614"/>
      <c r="O1174" s="614"/>
      <c r="P1174" s="614"/>
      <c r="Q1174" s="614"/>
      <c r="R1174" s="614"/>
      <c r="S1174" s="614"/>
      <c r="T1174" s="614"/>
      <c r="U1174" s="614"/>
      <c r="V1174" s="614"/>
      <c r="W1174" s="614"/>
      <c r="X1174" s="614"/>
      <c r="Y1174" s="614"/>
      <c r="Z1174" s="614"/>
      <c r="AA1174" s="614"/>
      <c r="AB1174" s="614"/>
      <c r="AC1174" s="614"/>
      <c r="AJ1174" s="614"/>
      <c r="AK1174" s="614"/>
      <c r="AL1174" s="614"/>
      <c r="AM1174" s="614"/>
      <c r="AN1174" s="614"/>
      <c r="AO1174" s="614"/>
      <c r="AP1174" s="616"/>
      <c r="AQ1174" s="616"/>
      <c r="AR1174" s="616"/>
      <c r="AS1174" s="614"/>
      <c r="AT1174" s="614"/>
      <c r="AU1174" s="614"/>
      <c r="AV1174" s="614"/>
      <c r="AW1174" s="614"/>
      <c r="AX1174" s="614"/>
    </row>
    <row r="1175" spans="1:50" x14ac:dyDescent="0.25">
      <c r="A1175" s="612"/>
      <c r="B1175" s="612"/>
      <c r="C1175" s="613"/>
      <c r="D1175" s="612"/>
      <c r="E1175" s="612"/>
      <c r="F1175" s="613"/>
      <c r="G1175" s="612"/>
      <c r="H1175" s="612"/>
      <c r="I1175" s="735"/>
      <c r="J1175" s="612"/>
      <c r="K1175" s="613"/>
      <c r="L1175" s="614"/>
      <c r="M1175" s="614"/>
      <c r="N1175" s="614"/>
      <c r="O1175" s="614"/>
      <c r="P1175" s="614"/>
      <c r="Q1175" s="614"/>
      <c r="R1175" s="614"/>
      <c r="S1175" s="614"/>
      <c r="T1175" s="614"/>
      <c r="U1175" s="614"/>
      <c r="V1175" s="614"/>
      <c r="W1175" s="614"/>
      <c r="X1175" s="614"/>
      <c r="Y1175" s="614"/>
      <c r="Z1175" s="614"/>
      <c r="AA1175" s="614"/>
      <c r="AB1175" s="614"/>
      <c r="AC1175" s="614"/>
      <c r="AJ1175" s="614"/>
      <c r="AK1175" s="614"/>
      <c r="AL1175" s="614"/>
      <c r="AM1175" s="614"/>
      <c r="AN1175" s="614"/>
      <c r="AO1175" s="614"/>
      <c r="AP1175" s="616"/>
      <c r="AQ1175" s="616"/>
      <c r="AR1175" s="616"/>
      <c r="AS1175" s="614"/>
      <c r="AT1175" s="614"/>
      <c r="AU1175" s="614"/>
      <c r="AV1175" s="614"/>
      <c r="AW1175" s="614"/>
      <c r="AX1175" s="614"/>
    </row>
    <row r="1176" spans="1:50" x14ac:dyDescent="0.25">
      <c r="A1176" s="612"/>
      <c r="B1176" s="612"/>
      <c r="C1176" s="613"/>
      <c r="D1176" s="612"/>
      <c r="E1176" s="612"/>
      <c r="F1176" s="613"/>
      <c r="G1176" s="612"/>
      <c r="H1176" s="612"/>
      <c r="I1176" s="735"/>
      <c r="J1176" s="612"/>
      <c r="K1176" s="613"/>
      <c r="L1176" s="614"/>
      <c r="M1176" s="614"/>
      <c r="N1176" s="614"/>
      <c r="O1176" s="614"/>
      <c r="P1176" s="614"/>
      <c r="Q1176" s="614"/>
      <c r="R1176" s="614"/>
      <c r="S1176" s="614"/>
      <c r="T1176" s="614"/>
      <c r="U1176" s="614"/>
      <c r="V1176" s="614"/>
      <c r="W1176" s="614"/>
      <c r="X1176" s="614"/>
      <c r="Y1176" s="614"/>
      <c r="Z1176" s="614"/>
      <c r="AA1176" s="614"/>
      <c r="AB1176" s="614"/>
      <c r="AC1176" s="614"/>
      <c r="AJ1176" s="614"/>
      <c r="AK1176" s="614"/>
      <c r="AL1176" s="614"/>
      <c r="AM1176" s="614"/>
      <c r="AN1176" s="614"/>
      <c r="AO1176" s="614"/>
      <c r="AP1176" s="616"/>
      <c r="AQ1176" s="616"/>
      <c r="AR1176" s="616"/>
      <c r="AS1176" s="614"/>
      <c r="AT1176" s="614"/>
      <c r="AU1176" s="614"/>
      <c r="AV1176" s="614"/>
      <c r="AW1176" s="614"/>
      <c r="AX1176" s="614"/>
    </row>
    <row r="1177" spans="1:50" x14ac:dyDescent="0.25">
      <c r="A1177" s="612"/>
      <c r="B1177" s="612"/>
      <c r="C1177" s="613"/>
      <c r="D1177" s="612"/>
      <c r="E1177" s="612"/>
      <c r="F1177" s="613"/>
      <c r="G1177" s="612"/>
      <c r="H1177" s="612"/>
      <c r="I1177" s="735"/>
      <c r="J1177" s="612"/>
      <c r="K1177" s="613"/>
      <c r="L1177" s="614"/>
      <c r="M1177" s="614"/>
      <c r="N1177" s="614"/>
      <c r="O1177" s="614"/>
      <c r="P1177" s="614"/>
      <c r="Q1177" s="614"/>
      <c r="R1177" s="614"/>
      <c r="S1177" s="614"/>
      <c r="T1177" s="614"/>
      <c r="U1177" s="614"/>
      <c r="V1177" s="614"/>
      <c r="W1177" s="614"/>
      <c r="X1177" s="614"/>
      <c r="Y1177" s="614"/>
      <c r="Z1177" s="614"/>
      <c r="AA1177" s="614"/>
      <c r="AB1177" s="614"/>
      <c r="AC1177" s="614"/>
      <c r="AJ1177" s="614"/>
      <c r="AK1177" s="614"/>
      <c r="AL1177" s="614"/>
      <c r="AM1177" s="614"/>
      <c r="AN1177" s="614"/>
      <c r="AO1177" s="614"/>
      <c r="AP1177" s="616"/>
      <c r="AQ1177" s="616"/>
      <c r="AR1177" s="616"/>
      <c r="AS1177" s="614"/>
      <c r="AT1177" s="614"/>
      <c r="AU1177" s="614"/>
      <c r="AV1177" s="614"/>
      <c r="AW1177" s="614"/>
      <c r="AX1177" s="614"/>
    </row>
    <row r="1178" spans="1:50" x14ac:dyDescent="0.25">
      <c r="A1178" s="612"/>
      <c r="B1178" s="612"/>
      <c r="C1178" s="613"/>
      <c r="D1178" s="612"/>
      <c r="E1178" s="612"/>
      <c r="F1178" s="613"/>
      <c r="G1178" s="612"/>
      <c r="H1178" s="612"/>
      <c r="I1178" s="735"/>
      <c r="J1178" s="612"/>
      <c r="K1178" s="613"/>
      <c r="L1178" s="614"/>
      <c r="M1178" s="614"/>
      <c r="N1178" s="614"/>
      <c r="O1178" s="614"/>
      <c r="P1178" s="614"/>
      <c r="Q1178" s="614"/>
      <c r="R1178" s="614"/>
      <c r="S1178" s="614"/>
      <c r="T1178" s="614"/>
      <c r="U1178" s="614"/>
      <c r="V1178" s="614"/>
      <c r="W1178" s="614"/>
      <c r="X1178" s="614"/>
      <c r="Y1178" s="614"/>
      <c r="Z1178" s="614"/>
      <c r="AA1178" s="614"/>
      <c r="AB1178" s="614"/>
      <c r="AC1178" s="614"/>
      <c r="AJ1178" s="614"/>
      <c r="AK1178" s="614"/>
      <c r="AL1178" s="614"/>
      <c r="AM1178" s="614"/>
      <c r="AN1178" s="614"/>
      <c r="AO1178" s="614"/>
      <c r="AP1178" s="616"/>
      <c r="AQ1178" s="616"/>
      <c r="AR1178" s="616"/>
      <c r="AS1178" s="614"/>
      <c r="AT1178" s="614"/>
      <c r="AU1178" s="614"/>
      <c r="AV1178" s="614"/>
      <c r="AW1178" s="614"/>
      <c r="AX1178" s="614"/>
    </row>
    <row r="1179" spans="1:50" x14ac:dyDescent="0.25">
      <c r="A1179" s="612"/>
      <c r="B1179" s="612"/>
      <c r="C1179" s="613"/>
      <c r="D1179" s="612"/>
      <c r="E1179" s="612"/>
      <c r="F1179" s="613"/>
      <c r="G1179" s="612"/>
      <c r="H1179" s="612"/>
      <c r="I1179" s="735"/>
      <c r="J1179" s="612"/>
      <c r="K1179" s="613"/>
      <c r="L1179" s="614"/>
      <c r="M1179" s="614"/>
      <c r="N1179" s="614"/>
      <c r="O1179" s="614"/>
      <c r="P1179" s="614"/>
      <c r="Q1179" s="614"/>
      <c r="R1179" s="614"/>
      <c r="S1179" s="614"/>
      <c r="T1179" s="614"/>
      <c r="U1179" s="614"/>
      <c r="V1179" s="614"/>
      <c r="W1179" s="614"/>
      <c r="X1179" s="614"/>
      <c r="Y1179" s="614"/>
      <c r="Z1179" s="614"/>
      <c r="AA1179" s="614"/>
      <c r="AB1179" s="614"/>
      <c r="AC1179" s="614"/>
      <c r="AJ1179" s="614"/>
      <c r="AK1179" s="614"/>
      <c r="AL1179" s="614"/>
      <c r="AM1179" s="614"/>
      <c r="AN1179" s="614"/>
      <c r="AO1179" s="614"/>
      <c r="AP1179" s="616"/>
      <c r="AQ1179" s="616"/>
      <c r="AR1179" s="616"/>
      <c r="AS1179" s="614"/>
      <c r="AT1179" s="614"/>
      <c r="AU1179" s="614"/>
      <c r="AV1179" s="614"/>
      <c r="AW1179" s="614"/>
      <c r="AX1179" s="614"/>
    </row>
    <row r="1180" spans="1:50" x14ac:dyDescent="0.25">
      <c r="A1180" s="612"/>
      <c r="B1180" s="612"/>
      <c r="C1180" s="613"/>
      <c r="D1180" s="612"/>
      <c r="E1180" s="612"/>
      <c r="F1180" s="613"/>
      <c r="G1180" s="612"/>
      <c r="H1180" s="612"/>
      <c r="I1180" s="735"/>
      <c r="J1180" s="612"/>
      <c r="K1180" s="613"/>
      <c r="L1180" s="614"/>
      <c r="M1180" s="614"/>
      <c r="N1180" s="614"/>
      <c r="O1180" s="614"/>
      <c r="P1180" s="614"/>
      <c r="Q1180" s="614"/>
      <c r="R1180" s="614"/>
      <c r="S1180" s="614"/>
      <c r="T1180" s="614"/>
      <c r="U1180" s="614"/>
      <c r="V1180" s="614"/>
      <c r="W1180" s="614"/>
      <c r="X1180" s="614"/>
      <c r="Y1180" s="614"/>
      <c r="Z1180" s="614"/>
      <c r="AA1180" s="614"/>
      <c r="AB1180" s="614"/>
      <c r="AC1180" s="614"/>
      <c r="AJ1180" s="614"/>
      <c r="AK1180" s="614"/>
      <c r="AL1180" s="614"/>
      <c r="AM1180" s="614"/>
      <c r="AN1180" s="614"/>
      <c r="AO1180" s="614"/>
      <c r="AP1180" s="616"/>
      <c r="AQ1180" s="616"/>
      <c r="AR1180" s="616"/>
      <c r="AS1180" s="614"/>
      <c r="AT1180" s="614"/>
      <c r="AU1180" s="614"/>
      <c r="AV1180" s="614"/>
      <c r="AW1180" s="614"/>
      <c r="AX1180" s="614"/>
    </row>
    <row r="1181" spans="1:50" x14ac:dyDescent="0.25">
      <c r="A1181" s="612"/>
      <c r="B1181" s="612"/>
      <c r="C1181" s="613"/>
      <c r="D1181" s="612"/>
      <c r="E1181" s="612"/>
      <c r="F1181" s="613"/>
      <c r="G1181" s="612"/>
      <c r="H1181" s="612"/>
      <c r="I1181" s="735"/>
      <c r="J1181" s="612"/>
      <c r="K1181" s="613"/>
      <c r="L1181" s="614"/>
      <c r="M1181" s="614"/>
      <c r="N1181" s="614"/>
      <c r="O1181" s="614"/>
      <c r="P1181" s="614"/>
      <c r="Q1181" s="614"/>
      <c r="R1181" s="614"/>
      <c r="S1181" s="614"/>
      <c r="T1181" s="614"/>
      <c r="U1181" s="614"/>
      <c r="V1181" s="614"/>
      <c r="W1181" s="614"/>
      <c r="X1181" s="614"/>
      <c r="Y1181" s="614"/>
      <c r="Z1181" s="614"/>
      <c r="AA1181" s="614"/>
      <c r="AB1181" s="614"/>
      <c r="AC1181" s="614"/>
      <c r="AJ1181" s="614"/>
      <c r="AK1181" s="614"/>
      <c r="AL1181" s="614"/>
      <c r="AM1181" s="614"/>
      <c r="AN1181" s="614"/>
      <c r="AO1181" s="614"/>
      <c r="AP1181" s="616"/>
      <c r="AQ1181" s="616"/>
      <c r="AR1181" s="616"/>
      <c r="AS1181" s="614"/>
      <c r="AT1181" s="614"/>
      <c r="AU1181" s="614"/>
      <c r="AV1181" s="614"/>
      <c r="AW1181" s="614"/>
      <c r="AX1181" s="614"/>
    </row>
    <row r="1182" spans="1:50" x14ac:dyDescent="0.25">
      <c r="A1182" s="612"/>
      <c r="B1182" s="612"/>
      <c r="C1182" s="613"/>
      <c r="D1182" s="612"/>
      <c r="E1182" s="612"/>
      <c r="F1182" s="613"/>
      <c r="G1182" s="612"/>
      <c r="H1182" s="612"/>
      <c r="I1182" s="735"/>
      <c r="J1182" s="612"/>
      <c r="K1182" s="613"/>
      <c r="L1182" s="614"/>
      <c r="M1182" s="614"/>
      <c r="N1182" s="614"/>
      <c r="O1182" s="614"/>
      <c r="P1182" s="614"/>
      <c r="Q1182" s="614"/>
      <c r="R1182" s="614"/>
      <c r="S1182" s="614"/>
      <c r="T1182" s="614"/>
      <c r="U1182" s="614"/>
      <c r="V1182" s="614"/>
      <c r="W1182" s="614"/>
      <c r="X1182" s="614"/>
      <c r="Y1182" s="614"/>
      <c r="Z1182" s="614"/>
      <c r="AA1182" s="614"/>
      <c r="AB1182" s="614"/>
      <c r="AC1182" s="614"/>
      <c r="AJ1182" s="614"/>
      <c r="AK1182" s="614"/>
      <c r="AL1182" s="614"/>
      <c r="AM1182" s="614"/>
      <c r="AN1182" s="614"/>
      <c r="AO1182" s="614"/>
      <c r="AP1182" s="616"/>
      <c r="AQ1182" s="616"/>
      <c r="AR1182" s="616"/>
      <c r="AS1182" s="614"/>
      <c r="AT1182" s="614"/>
      <c r="AU1182" s="614"/>
      <c r="AV1182" s="614"/>
      <c r="AW1182" s="614"/>
      <c r="AX1182" s="614"/>
    </row>
    <row r="1183" spans="1:50" x14ac:dyDescent="0.25">
      <c r="A1183" s="612"/>
      <c r="B1183" s="612"/>
      <c r="C1183" s="613"/>
      <c r="D1183" s="612"/>
      <c r="E1183" s="612"/>
      <c r="F1183" s="613"/>
      <c r="G1183" s="612"/>
      <c r="H1183" s="612"/>
      <c r="I1183" s="735"/>
      <c r="J1183" s="612"/>
      <c r="K1183" s="613"/>
      <c r="L1183" s="614"/>
      <c r="M1183" s="614"/>
      <c r="N1183" s="614"/>
      <c r="O1183" s="614"/>
      <c r="P1183" s="614"/>
      <c r="Q1183" s="614"/>
      <c r="R1183" s="614"/>
      <c r="S1183" s="614"/>
      <c r="T1183" s="614"/>
      <c r="U1183" s="614"/>
      <c r="V1183" s="614"/>
      <c r="W1183" s="614"/>
      <c r="X1183" s="614"/>
      <c r="Y1183" s="614"/>
      <c r="Z1183" s="614"/>
      <c r="AA1183" s="614"/>
      <c r="AB1183" s="614"/>
      <c r="AC1183" s="614"/>
      <c r="AJ1183" s="614"/>
      <c r="AK1183" s="614"/>
      <c r="AL1183" s="614"/>
      <c r="AM1183" s="614"/>
      <c r="AN1183" s="614"/>
      <c r="AO1183" s="614"/>
      <c r="AP1183" s="616"/>
      <c r="AQ1183" s="616"/>
      <c r="AR1183" s="616"/>
      <c r="AS1183" s="614"/>
      <c r="AT1183" s="614"/>
      <c r="AU1183" s="614"/>
      <c r="AV1183" s="614"/>
      <c r="AW1183" s="614"/>
      <c r="AX1183" s="614"/>
    </row>
    <row r="1184" spans="1:50" x14ac:dyDescent="0.25">
      <c r="A1184" s="612"/>
      <c r="B1184" s="612"/>
      <c r="C1184" s="613"/>
      <c r="D1184" s="612"/>
      <c r="E1184" s="612"/>
      <c r="F1184" s="613"/>
      <c r="G1184" s="612"/>
      <c r="H1184" s="612"/>
      <c r="I1184" s="735"/>
      <c r="J1184" s="612"/>
      <c r="K1184" s="613"/>
      <c r="L1184" s="614"/>
      <c r="M1184" s="614"/>
      <c r="N1184" s="614"/>
      <c r="O1184" s="614"/>
      <c r="P1184" s="614"/>
      <c r="Q1184" s="614"/>
      <c r="R1184" s="614"/>
      <c r="S1184" s="614"/>
      <c r="T1184" s="614"/>
      <c r="U1184" s="614"/>
      <c r="V1184" s="614"/>
      <c r="W1184" s="614"/>
      <c r="X1184" s="614"/>
      <c r="Y1184" s="614"/>
      <c r="Z1184" s="614"/>
      <c r="AA1184" s="614"/>
      <c r="AB1184" s="614"/>
      <c r="AC1184" s="614"/>
      <c r="AJ1184" s="614"/>
      <c r="AK1184" s="614"/>
      <c r="AL1184" s="614"/>
      <c r="AM1184" s="614"/>
      <c r="AN1184" s="614"/>
      <c r="AO1184" s="614"/>
      <c r="AP1184" s="616"/>
      <c r="AQ1184" s="616"/>
      <c r="AR1184" s="616"/>
      <c r="AS1184" s="614"/>
      <c r="AT1184" s="614"/>
      <c r="AU1184" s="614"/>
      <c r="AV1184" s="614"/>
      <c r="AW1184" s="614"/>
      <c r="AX1184" s="614"/>
    </row>
    <row r="1185" spans="1:50" x14ac:dyDescent="0.25">
      <c r="A1185" s="612"/>
      <c r="B1185" s="612"/>
      <c r="C1185" s="613"/>
      <c r="D1185" s="612"/>
      <c r="E1185" s="612"/>
      <c r="F1185" s="613"/>
      <c r="G1185" s="612"/>
      <c r="H1185" s="612"/>
      <c r="I1185" s="735"/>
      <c r="J1185" s="612"/>
      <c r="K1185" s="613"/>
      <c r="L1185" s="614"/>
      <c r="M1185" s="614"/>
      <c r="N1185" s="614"/>
      <c r="O1185" s="614"/>
      <c r="P1185" s="614"/>
      <c r="Q1185" s="614"/>
      <c r="R1185" s="614"/>
      <c r="S1185" s="614"/>
      <c r="T1185" s="614"/>
      <c r="U1185" s="614"/>
      <c r="V1185" s="614"/>
      <c r="W1185" s="614"/>
      <c r="X1185" s="614"/>
      <c r="Y1185" s="614"/>
      <c r="Z1185" s="614"/>
      <c r="AA1185" s="614"/>
      <c r="AB1185" s="614"/>
      <c r="AC1185" s="614"/>
      <c r="AJ1185" s="614"/>
      <c r="AK1185" s="614"/>
      <c r="AL1185" s="614"/>
      <c r="AM1185" s="614"/>
      <c r="AN1185" s="614"/>
      <c r="AO1185" s="614"/>
      <c r="AP1185" s="616"/>
      <c r="AQ1185" s="616"/>
      <c r="AR1185" s="616"/>
      <c r="AS1185" s="614"/>
      <c r="AT1185" s="614"/>
      <c r="AU1185" s="614"/>
      <c r="AV1185" s="614"/>
      <c r="AW1185" s="614"/>
      <c r="AX1185" s="614"/>
    </row>
    <row r="1186" spans="1:50" x14ac:dyDescent="0.25">
      <c r="A1186" s="612"/>
      <c r="B1186" s="612"/>
      <c r="C1186" s="613"/>
      <c r="D1186" s="612"/>
      <c r="E1186" s="612"/>
      <c r="F1186" s="613"/>
      <c r="G1186" s="612"/>
      <c r="H1186" s="612"/>
      <c r="I1186" s="735"/>
      <c r="J1186" s="612"/>
      <c r="K1186" s="613"/>
      <c r="L1186" s="614"/>
      <c r="M1186" s="614"/>
      <c r="N1186" s="614"/>
      <c r="O1186" s="614"/>
      <c r="P1186" s="614"/>
      <c r="Q1186" s="614"/>
      <c r="R1186" s="614"/>
      <c r="S1186" s="614"/>
      <c r="T1186" s="614"/>
      <c r="U1186" s="614"/>
      <c r="V1186" s="614"/>
      <c r="W1186" s="614"/>
      <c r="X1186" s="614"/>
      <c r="Y1186" s="614"/>
      <c r="Z1186" s="614"/>
      <c r="AA1186" s="614"/>
      <c r="AB1186" s="614"/>
      <c r="AC1186" s="614"/>
      <c r="AJ1186" s="614"/>
      <c r="AK1186" s="614"/>
      <c r="AL1186" s="614"/>
      <c r="AM1186" s="614"/>
      <c r="AN1186" s="614"/>
      <c r="AO1186" s="614"/>
      <c r="AP1186" s="616"/>
      <c r="AQ1186" s="616"/>
      <c r="AR1186" s="616"/>
      <c r="AS1186" s="614"/>
      <c r="AT1186" s="614"/>
      <c r="AU1186" s="614"/>
      <c r="AV1186" s="614"/>
      <c r="AW1186" s="614"/>
      <c r="AX1186" s="614"/>
    </row>
    <row r="1187" spans="1:50" x14ac:dyDescent="0.25">
      <c r="A1187" s="612"/>
      <c r="B1187" s="612"/>
      <c r="C1187" s="613"/>
      <c r="D1187" s="612"/>
      <c r="E1187" s="612"/>
      <c r="F1187" s="613"/>
      <c r="G1187" s="612"/>
      <c r="H1187" s="612"/>
      <c r="I1187" s="735"/>
      <c r="J1187" s="612"/>
      <c r="K1187" s="613"/>
      <c r="L1187" s="614"/>
      <c r="M1187" s="614"/>
      <c r="N1187" s="614"/>
      <c r="O1187" s="614"/>
      <c r="P1187" s="614"/>
      <c r="Q1187" s="614"/>
      <c r="R1187" s="614"/>
      <c r="S1187" s="614"/>
      <c r="T1187" s="614"/>
      <c r="U1187" s="614"/>
      <c r="V1187" s="614"/>
      <c r="W1187" s="614"/>
      <c r="X1187" s="614"/>
      <c r="Y1187" s="614"/>
      <c r="Z1187" s="614"/>
      <c r="AA1187" s="614"/>
      <c r="AB1187" s="614"/>
      <c r="AC1187" s="614"/>
      <c r="AJ1187" s="614"/>
      <c r="AK1187" s="614"/>
      <c r="AL1187" s="614"/>
      <c r="AM1187" s="614"/>
      <c r="AN1187" s="614"/>
      <c r="AO1187" s="614"/>
      <c r="AP1187" s="616"/>
      <c r="AQ1187" s="616"/>
      <c r="AR1187" s="616"/>
      <c r="AS1187" s="614"/>
      <c r="AT1187" s="614"/>
      <c r="AU1187" s="614"/>
      <c r="AV1187" s="614"/>
      <c r="AW1187" s="614"/>
      <c r="AX1187" s="614"/>
    </row>
    <row r="1188" spans="1:50" x14ac:dyDescent="0.25">
      <c r="A1188" s="612"/>
      <c r="B1188" s="612"/>
      <c r="C1188" s="613"/>
      <c r="D1188" s="612"/>
      <c r="E1188" s="612"/>
      <c r="F1188" s="613"/>
      <c r="G1188" s="612"/>
      <c r="H1188" s="612"/>
      <c r="I1188" s="735"/>
      <c r="J1188" s="612"/>
      <c r="K1188" s="613"/>
      <c r="L1188" s="614"/>
      <c r="M1188" s="614"/>
      <c r="N1188" s="614"/>
      <c r="O1188" s="614"/>
      <c r="P1188" s="614"/>
      <c r="Q1188" s="614"/>
      <c r="R1188" s="614"/>
      <c r="S1188" s="614"/>
      <c r="T1188" s="614"/>
      <c r="U1188" s="614"/>
      <c r="V1188" s="614"/>
      <c r="W1188" s="614"/>
      <c r="X1188" s="614"/>
      <c r="Y1188" s="614"/>
      <c r="Z1188" s="614"/>
      <c r="AA1188" s="614"/>
      <c r="AB1188" s="614"/>
      <c r="AC1188" s="614"/>
      <c r="AJ1188" s="614"/>
      <c r="AK1188" s="614"/>
      <c r="AL1188" s="614"/>
      <c r="AM1188" s="614"/>
      <c r="AN1188" s="614"/>
      <c r="AO1188" s="614"/>
      <c r="AP1188" s="616"/>
      <c r="AQ1188" s="616"/>
      <c r="AR1188" s="616"/>
      <c r="AS1188" s="614"/>
      <c r="AT1188" s="614"/>
      <c r="AU1188" s="614"/>
      <c r="AV1188" s="614"/>
      <c r="AW1188" s="614"/>
      <c r="AX1188" s="614"/>
    </row>
    <row r="1189" spans="1:50" x14ac:dyDescent="0.25">
      <c r="A1189" s="612"/>
      <c r="B1189" s="612"/>
      <c r="C1189" s="613"/>
      <c r="D1189" s="612"/>
      <c r="E1189" s="612"/>
      <c r="F1189" s="613"/>
      <c r="G1189" s="612"/>
      <c r="H1189" s="612"/>
      <c r="I1189" s="735"/>
      <c r="J1189" s="612"/>
      <c r="K1189" s="613"/>
      <c r="L1189" s="614"/>
      <c r="M1189" s="614"/>
      <c r="N1189" s="614"/>
      <c r="O1189" s="614"/>
      <c r="P1189" s="614"/>
      <c r="Q1189" s="614"/>
      <c r="R1189" s="614"/>
      <c r="S1189" s="614"/>
      <c r="T1189" s="614"/>
      <c r="U1189" s="614"/>
      <c r="V1189" s="614"/>
      <c r="W1189" s="614"/>
      <c r="X1189" s="614"/>
      <c r="Y1189" s="614"/>
      <c r="Z1189" s="614"/>
      <c r="AA1189" s="614"/>
      <c r="AB1189" s="614"/>
      <c r="AC1189" s="614"/>
      <c r="AJ1189" s="614"/>
      <c r="AK1189" s="614"/>
      <c r="AL1189" s="614"/>
      <c r="AM1189" s="614"/>
      <c r="AN1189" s="614"/>
      <c r="AO1189" s="614"/>
      <c r="AP1189" s="616"/>
      <c r="AQ1189" s="616"/>
      <c r="AR1189" s="616"/>
      <c r="AS1189" s="614"/>
      <c r="AT1189" s="614"/>
      <c r="AU1189" s="614"/>
      <c r="AV1189" s="614"/>
      <c r="AW1189" s="614"/>
      <c r="AX1189" s="614"/>
    </row>
    <row r="1190" spans="1:50" x14ac:dyDescent="0.25">
      <c r="A1190" s="612"/>
      <c r="B1190" s="612"/>
      <c r="C1190" s="613"/>
      <c r="D1190" s="612"/>
      <c r="E1190" s="612"/>
      <c r="F1190" s="613"/>
      <c r="G1190" s="612"/>
      <c r="H1190" s="612"/>
      <c r="I1190" s="735"/>
      <c r="J1190" s="612"/>
      <c r="K1190" s="613"/>
      <c r="L1190" s="614"/>
      <c r="M1190" s="614"/>
      <c r="N1190" s="614"/>
      <c r="O1190" s="614"/>
      <c r="P1190" s="614"/>
      <c r="Q1190" s="614"/>
      <c r="R1190" s="614"/>
      <c r="S1190" s="614"/>
      <c r="T1190" s="614"/>
      <c r="U1190" s="614"/>
      <c r="V1190" s="614"/>
      <c r="W1190" s="614"/>
      <c r="X1190" s="614"/>
      <c r="Y1190" s="614"/>
      <c r="Z1190" s="614"/>
      <c r="AA1190" s="614"/>
      <c r="AB1190" s="614"/>
      <c r="AC1190" s="614"/>
      <c r="AJ1190" s="614"/>
      <c r="AK1190" s="614"/>
      <c r="AL1190" s="614"/>
      <c r="AM1190" s="614"/>
      <c r="AN1190" s="614"/>
      <c r="AO1190" s="614"/>
      <c r="AP1190" s="616"/>
      <c r="AQ1190" s="616"/>
      <c r="AR1190" s="616"/>
      <c r="AS1190" s="614"/>
      <c r="AT1190" s="614"/>
      <c r="AU1190" s="614"/>
      <c r="AV1190" s="614"/>
      <c r="AW1190" s="614"/>
      <c r="AX1190" s="614"/>
    </row>
    <row r="1191" spans="1:50" x14ac:dyDescent="0.25">
      <c r="A1191" s="612"/>
      <c r="B1191" s="612"/>
      <c r="C1191" s="613"/>
      <c r="D1191" s="612"/>
      <c r="E1191" s="612"/>
      <c r="F1191" s="613"/>
      <c r="G1191" s="612"/>
      <c r="H1191" s="612"/>
      <c r="I1191" s="735"/>
      <c r="J1191" s="612"/>
      <c r="K1191" s="613"/>
      <c r="L1191" s="614"/>
      <c r="M1191" s="614"/>
      <c r="N1191" s="614"/>
      <c r="O1191" s="614"/>
      <c r="P1191" s="614"/>
      <c r="Q1191" s="614"/>
      <c r="R1191" s="614"/>
      <c r="S1191" s="614"/>
      <c r="T1191" s="614"/>
      <c r="U1191" s="614"/>
      <c r="V1191" s="614"/>
      <c r="W1191" s="614"/>
      <c r="X1191" s="614"/>
      <c r="Y1191" s="614"/>
      <c r="Z1191" s="614"/>
      <c r="AA1191" s="614"/>
      <c r="AB1191" s="614"/>
      <c r="AC1191" s="614"/>
      <c r="AJ1191" s="614"/>
      <c r="AK1191" s="614"/>
      <c r="AL1191" s="614"/>
      <c r="AM1191" s="614"/>
      <c r="AN1191" s="614"/>
      <c r="AO1191" s="614"/>
      <c r="AP1191" s="616"/>
      <c r="AQ1191" s="616"/>
      <c r="AR1191" s="616"/>
      <c r="AS1191" s="614"/>
      <c r="AT1191" s="614"/>
      <c r="AU1191" s="614"/>
      <c r="AV1191" s="614"/>
      <c r="AW1191" s="614"/>
      <c r="AX1191" s="614"/>
    </row>
    <row r="1192" spans="1:50" x14ac:dyDescent="0.25">
      <c r="A1192" s="612"/>
      <c r="B1192" s="612"/>
      <c r="C1192" s="613"/>
      <c r="D1192" s="612"/>
      <c r="E1192" s="612"/>
      <c r="F1192" s="613"/>
      <c r="G1192" s="612"/>
      <c r="H1192" s="612"/>
      <c r="I1192" s="735"/>
      <c r="J1192" s="612"/>
      <c r="K1192" s="613"/>
      <c r="L1192" s="614"/>
      <c r="M1192" s="614"/>
      <c r="N1192" s="614"/>
      <c r="O1192" s="614"/>
      <c r="P1192" s="614"/>
      <c r="Q1192" s="614"/>
      <c r="R1192" s="614"/>
      <c r="S1192" s="614"/>
      <c r="T1192" s="614"/>
      <c r="U1192" s="614"/>
      <c r="V1192" s="614"/>
      <c r="W1192" s="614"/>
      <c r="X1192" s="614"/>
      <c r="Y1192" s="614"/>
      <c r="Z1192" s="614"/>
      <c r="AA1192" s="614"/>
      <c r="AB1192" s="614"/>
      <c r="AC1192" s="614"/>
      <c r="AJ1192" s="614"/>
      <c r="AK1192" s="614"/>
      <c r="AL1192" s="614"/>
      <c r="AM1192" s="614"/>
      <c r="AN1192" s="614"/>
      <c r="AO1192" s="614"/>
      <c r="AP1192" s="616"/>
      <c r="AQ1192" s="616"/>
      <c r="AR1192" s="616"/>
      <c r="AS1192" s="614"/>
      <c r="AT1192" s="614"/>
      <c r="AU1192" s="614"/>
      <c r="AV1192" s="614"/>
      <c r="AW1192" s="614"/>
      <c r="AX1192" s="614"/>
    </row>
    <row r="1193" spans="1:50" x14ac:dyDescent="0.25">
      <c r="A1193" s="612"/>
      <c r="B1193" s="612"/>
      <c r="C1193" s="613"/>
      <c r="D1193" s="612"/>
      <c r="E1193" s="612"/>
      <c r="F1193" s="613"/>
      <c r="G1193" s="612"/>
      <c r="H1193" s="612"/>
      <c r="I1193" s="735"/>
      <c r="J1193" s="612"/>
      <c r="K1193" s="613"/>
      <c r="L1193" s="614"/>
      <c r="M1193" s="614"/>
      <c r="N1193" s="614"/>
      <c r="O1193" s="614"/>
      <c r="P1193" s="614"/>
      <c r="Q1193" s="614"/>
      <c r="R1193" s="614"/>
      <c r="S1193" s="614"/>
      <c r="T1193" s="614"/>
      <c r="U1193" s="614"/>
      <c r="V1193" s="614"/>
      <c r="W1193" s="614"/>
      <c r="X1193" s="614"/>
      <c r="Y1193" s="614"/>
      <c r="Z1193" s="614"/>
      <c r="AA1193" s="614"/>
      <c r="AB1193" s="614"/>
      <c r="AC1193" s="614"/>
      <c r="AJ1193" s="614"/>
      <c r="AK1193" s="614"/>
      <c r="AL1193" s="614"/>
      <c r="AM1193" s="614"/>
      <c r="AN1193" s="614"/>
      <c r="AO1193" s="614"/>
      <c r="AP1193" s="616"/>
      <c r="AQ1193" s="616"/>
      <c r="AR1193" s="616"/>
      <c r="AS1193" s="614"/>
      <c r="AT1193" s="614"/>
      <c r="AU1193" s="614"/>
      <c r="AV1193" s="614"/>
      <c r="AW1193" s="614"/>
      <c r="AX1193" s="614"/>
    </row>
    <row r="1194" spans="1:50" x14ac:dyDescent="0.25">
      <c r="A1194" s="612"/>
      <c r="B1194" s="612"/>
      <c r="C1194" s="613"/>
      <c r="D1194" s="612"/>
      <c r="E1194" s="612"/>
      <c r="F1194" s="613"/>
      <c r="G1194" s="612"/>
      <c r="H1194" s="612"/>
      <c r="I1194" s="735"/>
      <c r="J1194" s="612"/>
      <c r="K1194" s="613"/>
      <c r="L1194" s="614"/>
      <c r="M1194" s="614"/>
      <c r="N1194" s="614"/>
      <c r="O1194" s="614"/>
      <c r="P1194" s="614"/>
      <c r="Q1194" s="614"/>
      <c r="R1194" s="614"/>
      <c r="S1194" s="614"/>
      <c r="T1194" s="614"/>
      <c r="U1194" s="614"/>
      <c r="V1194" s="614"/>
      <c r="W1194" s="614"/>
      <c r="X1194" s="614"/>
      <c r="Y1194" s="614"/>
      <c r="Z1194" s="614"/>
      <c r="AA1194" s="614"/>
      <c r="AB1194" s="614"/>
      <c r="AC1194" s="614"/>
      <c r="AJ1194" s="614"/>
      <c r="AK1194" s="614"/>
      <c r="AL1194" s="614"/>
      <c r="AM1194" s="614"/>
      <c r="AN1194" s="614"/>
      <c r="AO1194" s="614"/>
      <c r="AP1194" s="616"/>
      <c r="AQ1194" s="616"/>
      <c r="AR1194" s="616"/>
      <c r="AS1194" s="614"/>
      <c r="AT1194" s="614"/>
      <c r="AU1194" s="614"/>
      <c r="AV1194" s="614"/>
      <c r="AW1194" s="614"/>
      <c r="AX1194" s="614"/>
    </row>
    <row r="1195" spans="1:50" x14ac:dyDescent="0.25">
      <c r="A1195" s="612"/>
      <c r="B1195" s="612"/>
      <c r="C1195" s="613"/>
      <c r="D1195" s="612"/>
      <c r="E1195" s="612"/>
      <c r="F1195" s="613"/>
      <c r="G1195" s="612"/>
      <c r="H1195" s="612"/>
      <c r="I1195" s="735"/>
      <c r="J1195" s="612"/>
      <c r="K1195" s="613"/>
      <c r="L1195" s="614"/>
      <c r="M1195" s="614"/>
      <c r="N1195" s="614"/>
      <c r="O1195" s="614"/>
      <c r="P1195" s="614"/>
      <c r="Q1195" s="614"/>
      <c r="R1195" s="614"/>
      <c r="S1195" s="614"/>
      <c r="T1195" s="614"/>
      <c r="U1195" s="614"/>
      <c r="V1195" s="614"/>
      <c r="W1195" s="614"/>
      <c r="X1195" s="614"/>
      <c r="Y1195" s="614"/>
      <c r="Z1195" s="614"/>
      <c r="AA1195" s="614"/>
      <c r="AB1195" s="614"/>
      <c r="AC1195" s="614"/>
      <c r="AJ1195" s="614"/>
      <c r="AK1195" s="614"/>
      <c r="AL1195" s="614"/>
      <c r="AM1195" s="614"/>
      <c r="AN1195" s="614"/>
      <c r="AO1195" s="614"/>
      <c r="AP1195" s="616"/>
      <c r="AQ1195" s="616"/>
      <c r="AR1195" s="616"/>
      <c r="AS1195" s="614"/>
      <c r="AT1195" s="614"/>
      <c r="AU1195" s="614"/>
      <c r="AV1195" s="614"/>
      <c r="AW1195" s="614"/>
      <c r="AX1195" s="614"/>
    </row>
    <row r="1196" spans="1:50" x14ac:dyDescent="0.25">
      <c r="A1196" s="612"/>
      <c r="B1196" s="612"/>
      <c r="C1196" s="613"/>
      <c r="D1196" s="612"/>
      <c r="E1196" s="612"/>
      <c r="F1196" s="613"/>
      <c r="G1196" s="612"/>
      <c r="H1196" s="612"/>
      <c r="I1196" s="735"/>
      <c r="J1196" s="612"/>
      <c r="K1196" s="613"/>
      <c r="L1196" s="614"/>
      <c r="M1196" s="614"/>
      <c r="N1196" s="614"/>
      <c r="O1196" s="614"/>
      <c r="P1196" s="614"/>
      <c r="Q1196" s="614"/>
      <c r="R1196" s="614"/>
      <c r="S1196" s="614"/>
      <c r="T1196" s="614"/>
      <c r="U1196" s="614"/>
      <c r="V1196" s="614"/>
      <c r="W1196" s="614"/>
      <c r="X1196" s="614"/>
      <c r="Y1196" s="614"/>
      <c r="Z1196" s="614"/>
      <c r="AA1196" s="614"/>
      <c r="AB1196" s="614"/>
      <c r="AC1196" s="614"/>
      <c r="AJ1196" s="614"/>
      <c r="AK1196" s="614"/>
      <c r="AL1196" s="614"/>
      <c r="AM1196" s="614"/>
      <c r="AN1196" s="614"/>
      <c r="AO1196" s="614"/>
      <c r="AP1196" s="616"/>
      <c r="AQ1196" s="616"/>
      <c r="AR1196" s="616"/>
      <c r="AS1196" s="614"/>
      <c r="AT1196" s="614"/>
      <c r="AU1196" s="614"/>
      <c r="AV1196" s="614"/>
      <c r="AW1196" s="614"/>
      <c r="AX1196" s="614"/>
    </row>
    <row r="1197" spans="1:50" x14ac:dyDescent="0.25">
      <c r="A1197" s="612"/>
      <c r="B1197" s="612"/>
      <c r="C1197" s="613"/>
      <c r="D1197" s="612"/>
      <c r="E1197" s="612"/>
      <c r="F1197" s="613"/>
      <c r="G1197" s="612"/>
      <c r="H1197" s="612"/>
      <c r="I1197" s="735"/>
      <c r="J1197" s="612"/>
      <c r="K1197" s="613"/>
      <c r="L1197" s="614"/>
      <c r="M1197" s="614"/>
      <c r="N1197" s="614"/>
      <c r="O1197" s="614"/>
      <c r="P1197" s="614"/>
      <c r="Q1197" s="614"/>
      <c r="R1197" s="614"/>
      <c r="S1197" s="614"/>
      <c r="T1197" s="614"/>
      <c r="U1197" s="614"/>
      <c r="V1197" s="614"/>
      <c r="W1197" s="614"/>
      <c r="X1197" s="614"/>
      <c r="Y1197" s="614"/>
      <c r="Z1197" s="614"/>
      <c r="AA1197" s="614"/>
      <c r="AB1197" s="614"/>
      <c r="AC1197" s="614"/>
      <c r="AJ1197" s="614"/>
      <c r="AK1197" s="614"/>
      <c r="AL1197" s="614"/>
      <c r="AM1197" s="614"/>
      <c r="AN1197" s="614"/>
      <c r="AO1197" s="614"/>
      <c r="AP1197" s="616"/>
      <c r="AQ1197" s="616"/>
      <c r="AR1197" s="616"/>
      <c r="AS1197" s="614"/>
      <c r="AT1197" s="614"/>
      <c r="AU1197" s="614"/>
      <c r="AV1197" s="614"/>
      <c r="AW1197" s="614"/>
      <c r="AX1197" s="614"/>
    </row>
    <row r="1198" spans="1:50" x14ac:dyDescent="0.25">
      <c r="A1198" s="612"/>
      <c r="B1198" s="612"/>
      <c r="C1198" s="613"/>
      <c r="D1198" s="612"/>
      <c r="E1198" s="612"/>
      <c r="F1198" s="613"/>
      <c r="G1198" s="612"/>
      <c r="H1198" s="612"/>
      <c r="I1198" s="735"/>
      <c r="J1198" s="612"/>
      <c r="K1198" s="613"/>
      <c r="L1198" s="614"/>
      <c r="M1198" s="614"/>
      <c r="N1198" s="614"/>
      <c r="O1198" s="614"/>
      <c r="P1198" s="614"/>
      <c r="Q1198" s="614"/>
      <c r="R1198" s="614"/>
      <c r="S1198" s="614"/>
      <c r="T1198" s="614"/>
      <c r="U1198" s="614"/>
      <c r="V1198" s="614"/>
      <c r="W1198" s="614"/>
      <c r="X1198" s="614"/>
      <c r="Y1198" s="614"/>
      <c r="Z1198" s="614"/>
      <c r="AA1198" s="614"/>
      <c r="AB1198" s="614"/>
      <c r="AC1198" s="614"/>
      <c r="AJ1198" s="614"/>
      <c r="AK1198" s="614"/>
      <c r="AL1198" s="614"/>
      <c r="AM1198" s="614"/>
      <c r="AN1198" s="614"/>
      <c r="AO1198" s="614"/>
      <c r="AP1198" s="616"/>
      <c r="AQ1198" s="616"/>
      <c r="AR1198" s="616"/>
      <c r="AS1198" s="614"/>
      <c r="AT1198" s="614"/>
      <c r="AU1198" s="614"/>
      <c r="AV1198" s="614"/>
      <c r="AW1198" s="614"/>
      <c r="AX1198" s="614"/>
    </row>
    <row r="1199" spans="1:50" x14ac:dyDescent="0.25">
      <c r="A1199" s="612"/>
      <c r="B1199" s="612"/>
      <c r="C1199" s="613"/>
      <c r="D1199" s="612"/>
      <c r="E1199" s="612"/>
      <c r="F1199" s="613"/>
      <c r="G1199" s="612"/>
      <c r="H1199" s="612"/>
      <c r="I1199" s="735"/>
      <c r="J1199" s="612"/>
      <c r="K1199" s="613"/>
      <c r="L1199" s="614"/>
      <c r="M1199" s="614"/>
      <c r="N1199" s="614"/>
      <c r="O1199" s="614"/>
      <c r="P1199" s="614"/>
      <c r="Q1199" s="614"/>
      <c r="R1199" s="614"/>
      <c r="S1199" s="614"/>
      <c r="T1199" s="614"/>
      <c r="U1199" s="614"/>
      <c r="V1199" s="614"/>
      <c r="W1199" s="614"/>
      <c r="X1199" s="614"/>
      <c r="Y1199" s="614"/>
      <c r="Z1199" s="614"/>
      <c r="AA1199" s="614"/>
      <c r="AB1199" s="614"/>
      <c r="AC1199" s="614"/>
      <c r="AJ1199" s="614"/>
      <c r="AK1199" s="614"/>
      <c r="AL1199" s="614"/>
      <c r="AM1199" s="614"/>
      <c r="AN1199" s="614"/>
      <c r="AO1199" s="614"/>
      <c r="AP1199" s="616"/>
      <c r="AQ1199" s="616"/>
      <c r="AR1199" s="616"/>
      <c r="AS1199" s="614"/>
      <c r="AT1199" s="614"/>
      <c r="AU1199" s="614"/>
      <c r="AV1199" s="614"/>
      <c r="AW1199" s="614"/>
      <c r="AX1199" s="614"/>
    </row>
    <row r="1200" spans="1:50" x14ac:dyDescent="0.25">
      <c r="A1200" s="612"/>
      <c r="B1200" s="612"/>
      <c r="C1200" s="613"/>
      <c r="D1200" s="612"/>
      <c r="E1200" s="612"/>
      <c r="F1200" s="613"/>
      <c r="G1200" s="612"/>
      <c r="H1200" s="612"/>
      <c r="I1200" s="735"/>
      <c r="J1200" s="612"/>
      <c r="K1200" s="613"/>
      <c r="L1200" s="614"/>
      <c r="M1200" s="614"/>
      <c r="N1200" s="614"/>
      <c r="O1200" s="614"/>
      <c r="P1200" s="614"/>
      <c r="Q1200" s="614"/>
      <c r="R1200" s="614"/>
      <c r="S1200" s="614"/>
      <c r="T1200" s="614"/>
      <c r="U1200" s="614"/>
      <c r="V1200" s="614"/>
      <c r="W1200" s="614"/>
      <c r="X1200" s="614"/>
      <c r="Y1200" s="614"/>
      <c r="Z1200" s="614"/>
      <c r="AA1200" s="614"/>
      <c r="AB1200" s="614"/>
      <c r="AC1200" s="614"/>
      <c r="AJ1200" s="614"/>
      <c r="AK1200" s="614"/>
      <c r="AL1200" s="614"/>
      <c r="AM1200" s="614"/>
      <c r="AN1200" s="614"/>
      <c r="AO1200" s="614"/>
      <c r="AP1200" s="616"/>
      <c r="AQ1200" s="616"/>
      <c r="AR1200" s="616"/>
      <c r="AS1200" s="614"/>
      <c r="AT1200" s="614"/>
      <c r="AU1200" s="614"/>
      <c r="AV1200" s="614"/>
      <c r="AW1200" s="614"/>
      <c r="AX1200" s="614"/>
    </row>
    <row r="1201" spans="1:50" x14ac:dyDescent="0.25">
      <c r="A1201" s="612"/>
      <c r="B1201" s="612"/>
      <c r="C1201" s="613"/>
      <c r="D1201" s="612"/>
      <c r="E1201" s="612"/>
      <c r="F1201" s="613"/>
      <c r="G1201" s="612"/>
      <c r="H1201" s="612"/>
      <c r="I1201" s="735"/>
      <c r="J1201" s="612"/>
      <c r="K1201" s="613"/>
      <c r="L1201" s="614"/>
      <c r="M1201" s="614"/>
      <c r="N1201" s="614"/>
      <c r="O1201" s="614"/>
      <c r="P1201" s="614"/>
      <c r="Q1201" s="614"/>
      <c r="R1201" s="614"/>
      <c r="S1201" s="614"/>
      <c r="T1201" s="614"/>
      <c r="U1201" s="614"/>
      <c r="V1201" s="614"/>
      <c r="W1201" s="614"/>
      <c r="X1201" s="614"/>
      <c r="Y1201" s="614"/>
      <c r="Z1201" s="614"/>
      <c r="AA1201" s="614"/>
      <c r="AB1201" s="614"/>
      <c r="AC1201" s="614"/>
      <c r="AJ1201" s="614"/>
      <c r="AK1201" s="614"/>
      <c r="AL1201" s="614"/>
      <c r="AM1201" s="614"/>
      <c r="AN1201" s="614"/>
      <c r="AO1201" s="614"/>
      <c r="AP1201" s="616"/>
      <c r="AQ1201" s="616"/>
      <c r="AR1201" s="616"/>
      <c r="AS1201" s="614"/>
      <c r="AT1201" s="614"/>
      <c r="AU1201" s="614"/>
      <c r="AV1201" s="614"/>
      <c r="AW1201" s="614"/>
      <c r="AX1201" s="614"/>
    </row>
    <row r="1202" spans="1:50" x14ac:dyDescent="0.25">
      <c r="A1202" s="612"/>
      <c r="B1202" s="612"/>
      <c r="C1202" s="613"/>
      <c r="D1202" s="612"/>
      <c r="E1202" s="612"/>
      <c r="F1202" s="613"/>
      <c r="G1202" s="612"/>
      <c r="H1202" s="612"/>
      <c r="I1202" s="735"/>
      <c r="J1202" s="612"/>
      <c r="K1202" s="613"/>
      <c r="L1202" s="614"/>
      <c r="M1202" s="614"/>
      <c r="N1202" s="614"/>
      <c r="O1202" s="614"/>
      <c r="P1202" s="614"/>
      <c r="Q1202" s="614"/>
      <c r="R1202" s="614"/>
      <c r="S1202" s="614"/>
      <c r="T1202" s="614"/>
      <c r="U1202" s="614"/>
      <c r="V1202" s="614"/>
      <c r="W1202" s="614"/>
      <c r="X1202" s="614"/>
      <c r="Y1202" s="614"/>
      <c r="Z1202" s="614"/>
      <c r="AA1202" s="614"/>
      <c r="AB1202" s="614"/>
      <c r="AC1202" s="614"/>
      <c r="AJ1202" s="614"/>
      <c r="AK1202" s="614"/>
      <c r="AL1202" s="614"/>
      <c r="AM1202" s="614"/>
      <c r="AN1202" s="614"/>
      <c r="AO1202" s="614"/>
      <c r="AP1202" s="616"/>
      <c r="AQ1202" s="616"/>
      <c r="AR1202" s="616"/>
      <c r="AS1202" s="614"/>
      <c r="AT1202" s="614"/>
      <c r="AU1202" s="614"/>
      <c r="AV1202" s="614"/>
      <c r="AW1202" s="614"/>
      <c r="AX1202" s="614"/>
    </row>
    <row r="1203" spans="1:50" x14ac:dyDescent="0.25">
      <c r="A1203" s="612"/>
      <c r="B1203" s="612"/>
      <c r="C1203" s="613"/>
      <c r="D1203" s="612"/>
      <c r="E1203" s="612"/>
      <c r="F1203" s="613"/>
      <c r="G1203" s="612"/>
      <c r="H1203" s="612"/>
      <c r="I1203" s="735"/>
      <c r="J1203" s="612"/>
      <c r="K1203" s="613"/>
      <c r="L1203" s="614"/>
      <c r="M1203" s="614"/>
      <c r="N1203" s="614"/>
      <c r="O1203" s="614"/>
      <c r="P1203" s="614"/>
      <c r="Q1203" s="614"/>
      <c r="R1203" s="614"/>
      <c r="S1203" s="614"/>
      <c r="T1203" s="614"/>
      <c r="U1203" s="614"/>
      <c r="V1203" s="614"/>
      <c r="W1203" s="614"/>
      <c r="X1203" s="614"/>
      <c r="Y1203" s="614"/>
      <c r="Z1203" s="614"/>
      <c r="AA1203" s="614"/>
      <c r="AB1203" s="614"/>
      <c r="AC1203" s="614"/>
      <c r="AJ1203" s="614"/>
      <c r="AK1203" s="614"/>
      <c r="AL1203" s="614"/>
      <c r="AM1203" s="614"/>
      <c r="AN1203" s="614"/>
      <c r="AO1203" s="614"/>
      <c r="AP1203" s="616"/>
      <c r="AQ1203" s="616"/>
      <c r="AR1203" s="616"/>
      <c r="AS1203" s="614"/>
      <c r="AT1203" s="614"/>
      <c r="AU1203" s="614"/>
      <c r="AV1203" s="614"/>
      <c r="AW1203" s="614"/>
      <c r="AX1203" s="614"/>
    </row>
    <row r="1204" spans="1:50" x14ac:dyDescent="0.25">
      <c r="A1204" s="612"/>
      <c r="B1204" s="612"/>
      <c r="C1204" s="613"/>
      <c r="D1204" s="612"/>
      <c r="E1204" s="612"/>
      <c r="F1204" s="613"/>
      <c r="G1204" s="612"/>
      <c r="H1204" s="612"/>
      <c r="I1204" s="735"/>
      <c r="J1204" s="612"/>
      <c r="K1204" s="613"/>
      <c r="L1204" s="614"/>
      <c r="M1204" s="614"/>
      <c r="N1204" s="614"/>
      <c r="O1204" s="614"/>
      <c r="P1204" s="614"/>
      <c r="Q1204" s="614"/>
      <c r="R1204" s="614"/>
      <c r="S1204" s="614"/>
      <c r="T1204" s="614"/>
      <c r="U1204" s="614"/>
      <c r="V1204" s="614"/>
      <c r="W1204" s="614"/>
      <c r="X1204" s="614"/>
      <c r="Y1204" s="614"/>
      <c r="Z1204" s="614"/>
      <c r="AA1204" s="614"/>
      <c r="AB1204" s="614"/>
      <c r="AC1204" s="614"/>
      <c r="AJ1204" s="614"/>
      <c r="AK1204" s="614"/>
      <c r="AL1204" s="614"/>
      <c r="AM1204" s="614"/>
      <c r="AN1204" s="614"/>
      <c r="AO1204" s="614"/>
      <c r="AP1204" s="616"/>
      <c r="AQ1204" s="616"/>
      <c r="AR1204" s="616"/>
      <c r="AS1204" s="614"/>
      <c r="AT1204" s="614"/>
      <c r="AU1204" s="614"/>
      <c r="AV1204" s="614"/>
      <c r="AW1204" s="614"/>
      <c r="AX1204" s="614"/>
    </row>
    <row r="1205" spans="1:50" x14ac:dyDescent="0.25">
      <c r="A1205" s="612"/>
      <c r="B1205" s="612"/>
      <c r="C1205" s="613"/>
      <c r="D1205" s="612"/>
      <c r="E1205" s="612"/>
      <c r="F1205" s="613"/>
      <c r="G1205" s="612"/>
      <c r="H1205" s="612"/>
      <c r="I1205" s="735"/>
      <c r="J1205" s="612"/>
      <c r="K1205" s="613"/>
      <c r="L1205" s="614"/>
      <c r="M1205" s="614"/>
      <c r="N1205" s="614"/>
      <c r="O1205" s="614"/>
      <c r="P1205" s="614"/>
      <c r="Q1205" s="614"/>
      <c r="R1205" s="614"/>
      <c r="S1205" s="614"/>
      <c r="T1205" s="614"/>
      <c r="U1205" s="614"/>
      <c r="V1205" s="614"/>
      <c r="W1205" s="614"/>
      <c r="X1205" s="614"/>
      <c r="Y1205" s="614"/>
      <c r="Z1205" s="614"/>
      <c r="AA1205" s="614"/>
      <c r="AB1205" s="614"/>
      <c r="AC1205" s="614"/>
      <c r="AJ1205" s="614"/>
      <c r="AK1205" s="614"/>
      <c r="AL1205" s="614"/>
      <c r="AM1205" s="614"/>
      <c r="AN1205" s="614"/>
      <c r="AO1205" s="614"/>
      <c r="AP1205" s="616"/>
      <c r="AQ1205" s="616"/>
      <c r="AR1205" s="616"/>
      <c r="AS1205" s="614"/>
      <c r="AT1205" s="614"/>
      <c r="AU1205" s="614"/>
      <c r="AV1205" s="614"/>
      <c r="AW1205" s="614"/>
      <c r="AX1205" s="614"/>
    </row>
    <row r="1206" spans="1:50" x14ac:dyDescent="0.25">
      <c r="A1206" s="612"/>
      <c r="B1206" s="612"/>
      <c r="C1206" s="613"/>
      <c r="D1206" s="612"/>
      <c r="E1206" s="612"/>
      <c r="F1206" s="613"/>
      <c r="G1206" s="612"/>
      <c r="H1206" s="612"/>
      <c r="I1206" s="735"/>
      <c r="J1206" s="612"/>
      <c r="K1206" s="613"/>
      <c r="L1206" s="614"/>
      <c r="M1206" s="614"/>
      <c r="N1206" s="614"/>
      <c r="O1206" s="614"/>
      <c r="P1206" s="614"/>
      <c r="Q1206" s="614"/>
      <c r="R1206" s="614"/>
      <c r="S1206" s="614"/>
      <c r="T1206" s="614"/>
      <c r="U1206" s="614"/>
      <c r="V1206" s="614"/>
      <c r="W1206" s="614"/>
      <c r="X1206" s="614"/>
      <c r="Y1206" s="614"/>
      <c r="Z1206" s="614"/>
      <c r="AA1206" s="614"/>
      <c r="AB1206" s="614"/>
      <c r="AC1206" s="614"/>
      <c r="AJ1206" s="614"/>
      <c r="AK1206" s="614"/>
      <c r="AL1206" s="614"/>
      <c r="AM1206" s="614"/>
      <c r="AN1206" s="614"/>
      <c r="AO1206" s="614"/>
      <c r="AP1206" s="616"/>
      <c r="AQ1206" s="616"/>
      <c r="AR1206" s="616"/>
      <c r="AS1206" s="614"/>
      <c r="AT1206" s="614"/>
      <c r="AU1206" s="614"/>
      <c r="AV1206" s="614"/>
      <c r="AW1206" s="614"/>
      <c r="AX1206" s="614"/>
    </row>
    <row r="1207" spans="1:50" x14ac:dyDescent="0.25">
      <c r="A1207" s="612"/>
      <c r="B1207" s="612"/>
      <c r="C1207" s="613"/>
      <c r="D1207" s="612"/>
      <c r="E1207" s="612"/>
      <c r="F1207" s="613"/>
      <c r="G1207" s="612"/>
      <c r="H1207" s="612"/>
      <c r="I1207" s="735"/>
      <c r="J1207" s="612"/>
      <c r="K1207" s="613"/>
      <c r="L1207" s="614"/>
      <c r="M1207" s="614"/>
      <c r="N1207" s="614"/>
      <c r="O1207" s="614"/>
      <c r="P1207" s="614"/>
      <c r="Q1207" s="614"/>
      <c r="R1207" s="614"/>
      <c r="S1207" s="614"/>
      <c r="T1207" s="614"/>
      <c r="U1207" s="614"/>
      <c r="V1207" s="614"/>
      <c r="W1207" s="614"/>
      <c r="X1207" s="614"/>
      <c r="Y1207" s="614"/>
      <c r="Z1207" s="614"/>
      <c r="AA1207" s="614"/>
      <c r="AB1207" s="614"/>
      <c r="AC1207" s="614"/>
      <c r="AJ1207" s="614"/>
      <c r="AK1207" s="614"/>
      <c r="AL1207" s="614"/>
      <c r="AM1207" s="614"/>
      <c r="AN1207" s="614"/>
      <c r="AO1207" s="614"/>
      <c r="AP1207" s="616"/>
      <c r="AQ1207" s="616"/>
      <c r="AR1207" s="616"/>
      <c r="AS1207" s="614"/>
      <c r="AT1207" s="614"/>
      <c r="AU1207" s="614"/>
      <c r="AV1207" s="614"/>
      <c r="AW1207" s="614"/>
      <c r="AX1207" s="614"/>
    </row>
    <row r="1208" spans="1:50" x14ac:dyDescent="0.25">
      <c r="A1208" s="612"/>
      <c r="B1208" s="612"/>
      <c r="C1208" s="613"/>
      <c r="D1208" s="612"/>
      <c r="E1208" s="612"/>
      <c r="F1208" s="613"/>
      <c r="G1208" s="612"/>
      <c r="H1208" s="612"/>
      <c r="I1208" s="735"/>
      <c r="J1208" s="612"/>
      <c r="K1208" s="613"/>
      <c r="L1208" s="614"/>
      <c r="M1208" s="614"/>
      <c r="N1208" s="614"/>
      <c r="O1208" s="614"/>
      <c r="P1208" s="614"/>
      <c r="Q1208" s="614"/>
      <c r="R1208" s="614"/>
      <c r="S1208" s="614"/>
      <c r="T1208" s="614"/>
      <c r="U1208" s="614"/>
      <c r="V1208" s="614"/>
      <c r="W1208" s="614"/>
      <c r="X1208" s="614"/>
      <c r="Y1208" s="614"/>
      <c r="Z1208" s="614"/>
      <c r="AA1208" s="614"/>
      <c r="AB1208" s="614"/>
      <c r="AC1208" s="614"/>
      <c r="AJ1208" s="614"/>
      <c r="AK1208" s="614"/>
      <c r="AL1208" s="614"/>
      <c r="AM1208" s="614"/>
      <c r="AN1208" s="614"/>
      <c r="AO1208" s="614"/>
      <c r="AP1208" s="616"/>
      <c r="AQ1208" s="616"/>
      <c r="AR1208" s="616"/>
      <c r="AS1208" s="614"/>
      <c r="AT1208" s="614"/>
      <c r="AU1208" s="614"/>
      <c r="AV1208" s="614"/>
      <c r="AW1208" s="614"/>
      <c r="AX1208" s="614"/>
    </row>
    <row r="1209" spans="1:50" x14ac:dyDescent="0.25">
      <c r="A1209" s="612"/>
      <c r="B1209" s="612"/>
      <c r="C1209" s="613"/>
      <c r="D1209" s="612"/>
      <c r="E1209" s="612"/>
      <c r="F1209" s="613"/>
      <c r="G1209" s="612"/>
      <c r="H1209" s="612"/>
      <c r="I1209" s="735"/>
      <c r="J1209" s="612"/>
      <c r="K1209" s="613"/>
      <c r="L1209" s="614"/>
      <c r="M1209" s="614"/>
      <c r="N1209" s="614"/>
      <c r="O1209" s="614"/>
      <c r="P1209" s="614"/>
      <c r="Q1209" s="614"/>
      <c r="R1209" s="614"/>
      <c r="S1209" s="614"/>
      <c r="T1209" s="614"/>
      <c r="U1209" s="614"/>
      <c r="V1209" s="614"/>
      <c r="W1209" s="614"/>
      <c r="X1209" s="614"/>
      <c r="Y1209" s="614"/>
      <c r="Z1209" s="614"/>
      <c r="AA1209" s="614"/>
      <c r="AB1209" s="614"/>
      <c r="AC1209" s="614"/>
      <c r="AJ1209" s="614"/>
      <c r="AK1209" s="614"/>
      <c r="AL1209" s="614"/>
      <c r="AM1209" s="614"/>
      <c r="AN1209" s="614"/>
      <c r="AO1209" s="614"/>
      <c r="AP1209" s="616"/>
      <c r="AQ1209" s="616"/>
      <c r="AR1209" s="616"/>
      <c r="AS1209" s="614"/>
      <c r="AT1209" s="614"/>
      <c r="AU1209" s="614"/>
      <c r="AV1209" s="614"/>
      <c r="AW1209" s="614"/>
      <c r="AX1209" s="614"/>
    </row>
    <row r="1210" spans="1:50" x14ac:dyDescent="0.25">
      <c r="A1210" s="612"/>
      <c r="B1210" s="612"/>
      <c r="C1210" s="613"/>
      <c r="D1210" s="612"/>
      <c r="E1210" s="612"/>
      <c r="F1210" s="613"/>
      <c r="G1210" s="612"/>
      <c r="H1210" s="612"/>
      <c r="I1210" s="735"/>
      <c r="J1210" s="612"/>
      <c r="K1210" s="613"/>
      <c r="L1210" s="614"/>
      <c r="M1210" s="614"/>
      <c r="N1210" s="614"/>
      <c r="O1210" s="614"/>
      <c r="P1210" s="614"/>
      <c r="Q1210" s="614"/>
      <c r="R1210" s="614"/>
      <c r="S1210" s="614"/>
      <c r="T1210" s="614"/>
      <c r="U1210" s="614"/>
      <c r="V1210" s="614"/>
      <c r="W1210" s="614"/>
      <c r="X1210" s="614"/>
      <c r="Y1210" s="614"/>
      <c r="Z1210" s="614"/>
      <c r="AA1210" s="614"/>
      <c r="AB1210" s="614"/>
      <c r="AC1210" s="614"/>
      <c r="AJ1210" s="614"/>
      <c r="AK1210" s="614"/>
      <c r="AL1210" s="614"/>
      <c r="AM1210" s="614"/>
      <c r="AN1210" s="614"/>
      <c r="AO1210" s="614"/>
      <c r="AP1210" s="616"/>
      <c r="AQ1210" s="616"/>
      <c r="AR1210" s="616"/>
      <c r="AS1210" s="614"/>
      <c r="AT1210" s="614"/>
      <c r="AU1210" s="614"/>
      <c r="AV1210" s="614"/>
      <c r="AW1210" s="614"/>
      <c r="AX1210" s="614"/>
    </row>
    <row r="1211" spans="1:50" x14ac:dyDescent="0.25">
      <c r="A1211" s="612"/>
      <c r="B1211" s="612"/>
      <c r="C1211" s="613"/>
      <c r="D1211" s="612"/>
      <c r="E1211" s="612"/>
      <c r="F1211" s="613"/>
      <c r="G1211" s="612"/>
      <c r="H1211" s="612"/>
      <c r="I1211" s="735"/>
      <c r="J1211" s="612"/>
      <c r="K1211" s="613"/>
      <c r="L1211" s="614"/>
      <c r="M1211" s="614"/>
      <c r="N1211" s="614"/>
      <c r="O1211" s="614"/>
      <c r="P1211" s="614"/>
      <c r="Q1211" s="614"/>
      <c r="R1211" s="614"/>
      <c r="S1211" s="614"/>
      <c r="T1211" s="614"/>
      <c r="U1211" s="614"/>
      <c r="V1211" s="614"/>
      <c r="W1211" s="614"/>
      <c r="X1211" s="614"/>
      <c r="Y1211" s="614"/>
      <c r="Z1211" s="614"/>
      <c r="AA1211" s="614"/>
      <c r="AB1211" s="614"/>
      <c r="AC1211" s="614"/>
      <c r="AJ1211" s="614"/>
      <c r="AK1211" s="614"/>
      <c r="AL1211" s="614"/>
      <c r="AM1211" s="614"/>
      <c r="AN1211" s="614"/>
      <c r="AO1211" s="614"/>
      <c r="AP1211" s="616"/>
      <c r="AQ1211" s="616"/>
      <c r="AR1211" s="616"/>
      <c r="AS1211" s="614"/>
      <c r="AT1211" s="614"/>
      <c r="AU1211" s="614"/>
      <c r="AV1211" s="614"/>
      <c r="AW1211" s="614"/>
      <c r="AX1211" s="614"/>
    </row>
    <row r="1212" spans="1:50" x14ac:dyDescent="0.25">
      <c r="A1212" s="612"/>
      <c r="B1212" s="612"/>
      <c r="C1212" s="613"/>
      <c r="D1212" s="612"/>
      <c r="E1212" s="612"/>
      <c r="F1212" s="613"/>
      <c r="G1212" s="612"/>
      <c r="H1212" s="612"/>
      <c r="I1212" s="735"/>
      <c r="J1212" s="612"/>
      <c r="K1212" s="613"/>
      <c r="L1212" s="614"/>
      <c r="M1212" s="614"/>
      <c r="N1212" s="614"/>
      <c r="O1212" s="614"/>
      <c r="P1212" s="614"/>
      <c r="Q1212" s="614"/>
      <c r="R1212" s="614"/>
      <c r="S1212" s="614"/>
      <c r="T1212" s="614"/>
      <c r="U1212" s="614"/>
      <c r="V1212" s="614"/>
      <c r="W1212" s="614"/>
      <c r="X1212" s="614"/>
      <c r="Y1212" s="614"/>
      <c r="Z1212" s="614"/>
      <c r="AA1212" s="614"/>
      <c r="AB1212" s="614"/>
      <c r="AC1212" s="614"/>
      <c r="AJ1212" s="614"/>
      <c r="AK1212" s="614"/>
      <c r="AL1212" s="614"/>
      <c r="AM1212" s="614"/>
      <c r="AN1212" s="614"/>
      <c r="AO1212" s="614"/>
      <c r="AP1212" s="616"/>
      <c r="AQ1212" s="616"/>
      <c r="AR1212" s="616"/>
      <c r="AS1212" s="614"/>
      <c r="AT1212" s="614"/>
      <c r="AU1212" s="614"/>
      <c r="AV1212" s="614"/>
      <c r="AW1212" s="614"/>
      <c r="AX1212" s="614"/>
    </row>
    <row r="1213" spans="1:50" x14ac:dyDescent="0.25">
      <c r="A1213" s="612"/>
      <c r="B1213" s="612"/>
      <c r="C1213" s="613"/>
      <c r="D1213" s="612"/>
      <c r="E1213" s="612"/>
      <c r="F1213" s="613"/>
      <c r="G1213" s="612"/>
      <c r="H1213" s="612"/>
      <c r="I1213" s="735"/>
      <c r="J1213" s="612"/>
      <c r="K1213" s="613"/>
      <c r="L1213" s="614"/>
      <c r="M1213" s="614"/>
      <c r="N1213" s="614"/>
      <c r="O1213" s="614"/>
      <c r="P1213" s="614"/>
      <c r="Q1213" s="614"/>
      <c r="R1213" s="614"/>
      <c r="S1213" s="614"/>
      <c r="T1213" s="614"/>
      <c r="U1213" s="614"/>
      <c r="V1213" s="614"/>
      <c r="W1213" s="614"/>
      <c r="X1213" s="614"/>
      <c r="Y1213" s="614"/>
      <c r="Z1213" s="614"/>
      <c r="AA1213" s="614"/>
      <c r="AB1213" s="614"/>
      <c r="AC1213" s="614"/>
      <c r="AJ1213" s="614"/>
      <c r="AK1213" s="614"/>
      <c r="AL1213" s="614"/>
      <c r="AM1213" s="614"/>
      <c r="AN1213" s="614"/>
      <c r="AO1213" s="614"/>
      <c r="AP1213" s="616"/>
      <c r="AQ1213" s="616"/>
      <c r="AR1213" s="616"/>
      <c r="AS1213" s="614"/>
      <c r="AT1213" s="614"/>
      <c r="AU1213" s="614"/>
      <c r="AV1213" s="614"/>
      <c r="AW1213" s="614"/>
      <c r="AX1213" s="614"/>
    </row>
    <row r="1214" spans="1:50" x14ac:dyDescent="0.25">
      <c r="A1214" s="612"/>
      <c r="B1214" s="612"/>
      <c r="C1214" s="613"/>
      <c r="D1214" s="612"/>
      <c r="E1214" s="612"/>
      <c r="F1214" s="613"/>
      <c r="G1214" s="612"/>
      <c r="H1214" s="612"/>
      <c r="I1214" s="735"/>
      <c r="J1214" s="612"/>
      <c r="K1214" s="613"/>
      <c r="L1214" s="614"/>
      <c r="M1214" s="614"/>
      <c r="N1214" s="614"/>
      <c r="O1214" s="614"/>
      <c r="P1214" s="614"/>
      <c r="Q1214" s="614"/>
      <c r="R1214" s="614"/>
      <c r="S1214" s="614"/>
      <c r="T1214" s="614"/>
      <c r="U1214" s="614"/>
      <c r="V1214" s="614"/>
      <c r="W1214" s="614"/>
      <c r="X1214" s="614"/>
      <c r="Y1214" s="614"/>
      <c r="Z1214" s="614"/>
      <c r="AA1214" s="614"/>
      <c r="AB1214" s="614"/>
      <c r="AC1214" s="614"/>
      <c r="AJ1214" s="614"/>
      <c r="AK1214" s="614"/>
      <c r="AL1214" s="614"/>
      <c r="AM1214" s="614"/>
      <c r="AN1214" s="614"/>
      <c r="AO1214" s="614"/>
      <c r="AP1214" s="616"/>
      <c r="AQ1214" s="616"/>
      <c r="AR1214" s="616"/>
      <c r="AS1214" s="614"/>
      <c r="AT1214" s="614"/>
      <c r="AU1214" s="614"/>
      <c r="AV1214" s="614"/>
      <c r="AW1214" s="614"/>
      <c r="AX1214" s="614"/>
    </row>
    <row r="1215" spans="1:50" x14ac:dyDescent="0.25">
      <c r="A1215" s="612"/>
      <c r="B1215" s="612"/>
      <c r="C1215" s="613"/>
      <c r="D1215" s="612"/>
      <c r="E1215" s="612"/>
      <c r="F1215" s="613"/>
      <c r="G1215" s="612"/>
      <c r="H1215" s="612"/>
      <c r="I1215" s="735"/>
      <c r="J1215" s="612"/>
      <c r="K1215" s="613"/>
      <c r="L1215" s="614"/>
      <c r="M1215" s="614"/>
      <c r="N1215" s="614"/>
      <c r="O1215" s="614"/>
      <c r="P1215" s="614"/>
      <c r="Q1215" s="614"/>
      <c r="R1215" s="614"/>
      <c r="S1215" s="614"/>
      <c r="T1215" s="614"/>
      <c r="U1215" s="614"/>
      <c r="V1215" s="614"/>
      <c r="W1215" s="614"/>
      <c r="X1215" s="614"/>
      <c r="Y1215" s="614"/>
      <c r="Z1215" s="614"/>
      <c r="AA1215" s="614"/>
      <c r="AB1215" s="614"/>
      <c r="AC1215" s="614"/>
      <c r="AJ1215" s="614"/>
      <c r="AK1215" s="614"/>
      <c r="AL1215" s="614"/>
      <c r="AM1215" s="614"/>
      <c r="AN1215" s="614"/>
      <c r="AO1215" s="614"/>
      <c r="AP1215" s="616"/>
      <c r="AQ1215" s="616"/>
      <c r="AR1215" s="616"/>
      <c r="AS1215" s="614"/>
      <c r="AT1215" s="614"/>
      <c r="AU1215" s="614"/>
      <c r="AV1215" s="614"/>
      <c r="AW1215" s="614"/>
      <c r="AX1215" s="614"/>
    </row>
    <row r="1216" spans="1:50" x14ac:dyDescent="0.25">
      <c r="A1216" s="612"/>
      <c r="B1216" s="612"/>
      <c r="C1216" s="613"/>
      <c r="D1216" s="612"/>
      <c r="E1216" s="612"/>
      <c r="F1216" s="613"/>
      <c r="G1216" s="612"/>
      <c r="H1216" s="612"/>
      <c r="I1216" s="735"/>
      <c r="J1216" s="612"/>
      <c r="K1216" s="613"/>
      <c r="L1216" s="614"/>
      <c r="M1216" s="614"/>
      <c r="N1216" s="614"/>
      <c r="O1216" s="614"/>
      <c r="P1216" s="614"/>
      <c r="Q1216" s="614"/>
      <c r="R1216" s="614"/>
      <c r="S1216" s="614"/>
      <c r="T1216" s="614"/>
      <c r="U1216" s="614"/>
      <c r="V1216" s="614"/>
      <c r="W1216" s="614"/>
      <c r="X1216" s="614"/>
      <c r="Y1216" s="614"/>
      <c r="Z1216" s="614"/>
      <c r="AA1216" s="614"/>
      <c r="AB1216" s="614"/>
      <c r="AC1216" s="614"/>
      <c r="AJ1216" s="614"/>
      <c r="AK1216" s="614"/>
      <c r="AL1216" s="614"/>
      <c r="AM1216" s="614"/>
      <c r="AN1216" s="614"/>
      <c r="AO1216" s="614"/>
      <c r="AP1216" s="616"/>
      <c r="AQ1216" s="616"/>
      <c r="AR1216" s="616"/>
      <c r="AS1216" s="614"/>
      <c r="AT1216" s="614"/>
      <c r="AU1216" s="614"/>
      <c r="AV1216" s="614"/>
      <c r="AW1216" s="614"/>
      <c r="AX1216" s="614"/>
    </row>
    <row r="1217" spans="1:50" x14ac:dyDescent="0.25">
      <c r="A1217" s="612"/>
      <c r="B1217" s="612"/>
      <c r="C1217" s="613"/>
      <c r="D1217" s="612"/>
      <c r="E1217" s="612"/>
      <c r="F1217" s="613"/>
      <c r="G1217" s="612"/>
      <c r="H1217" s="612"/>
      <c r="I1217" s="735"/>
      <c r="J1217" s="612"/>
      <c r="K1217" s="613"/>
      <c r="L1217" s="614"/>
      <c r="M1217" s="614"/>
      <c r="N1217" s="614"/>
      <c r="O1217" s="614"/>
      <c r="P1217" s="614"/>
      <c r="Q1217" s="614"/>
      <c r="R1217" s="614"/>
      <c r="S1217" s="614"/>
      <c r="T1217" s="614"/>
      <c r="U1217" s="614"/>
      <c r="V1217" s="614"/>
      <c r="W1217" s="614"/>
      <c r="X1217" s="614"/>
      <c r="Y1217" s="614"/>
      <c r="Z1217" s="614"/>
      <c r="AA1217" s="614"/>
      <c r="AB1217" s="614"/>
      <c r="AC1217" s="614"/>
      <c r="AJ1217" s="614"/>
      <c r="AK1217" s="614"/>
      <c r="AL1217" s="614"/>
      <c r="AM1217" s="614"/>
      <c r="AN1217" s="614"/>
      <c r="AO1217" s="614"/>
      <c r="AP1217" s="616"/>
      <c r="AQ1217" s="616"/>
      <c r="AR1217" s="616"/>
      <c r="AS1217" s="614"/>
      <c r="AT1217" s="614"/>
      <c r="AU1217" s="614"/>
      <c r="AV1217" s="614"/>
      <c r="AW1217" s="614"/>
      <c r="AX1217" s="614"/>
    </row>
    <row r="1218" spans="1:50" x14ac:dyDescent="0.25">
      <c r="A1218" s="612"/>
      <c r="B1218" s="612"/>
      <c r="C1218" s="613"/>
      <c r="D1218" s="612"/>
      <c r="E1218" s="612"/>
      <c r="F1218" s="613"/>
      <c r="G1218" s="612"/>
      <c r="H1218" s="612"/>
      <c r="I1218" s="735"/>
      <c r="J1218" s="612"/>
      <c r="K1218" s="613"/>
      <c r="L1218" s="614"/>
      <c r="M1218" s="614"/>
      <c r="N1218" s="614"/>
      <c r="O1218" s="614"/>
      <c r="P1218" s="614"/>
      <c r="Q1218" s="614"/>
      <c r="R1218" s="614"/>
      <c r="S1218" s="614"/>
      <c r="T1218" s="614"/>
      <c r="U1218" s="614"/>
      <c r="V1218" s="614"/>
      <c r="W1218" s="614"/>
      <c r="X1218" s="614"/>
      <c r="Y1218" s="614"/>
      <c r="Z1218" s="614"/>
      <c r="AA1218" s="614"/>
      <c r="AB1218" s="614"/>
      <c r="AC1218" s="614"/>
      <c r="AJ1218" s="614"/>
      <c r="AK1218" s="614"/>
      <c r="AL1218" s="614"/>
      <c r="AM1218" s="614"/>
      <c r="AN1218" s="614"/>
      <c r="AO1218" s="614"/>
      <c r="AP1218" s="616"/>
      <c r="AQ1218" s="616"/>
      <c r="AR1218" s="616"/>
      <c r="AS1218" s="614"/>
      <c r="AT1218" s="614"/>
      <c r="AU1218" s="614"/>
      <c r="AV1218" s="614"/>
      <c r="AW1218" s="614"/>
      <c r="AX1218" s="614"/>
    </row>
    <row r="1219" spans="1:50" x14ac:dyDescent="0.25">
      <c r="A1219" s="612"/>
      <c r="B1219" s="612"/>
      <c r="C1219" s="613"/>
      <c r="D1219" s="612"/>
      <c r="E1219" s="612"/>
      <c r="F1219" s="613"/>
      <c r="G1219" s="612"/>
      <c r="H1219" s="612"/>
      <c r="I1219" s="735"/>
      <c r="J1219" s="612"/>
      <c r="K1219" s="613"/>
      <c r="L1219" s="614"/>
      <c r="M1219" s="614"/>
      <c r="N1219" s="614"/>
      <c r="O1219" s="614"/>
      <c r="P1219" s="614"/>
      <c r="Q1219" s="614"/>
      <c r="R1219" s="614"/>
      <c r="S1219" s="614"/>
      <c r="T1219" s="614"/>
      <c r="U1219" s="614"/>
      <c r="V1219" s="614"/>
      <c r="W1219" s="614"/>
      <c r="X1219" s="614"/>
      <c r="Y1219" s="614"/>
      <c r="Z1219" s="614"/>
      <c r="AA1219" s="614"/>
      <c r="AB1219" s="614"/>
      <c r="AC1219" s="614"/>
      <c r="AJ1219" s="614"/>
      <c r="AK1219" s="614"/>
      <c r="AL1219" s="614"/>
      <c r="AM1219" s="614"/>
      <c r="AN1219" s="614"/>
      <c r="AO1219" s="614"/>
      <c r="AP1219" s="616"/>
      <c r="AQ1219" s="616"/>
      <c r="AR1219" s="616"/>
      <c r="AS1219" s="614"/>
      <c r="AT1219" s="614"/>
      <c r="AU1219" s="614"/>
      <c r="AV1219" s="614"/>
      <c r="AW1219" s="614"/>
      <c r="AX1219" s="614"/>
    </row>
    <row r="1220" spans="1:50" x14ac:dyDescent="0.25">
      <c r="A1220" s="612"/>
      <c r="B1220" s="612"/>
      <c r="C1220" s="613"/>
      <c r="D1220" s="612"/>
      <c r="E1220" s="612"/>
      <c r="F1220" s="613"/>
      <c r="G1220" s="612"/>
      <c r="H1220" s="612"/>
      <c r="I1220" s="735"/>
      <c r="J1220" s="612"/>
      <c r="K1220" s="613"/>
      <c r="L1220" s="614"/>
      <c r="M1220" s="614"/>
      <c r="N1220" s="614"/>
      <c r="O1220" s="614"/>
      <c r="P1220" s="614"/>
      <c r="Q1220" s="614"/>
      <c r="R1220" s="614"/>
      <c r="S1220" s="614"/>
      <c r="T1220" s="614"/>
      <c r="U1220" s="614"/>
      <c r="V1220" s="614"/>
      <c r="W1220" s="614"/>
      <c r="X1220" s="614"/>
      <c r="Y1220" s="614"/>
      <c r="Z1220" s="614"/>
      <c r="AA1220" s="614"/>
      <c r="AB1220" s="614"/>
      <c r="AC1220" s="614"/>
      <c r="AJ1220" s="614"/>
      <c r="AK1220" s="614"/>
      <c r="AL1220" s="614"/>
      <c r="AM1220" s="614"/>
      <c r="AN1220" s="614"/>
      <c r="AO1220" s="614"/>
      <c r="AP1220" s="616"/>
      <c r="AQ1220" s="616"/>
      <c r="AR1220" s="616"/>
      <c r="AS1220" s="614"/>
      <c r="AT1220" s="614"/>
      <c r="AU1220" s="614"/>
      <c r="AV1220" s="614"/>
      <c r="AW1220" s="614"/>
      <c r="AX1220" s="614"/>
    </row>
    <row r="1221" spans="1:50" x14ac:dyDescent="0.25">
      <c r="A1221" s="612"/>
      <c r="B1221" s="612"/>
      <c r="C1221" s="613"/>
      <c r="D1221" s="612"/>
      <c r="E1221" s="612"/>
      <c r="F1221" s="613"/>
      <c r="G1221" s="612"/>
      <c r="H1221" s="612"/>
      <c r="I1221" s="735"/>
      <c r="J1221" s="612"/>
      <c r="K1221" s="613"/>
      <c r="L1221" s="614"/>
      <c r="M1221" s="614"/>
      <c r="N1221" s="614"/>
      <c r="O1221" s="614"/>
      <c r="P1221" s="614"/>
      <c r="Q1221" s="614"/>
      <c r="R1221" s="614"/>
      <c r="S1221" s="614"/>
      <c r="T1221" s="614"/>
      <c r="U1221" s="614"/>
      <c r="V1221" s="614"/>
      <c r="W1221" s="614"/>
      <c r="X1221" s="614"/>
      <c r="Y1221" s="614"/>
      <c r="Z1221" s="614"/>
      <c r="AA1221" s="614"/>
      <c r="AB1221" s="614"/>
      <c r="AC1221" s="614"/>
      <c r="AJ1221" s="614"/>
      <c r="AK1221" s="614"/>
      <c r="AL1221" s="614"/>
      <c r="AM1221" s="614"/>
      <c r="AN1221" s="614"/>
      <c r="AO1221" s="614"/>
      <c r="AP1221" s="616"/>
      <c r="AQ1221" s="616"/>
      <c r="AR1221" s="616"/>
      <c r="AS1221" s="614"/>
      <c r="AT1221" s="614"/>
      <c r="AU1221" s="614"/>
      <c r="AV1221" s="614"/>
      <c r="AW1221" s="614"/>
      <c r="AX1221" s="614"/>
    </row>
    <row r="1222" spans="1:50" x14ac:dyDescent="0.25">
      <c r="A1222" s="612"/>
      <c r="B1222" s="612"/>
      <c r="C1222" s="613"/>
      <c r="D1222" s="612"/>
      <c r="E1222" s="612"/>
      <c r="F1222" s="613"/>
      <c r="G1222" s="612"/>
      <c r="H1222" s="612"/>
      <c r="I1222" s="735"/>
      <c r="J1222" s="612"/>
      <c r="K1222" s="613"/>
      <c r="L1222" s="614"/>
      <c r="M1222" s="614"/>
      <c r="N1222" s="614"/>
      <c r="O1222" s="614"/>
      <c r="P1222" s="614"/>
      <c r="Q1222" s="614"/>
      <c r="R1222" s="614"/>
      <c r="S1222" s="614"/>
      <c r="T1222" s="614"/>
      <c r="U1222" s="614"/>
      <c r="V1222" s="614"/>
      <c r="W1222" s="614"/>
      <c r="X1222" s="614"/>
      <c r="Y1222" s="614"/>
      <c r="Z1222" s="614"/>
      <c r="AA1222" s="614"/>
      <c r="AB1222" s="614"/>
      <c r="AC1222" s="614"/>
      <c r="AJ1222" s="614"/>
      <c r="AK1222" s="614"/>
      <c r="AL1222" s="614"/>
      <c r="AM1222" s="614"/>
      <c r="AN1222" s="614"/>
      <c r="AO1222" s="614"/>
      <c r="AP1222" s="616"/>
      <c r="AQ1222" s="616"/>
      <c r="AR1222" s="616"/>
      <c r="AS1222" s="614"/>
      <c r="AT1222" s="614"/>
      <c r="AU1222" s="614"/>
      <c r="AV1222" s="614"/>
      <c r="AW1222" s="614"/>
      <c r="AX1222" s="614"/>
    </row>
    <row r="1223" spans="1:50" x14ac:dyDescent="0.25">
      <c r="A1223" s="612"/>
      <c r="B1223" s="612"/>
      <c r="C1223" s="613"/>
      <c r="D1223" s="612"/>
      <c r="E1223" s="612"/>
      <c r="F1223" s="613"/>
      <c r="G1223" s="612"/>
      <c r="H1223" s="612"/>
      <c r="I1223" s="735"/>
      <c r="J1223" s="612"/>
      <c r="K1223" s="613"/>
      <c r="L1223" s="614"/>
      <c r="M1223" s="614"/>
      <c r="N1223" s="614"/>
      <c r="O1223" s="614"/>
      <c r="P1223" s="614"/>
      <c r="Q1223" s="614"/>
      <c r="R1223" s="614"/>
      <c r="S1223" s="614"/>
      <c r="T1223" s="614"/>
      <c r="U1223" s="614"/>
      <c r="V1223" s="614"/>
      <c r="W1223" s="614"/>
      <c r="X1223" s="614"/>
      <c r="Y1223" s="614"/>
      <c r="Z1223" s="614"/>
      <c r="AA1223" s="614"/>
      <c r="AB1223" s="614"/>
      <c r="AC1223" s="614"/>
      <c r="AJ1223" s="614"/>
      <c r="AK1223" s="614"/>
      <c r="AL1223" s="614"/>
      <c r="AM1223" s="614"/>
      <c r="AN1223" s="614"/>
      <c r="AO1223" s="614"/>
      <c r="AP1223" s="616"/>
      <c r="AQ1223" s="616"/>
      <c r="AR1223" s="616"/>
      <c r="AS1223" s="614"/>
      <c r="AT1223" s="614"/>
      <c r="AU1223" s="614"/>
      <c r="AV1223" s="614"/>
      <c r="AW1223" s="614"/>
      <c r="AX1223" s="614"/>
    </row>
    <row r="1224" spans="1:50" x14ac:dyDescent="0.25">
      <c r="A1224" s="612"/>
      <c r="B1224" s="612"/>
      <c r="C1224" s="613"/>
      <c r="D1224" s="612"/>
      <c r="E1224" s="612"/>
      <c r="F1224" s="613"/>
      <c r="G1224" s="612"/>
      <c r="H1224" s="612"/>
      <c r="I1224" s="735"/>
      <c r="J1224" s="612"/>
      <c r="K1224" s="613"/>
      <c r="L1224" s="614"/>
      <c r="M1224" s="614"/>
      <c r="N1224" s="614"/>
      <c r="O1224" s="614"/>
      <c r="P1224" s="614"/>
      <c r="Q1224" s="614"/>
      <c r="R1224" s="614"/>
      <c r="S1224" s="614"/>
      <c r="T1224" s="614"/>
      <c r="U1224" s="614"/>
      <c r="V1224" s="614"/>
      <c r="W1224" s="614"/>
      <c r="X1224" s="614"/>
      <c r="Y1224" s="614"/>
      <c r="Z1224" s="614"/>
      <c r="AA1224" s="614"/>
      <c r="AB1224" s="614"/>
      <c r="AC1224" s="614"/>
      <c r="AJ1224" s="614"/>
      <c r="AK1224" s="614"/>
      <c r="AL1224" s="614"/>
      <c r="AM1224" s="614"/>
      <c r="AN1224" s="614"/>
      <c r="AO1224" s="614"/>
      <c r="AP1224" s="616"/>
      <c r="AQ1224" s="616"/>
      <c r="AR1224" s="616"/>
      <c r="AS1224" s="614"/>
      <c r="AT1224" s="614"/>
      <c r="AU1224" s="614"/>
      <c r="AV1224" s="614"/>
      <c r="AW1224" s="614"/>
      <c r="AX1224" s="614"/>
    </row>
    <row r="1225" spans="1:50" x14ac:dyDescent="0.25">
      <c r="A1225" s="612"/>
      <c r="B1225" s="612"/>
      <c r="C1225" s="613"/>
      <c r="D1225" s="612"/>
      <c r="E1225" s="612"/>
      <c r="F1225" s="613"/>
      <c r="G1225" s="612"/>
      <c r="H1225" s="612"/>
      <c r="I1225" s="735"/>
      <c r="J1225" s="612"/>
      <c r="K1225" s="613"/>
      <c r="L1225" s="614"/>
      <c r="M1225" s="614"/>
      <c r="N1225" s="614"/>
      <c r="O1225" s="614"/>
      <c r="P1225" s="614"/>
      <c r="Q1225" s="614"/>
      <c r="R1225" s="614"/>
      <c r="S1225" s="614"/>
      <c r="T1225" s="614"/>
      <c r="U1225" s="614"/>
      <c r="V1225" s="614"/>
      <c r="W1225" s="614"/>
      <c r="X1225" s="614"/>
      <c r="Y1225" s="614"/>
      <c r="Z1225" s="614"/>
      <c r="AA1225" s="614"/>
      <c r="AB1225" s="614"/>
      <c r="AC1225" s="614"/>
      <c r="AJ1225" s="614"/>
      <c r="AK1225" s="614"/>
      <c r="AL1225" s="614"/>
      <c r="AM1225" s="614"/>
      <c r="AN1225" s="614"/>
      <c r="AO1225" s="614"/>
      <c r="AP1225" s="616"/>
      <c r="AQ1225" s="616"/>
      <c r="AR1225" s="616"/>
      <c r="AS1225" s="614"/>
      <c r="AT1225" s="614"/>
      <c r="AU1225" s="614"/>
      <c r="AV1225" s="614"/>
      <c r="AW1225" s="614"/>
      <c r="AX1225" s="614"/>
    </row>
    <row r="1226" spans="1:50" x14ac:dyDescent="0.25">
      <c r="A1226" s="612"/>
      <c r="B1226" s="612"/>
      <c r="C1226" s="613"/>
      <c r="D1226" s="612"/>
      <c r="E1226" s="612"/>
      <c r="F1226" s="613"/>
      <c r="G1226" s="612"/>
      <c r="H1226" s="612"/>
      <c r="I1226" s="735"/>
      <c r="J1226" s="612"/>
      <c r="K1226" s="613"/>
      <c r="L1226" s="614"/>
      <c r="M1226" s="614"/>
      <c r="N1226" s="614"/>
      <c r="O1226" s="614"/>
      <c r="P1226" s="614"/>
      <c r="Q1226" s="614"/>
      <c r="R1226" s="614"/>
      <c r="S1226" s="614"/>
      <c r="T1226" s="614"/>
      <c r="U1226" s="614"/>
      <c r="V1226" s="614"/>
      <c r="W1226" s="614"/>
      <c r="X1226" s="614"/>
      <c r="Y1226" s="614"/>
      <c r="Z1226" s="614"/>
      <c r="AA1226" s="614"/>
      <c r="AB1226" s="614"/>
      <c r="AC1226" s="614"/>
      <c r="AJ1226" s="614"/>
      <c r="AK1226" s="614"/>
      <c r="AL1226" s="614"/>
      <c r="AM1226" s="614"/>
      <c r="AN1226" s="614"/>
      <c r="AO1226" s="614"/>
      <c r="AP1226" s="616"/>
      <c r="AQ1226" s="616"/>
      <c r="AR1226" s="616"/>
      <c r="AS1226" s="614"/>
      <c r="AT1226" s="614"/>
      <c r="AU1226" s="614"/>
      <c r="AV1226" s="614"/>
      <c r="AW1226" s="614"/>
      <c r="AX1226" s="614"/>
    </row>
    <row r="1227" spans="1:50" x14ac:dyDescent="0.25">
      <c r="A1227" s="612"/>
      <c r="B1227" s="612"/>
      <c r="C1227" s="613"/>
      <c r="D1227" s="612"/>
      <c r="E1227" s="612"/>
      <c r="F1227" s="613"/>
      <c r="G1227" s="612"/>
      <c r="H1227" s="612"/>
      <c r="I1227" s="735"/>
      <c r="J1227" s="612"/>
      <c r="K1227" s="613"/>
      <c r="L1227" s="614"/>
      <c r="M1227" s="614"/>
      <c r="N1227" s="614"/>
      <c r="O1227" s="614"/>
      <c r="P1227" s="614"/>
      <c r="Q1227" s="614"/>
      <c r="R1227" s="614"/>
      <c r="S1227" s="614"/>
      <c r="T1227" s="614"/>
      <c r="U1227" s="614"/>
      <c r="V1227" s="614"/>
      <c r="W1227" s="614"/>
      <c r="X1227" s="614"/>
      <c r="Y1227" s="614"/>
      <c r="Z1227" s="614"/>
      <c r="AA1227" s="614"/>
      <c r="AB1227" s="614"/>
      <c r="AC1227" s="614"/>
      <c r="AJ1227" s="614"/>
      <c r="AK1227" s="614"/>
      <c r="AL1227" s="614"/>
      <c r="AM1227" s="614"/>
      <c r="AN1227" s="614"/>
      <c r="AO1227" s="614"/>
      <c r="AP1227" s="616"/>
      <c r="AQ1227" s="616"/>
      <c r="AR1227" s="616"/>
      <c r="AS1227" s="614"/>
      <c r="AT1227" s="614"/>
      <c r="AU1227" s="614"/>
      <c r="AV1227" s="614"/>
      <c r="AW1227" s="614"/>
      <c r="AX1227" s="614"/>
    </row>
    <row r="1228" spans="1:50" x14ac:dyDescent="0.25">
      <c r="A1228" s="612"/>
      <c r="B1228" s="612"/>
      <c r="C1228" s="613"/>
      <c r="D1228" s="612"/>
      <c r="E1228" s="612"/>
      <c r="F1228" s="613"/>
      <c r="G1228" s="612"/>
      <c r="H1228" s="612"/>
      <c r="I1228" s="735"/>
      <c r="J1228" s="612"/>
      <c r="K1228" s="613"/>
      <c r="L1228" s="614"/>
      <c r="M1228" s="614"/>
      <c r="N1228" s="614"/>
      <c r="O1228" s="614"/>
      <c r="P1228" s="614"/>
      <c r="Q1228" s="614"/>
      <c r="R1228" s="614"/>
      <c r="S1228" s="614"/>
      <c r="T1228" s="614"/>
      <c r="U1228" s="614"/>
      <c r="V1228" s="614"/>
      <c r="W1228" s="614"/>
      <c r="X1228" s="614"/>
      <c r="Y1228" s="614"/>
      <c r="Z1228" s="614"/>
      <c r="AA1228" s="614"/>
      <c r="AB1228" s="614"/>
      <c r="AC1228" s="614"/>
      <c r="AJ1228" s="614"/>
      <c r="AK1228" s="614"/>
      <c r="AL1228" s="614"/>
      <c r="AM1228" s="614"/>
      <c r="AN1228" s="614"/>
      <c r="AO1228" s="614"/>
      <c r="AP1228" s="616"/>
      <c r="AQ1228" s="616"/>
      <c r="AR1228" s="616"/>
      <c r="AS1228" s="614"/>
      <c r="AT1228" s="614"/>
      <c r="AU1228" s="614"/>
      <c r="AV1228" s="614"/>
      <c r="AW1228" s="614"/>
      <c r="AX1228" s="614"/>
    </row>
    <row r="1229" spans="1:50" x14ac:dyDescent="0.25">
      <c r="A1229" s="612"/>
      <c r="B1229" s="612"/>
      <c r="C1229" s="613"/>
      <c r="D1229" s="612"/>
      <c r="E1229" s="612"/>
      <c r="F1229" s="613"/>
      <c r="G1229" s="612"/>
      <c r="H1229" s="612"/>
      <c r="I1229" s="735"/>
      <c r="J1229" s="612"/>
      <c r="K1229" s="613"/>
      <c r="L1229" s="614"/>
      <c r="M1229" s="614"/>
      <c r="N1229" s="614"/>
      <c r="O1229" s="614"/>
      <c r="P1229" s="614"/>
      <c r="Q1229" s="614"/>
      <c r="R1229" s="614"/>
      <c r="S1229" s="614"/>
      <c r="T1229" s="614"/>
      <c r="U1229" s="614"/>
      <c r="V1229" s="614"/>
      <c r="W1229" s="614"/>
      <c r="X1229" s="614"/>
      <c r="Y1229" s="614"/>
      <c r="Z1229" s="614"/>
      <c r="AA1229" s="614"/>
      <c r="AB1229" s="614"/>
      <c r="AC1229" s="614"/>
      <c r="AJ1229" s="614"/>
      <c r="AK1229" s="614"/>
      <c r="AL1229" s="614"/>
      <c r="AM1229" s="614"/>
      <c r="AN1229" s="614"/>
      <c r="AO1229" s="614"/>
      <c r="AP1229" s="616"/>
      <c r="AQ1229" s="616"/>
      <c r="AR1229" s="616"/>
      <c r="AS1229" s="614"/>
      <c r="AT1229" s="614"/>
      <c r="AU1229" s="614"/>
      <c r="AV1229" s="614"/>
      <c r="AW1229" s="614"/>
      <c r="AX1229" s="614"/>
    </row>
    <row r="1230" spans="1:50" x14ac:dyDescent="0.25">
      <c r="A1230" s="612"/>
      <c r="B1230" s="612"/>
      <c r="C1230" s="613"/>
      <c r="D1230" s="612"/>
      <c r="E1230" s="612"/>
      <c r="F1230" s="613"/>
      <c r="G1230" s="612"/>
      <c r="H1230" s="612"/>
      <c r="I1230" s="735"/>
      <c r="J1230" s="612"/>
      <c r="K1230" s="613"/>
      <c r="L1230" s="614"/>
      <c r="M1230" s="614"/>
      <c r="N1230" s="614"/>
      <c r="O1230" s="614"/>
      <c r="P1230" s="614"/>
      <c r="Q1230" s="614"/>
      <c r="R1230" s="614"/>
      <c r="S1230" s="614"/>
      <c r="T1230" s="614"/>
      <c r="U1230" s="614"/>
      <c r="V1230" s="614"/>
      <c r="W1230" s="614"/>
      <c r="X1230" s="614"/>
      <c r="Y1230" s="614"/>
      <c r="Z1230" s="614"/>
      <c r="AA1230" s="614"/>
      <c r="AB1230" s="614"/>
      <c r="AC1230" s="614"/>
      <c r="AJ1230" s="614"/>
      <c r="AK1230" s="614"/>
      <c r="AL1230" s="614"/>
      <c r="AM1230" s="614"/>
      <c r="AN1230" s="614"/>
      <c r="AO1230" s="614"/>
      <c r="AP1230" s="616"/>
      <c r="AQ1230" s="616"/>
      <c r="AR1230" s="616"/>
      <c r="AS1230" s="614"/>
      <c r="AT1230" s="614"/>
      <c r="AU1230" s="614"/>
      <c r="AV1230" s="614"/>
      <c r="AW1230" s="614"/>
      <c r="AX1230" s="614"/>
    </row>
    <row r="1231" spans="1:50" x14ac:dyDescent="0.25">
      <c r="A1231" s="612"/>
      <c r="B1231" s="612"/>
      <c r="C1231" s="613"/>
      <c r="D1231" s="612"/>
      <c r="E1231" s="612"/>
      <c r="F1231" s="613"/>
      <c r="G1231" s="612"/>
      <c r="H1231" s="612"/>
      <c r="I1231" s="735"/>
      <c r="J1231" s="612"/>
      <c r="K1231" s="613"/>
      <c r="L1231" s="614"/>
      <c r="M1231" s="614"/>
      <c r="N1231" s="614"/>
      <c r="O1231" s="614"/>
      <c r="P1231" s="614"/>
      <c r="Q1231" s="614"/>
      <c r="R1231" s="614"/>
      <c r="S1231" s="614"/>
      <c r="T1231" s="614"/>
      <c r="U1231" s="614"/>
      <c r="V1231" s="614"/>
      <c r="W1231" s="614"/>
      <c r="X1231" s="614"/>
      <c r="Y1231" s="614"/>
      <c r="Z1231" s="614"/>
      <c r="AA1231" s="614"/>
      <c r="AB1231" s="614"/>
      <c r="AC1231" s="614"/>
      <c r="AJ1231" s="614"/>
      <c r="AK1231" s="614"/>
      <c r="AL1231" s="614"/>
      <c r="AM1231" s="614"/>
      <c r="AN1231" s="614"/>
      <c r="AO1231" s="614"/>
      <c r="AP1231" s="616"/>
      <c r="AQ1231" s="616"/>
      <c r="AR1231" s="616"/>
      <c r="AS1231" s="614"/>
      <c r="AT1231" s="614"/>
      <c r="AU1231" s="614"/>
      <c r="AV1231" s="614"/>
      <c r="AW1231" s="614"/>
      <c r="AX1231" s="614"/>
    </row>
    <row r="1232" spans="1:50" x14ac:dyDescent="0.25">
      <c r="A1232" s="612"/>
      <c r="B1232" s="612"/>
      <c r="C1232" s="613"/>
      <c r="D1232" s="612"/>
      <c r="E1232" s="612"/>
      <c r="F1232" s="613"/>
      <c r="G1232" s="612"/>
      <c r="H1232" s="612"/>
      <c r="I1232" s="735"/>
      <c r="J1232" s="612"/>
      <c r="K1232" s="613"/>
      <c r="L1232" s="614"/>
      <c r="M1232" s="614"/>
      <c r="N1232" s="614"/>
      <c r="O1232" s="614"/>
      <c r="P1232" s="614"/>
      <c r="Q1232" s="614"/>
      <c r="R1232" s="614"/>
      <c r="S1232" s="614"/>
      <c r="T1232" s="614"/>
      <c r="U1232" s="614"/>
      <c r="V1232" s="614"/>
      <c r="W1232" s="614"/>
      <c r="X1232" s="614"/>
      <c r="Y1232" s="614"/>
      <c r="Z1232" s="614"/>
      <c r="AA1232" s="614"/>
      <c r="AB1232" s="614"/>
      <c r="AC1232" s="614"/>
      <c r="AJ1232" s="614"/>
      <c r="AK1232" s="614"/>
      <c r="AL1232" s="614"/>
      <c r="AM1232" s="614"/>
      <c r="AN1232" s="614"/>
      <c r="AO1232" s="614"/>
      <c r="AP1232" s="616"/>
      <c r="AQ1232" s="616"/>
      <c r="AR1232" s="616"/>
      <c r="AS1232" s="614"/>
      <c r="AT1232" s="614"/>
      <c r="AU1232" s="614"/>
      <c r="AV1232" s="614"/>
      <c r="AW1232" s="614"/>
      <c r="AX1232" s="614"/>
    </row>
    <row r="1233" spans="1:50" x14ac:dyDescent="0.25">
      <c r="A1233" s="612"/>
      <c r="B1233" s="612"/>
      <c r="C1233" s="613"/>
      <c r="D1233" s="612"/>
      <c r="E1233" s="612"/>
      <c r="F1233" s="613"/>
      <c r="G1233" s="612"/>
      <c r="H1233" s="612"/>
      <c r="I1233" s="735"/>
      <c r="J1233" s="612"/>
      <c r="K1233" s="613"/>
      <c r="L1233" s="614"/>
      <c r="M1233" s="614"/>
      <c r="N1233" s="614"/>
      <c r="O1233" s="614"/>
      <c r="P1233" s="614"/>
      <c r="Q1233" s="614"/>
      <c r="R1233" s="614"/>
      <c r="S1233" s="614"/>
      <c r="T1233" s="614"/>
      <c r="U1233" s="614"/>
      <c r="V1233" s="614"/>
      <c r="W1233" s="614"/>
      <c r="X1233" s="614"/>
      <c r="Y1233" s="614"/>
      <c r="Z1233" s="614"/>
      <c r="AA1233" s="614"/>
      <c r="AB1233" s="614"/>
      <c r="AC1233" s="614"/>
      <c r="AJ1233" s="614"/>
      <c r="AK1233" s="614"/>
      <c r="AL1233" s="614"/>
      <c r="AM1233" s="614"/>
      <c r="AN1233" s="614"/>
      <c r="AO1233" s="614"/>
      <c r="AP1233" s="616"/>
      <c r="AQ1233" s="616"/>
      <c r="AR1233" s="616"/>
      <c r="AS1233" s="614"/>
      <c r="AT1233" s="614"/>
      <c r="AU1233" s="614"/>
      <c r="AV1233" s="614"/>
      <c r="AW1233" s="614"/>
      <c r="AX1233" s="614"/>
    </row>
    <row r="1234" spans="1:50" x14ac:dyDescent="0.25">
      <c r="A1234" s="612"/>
      <c r="B1234" s="612"/>
      <c r="C1234" s="613"/>
      <c r="D1234" s="612"/>
      <c r="E1234" s="612"/>
      <c r="F1234" s="613"/>
      <c r="G1234" s="612"/>
      <c r="H1234" s="612"/>
      <c r="I1234" s="735"/>
      <c r="J1234" s="612"/>
      <c r="K1234" s="613"/>
      <c r="L1234" s="614"/>
      <c r="M1234" s="614"/>
      <c r="N1234" s="614"/>
      <c r="O1234" s="614"/>
      <c r="P1234" s="614"/>
      <c r="Q1234" s="614"/>
      <c r="R1234" s="614"/>
      <c r="S1234" s="614"/>
      <c r="T1234" s="614"/>
      <c r="U1234" s="614"/>
      <c r="V1234" s="614"/>
      <c r="W1234" s="614"/>
      <c r="X1234" s="614"/>
      <c r="Y1234" s="614"/>
      <c r="Z1234" s="614"/>
      <c r="AA1234" s="614"/>
      <c r="AB1234" s="614"/>
      <c r="AC1234" s="614"/>
      <c r="AJ1234" s="614"/>
      <c r="AK1234" s="614"/>
      <c r="AL1234" s="614"/>
      <c r="AM1234" s="614"/>
      <c r="AN1234" s="614"/>
      <c r="AO1234" s="614"/>
      <c r="AP1234" s="616"/>
      <c r="AQ1234" s="616"/>
      <c r="AR1234" s="616"/>
      <c r="AS1234" s="614"/>
      <c r="AT1234" s="614"/>
      <c r="AU1234" s="614"/>
      <c r="AV1234" s="614"/>
      <c r="AW1234" s="614"/>
      <c r="AX1234" s="614"/>
    </row>
    <row r="1235" spans="1:50" x14ac:dyDescent="0.25">
      <c r="A1235" s="612"/>
      <c r="B1235" s="612"/>
      <c r="C1235" s="613"/>
      <c r="D1235" s="612"/>
      <c r="E1235" s="612"/>
      <c r="F1235" s="613"/>
      <c r="G1235" s="612"/>
      <c r="H1235" s="612"/>
      <c r="I1235" s="735"/>
      <c r="J1235" s="612"/>
      <c r="K1235" s="613"/>
      <c r="L1235" s="614"/>
      <c r="M1235" s="614"/>
      <c r="N1235" s="614"/>
      <c r="O1235" s="614"/>
      <c r="P1235" s="614"/>
      <c r="Q1235" s="614"/>
      <c r="R1235" s="614"/>
      <c r="S1235" s="614"/>
      <c r="T1235" s="614"/>
      <c r="U1235" s="614"/>
      <c r="V1235" s="614"/>
      <c r="W1235" s="614"/>
      <c r="X1235" s="614"/>
      <c r="Y1235" s="614"/>
      <c r="Z1235" s="614"/>
      <c r="AA1235" s="614"/>
      <c r="AB1235" s="614"/>
      <c r="AC1235" s="614"/>
      <c r="AJ1235" s="614"/>
      <c r="AK1235" s="614"/>
      <c r="AL1235" s="614"/>
      <c r="AM1235" s="614"/>
      <c r="AN1235" s="614"/>
      <c r="AO1235" s="614"/>
      <c r="AP1235" s="616"/>
      <c r="AQ1235" s="616"/>
      <c r="AR1235" s="616"/>
      <c r="AS1235" s="614"/>
      <c r="AT1235" s="614"/>
      <c r="AU1235" s="614"/>
      <c r="AV1235" s="614"/>
      <c r="AW1235" s="614"/>
      <c r="AX1235" s="614"/>
    </row>
  </sheetData>
  <sheetProtection algorithmName="SHA-512" hashValue="K4u4Hb3gXCmStDqB3WtsP2G7uXqVzHqtfrjyiE4K4lY2o05YmuoWR64Hw95muRjso+qaqImj+b+fwGTVE6JYWQ==" saltValue="SvAJ1tilMj6AtK/ork1r9g==" spinCount="100000" sheet="1" objects="1" scenarios="1"/>
  <mergeCells count="189">
    <mergeCell ref="H502:H505"/>
    <mergeCell ref="I502:I505"/>
    <mergeCell ref="J502:J505"/>
    <mergeCell ref="H514:H515"/>
    <mergeCell ref="I514:I515"/>
    <mergeCell ref="J514:J515"/>
    <mergeCell ref="E491:E492"/>
    <mergeCell ref="H491:H492"/>
    <mergeCell ref="I491:I492"/>
    <mergeCell ref="J491:J492"/>
    <mergeCell ref="E496:E497"/>
    <mergeCell ref="H496:H498"/>
    <mergeCell ref="I496:I498"/>
    <mergeCell ref="J496:J498"/>
    <mergeCell ref="A649:F649"/>
    <mergeCell ref="C623:D623"/>
    <mergeCell ref="I629:I632"/>
    <mergeCell ref="J629:J632"/>
    <mergeCell ref="I642:I643"/>
    <mergeCell ref="J642:J643"/>
    <mergeCell ref="A648:E648"/>
    <mergeCell ref="B602:B610"/>
    <mergeCell ref="E603:E605"/>
    <mergeCell ref="I603:I605"/>
    <mergeCell ref="J603:J605"/>
    <mergeCell ref="B614:B616"/>
    <mergeCell ref="B622:D622"/>
    <mergeCell ref="A577:F577"/>
    <mergeCell ref="I582:I583"/>
    <mergeCell ref="J582:J583"/>
    <mergeCell ref="E595:E597"/>
    <mergeCell ref="I595:I597"/>
    <mergeCell ref="J595:J597"/>
    <mergeCell ref="E547:E548"/>
    <mergeCell ref="H547:H548"/>
    <mergeCell ref="I547:I548"/>
    <mergeCell ref="J547:J548"/>
    <mergeCell ref="E552:E553"/>
    <mergeCell ref="H552:H553"/>
    <mergeCell ref="I552:I553"/>
    <mergeCell ref="J552:J553"/>
    <mergeCell ref="A576:D576"/>
    <mergeCell ref="H479:H480"/>
    <mergeCell ref="I479:I480"/>
    <mergeCell ref="J479:J480"/>
    <mergeCell ref="H486:H487"/>
    <mergeCell ref="I486:I487"/>
    <mergeCell ref="J486:J487"/>
    <mergeCell ref="E471:E473"/>
    <mergeCell ref="H471:H473"/>
    <mergeCell ref="I471:I473"/>
    <mergeCell ref="J471:J473"/>
    <mergeCell ref="H477:H478"/>
    <mergeCell ref="I477:I478"/>
    <mergeCell ref="J477:J478"/>
    <mergeCell ref="H458:H461"/>
    <mergeCell ref="I458:I461"/>
    <mergeCell ref="J458:J461"/>
    <mergeCell ref="H465:H467"/>
    <mergeCell ref="I465:I467"/>
    <mergeCell ref="J465:J467"/>
    <mergeCell ref="H445:H447"/>
    <mergeCell ref="I445:I447"/>
    <mergeCell ref="J445:J447"/>
    <mergeCell ref="E453:E454"/>
    <mergeCell ref="H453:H454"/>
    <mergeCell ref="I453:I454"/>
    <mergeCell ref="J453:J454"/>
    <mergeCell ref="H383:H384"/>
    <mergeCell ref="I383:I384"/>
    <mergeCell ref="J383:J384"/>
    <mergeCell ref="H432:H435"/>
    <mergeCell ref="I432:I435"/>
    <mergeCell ref="J432:J435"/>
    <mergeCell ref="H353:H354"/>
    <mergeCell ref="I353:I354"/>
    <mergeCell ref="J353:J354"/>
    <mergeCell ref="H366:H367"/>
    <mergeCell ref="I366:I367"/>
    <mergeCell ref="J366:J367"/>
    <mergeCell ref="H325:H330"/>
    <mergeCell ref="I325:I330"/>
    <mergeCell ref="J325:J330"/>
    <mergeCell ref="H344:H346"/>
    <mergeCell ref="I344:I346"/>
    <mergeCell ref="J344:J346"/>
    <mergeCell ref="C296:G296"/>
    <mergeCell ref="H308:H310"/>
    <mergeCell ref="I308:I310"/>
    <mergeCell ref="J308:J310"/>
    <mergeCell ref="H314:H315"/>
    <mergeCell ref="I314:I315"/>
    <mergeCell ref="J314:J315"/>
    <mergeCell ref="C269:D269"/>
    <mergeCell ref="H272:H273"/>
    <mergeCell ref="I272:I273"/>
    <mergeCell ref="J272:J273"/>
    <mergeCell ref="H281:H282"/>
    <mergeCell ref="I281:I282"/>
    <mergeCell ref="J281:J282"/>
    <mergeCell ref="H255:H257"/>
    <mergeCell ref="I255:I257"/>
    <mergeCell ref="J255:J257"/>
    <mergeCell ref="H261:H263"/>
    <mergeCell ref="I261:I263"/>
    <mergeCell ref="J261:J263"/>
    <mergeCell ref="H244:H245"/>
    <mergeCell ref="I244:I245"/>
    <mergeCell ref="J244:J245"/>
    <mergeCell ref="H246:H247"/>
    <mergeCell ref="I246:I247"/>
    <mergeCell ref="J246:J247"/>
    <mergeCell ref="H213:H214"/>
    <mergeCell ref="I213:I214"/>
    <mergeCell ref="J213:J214"/>
    <mergeCell ref="H234:H236"/>
    <mergeCell ref="I234:I236"/>
    <mergeCell ref="J234:J236"/>
    <mergeCell ref="H202:H203"/>
    <mergeCell ref="I202:I203"/>
    <mergeCell ref="J202:J203"/>
    <mergeCell ref="E207:E209"/>
    <mergeCell ref="H207:H209"/>
    <mergeCell ref="I207:I209"/>
    <mergeCell ref="J207:J209"/>
    <mergeCell ref="H171:H173"/>
    <mergeCell ref="I171:I173"/>
    <mergeCell ref="J171:J173"/>
    <mergeCell ref="H191:H192"/>
    <mergeCell ref="I191:I192"/>
    <mergeCell ref="J191:J192"/>
    <mergeCell ref="H132:H135"/>
    <mergeCell ref="I132:I135"/>
    <mergeCell ref="J132:J135"/>
    <mergeCell ref="H153:H156"/>
    <mergeCell ref="I153:I156"/>
    <mergeCell ref="J153:J156"/>
    <mergeCell ref="H117:H121"/>
    <mergeCell ref="I117:I121"/>
    <mergeCell ref="J117:J121"/>
    <mergeCell ref="H125:H126"/>
    <mergeCell ref="I125:I126"/>
    <mergeCell ref="J125:J126"/>
    <mergeCell ref="H104:H106"/>
    <mergeCell ref="I104:I106"/>
    <mergeCell ref="J104:J106"/>
    <mergeCell ref="H110:H111"/>
    <mergeCell ref="I110:I111"/>
    <mergeCell ref="J110:J111"/>
    <mergeCell ref="C59:D59"/>
    <mergeCell ref="H61:H63"/>
    <mergeCell ref="I61:I63"/>
    <mergeCell ref="J61:J63"/>
    <mergeCell ref="I78:I81"/>
    <mergeCell ref="J78:J81"/>
    <mergeCell ref="C37:D37"/>
    <mergeCell ref="H40:H41"/>
    <mergeCell ref="I40:I41"/>
    <mergeCell ref="J40:J41"/>
    <mergeCell ref="H45:H51"/>
    <mergeCell ref="I45:I51"/>
    <mergeCell ref="J45:J51"/>
    <mergeCell ref="H12:H13"/>
    <mergeCell ref="I12:I13"/>
    <mergeCell ref="J12:J13"/>
    <mergeCell ref="A1:AY4"/>
    <mergeCell ref="AY5:BA5"/>
    <mergeCell ref="AV5:AX5"/>
    <mergeCell ref="AS5:AU5"/>
    <mergeCell ref="AP5:AR5"/>
    <mergeCell ref="AM5:AO5"/>
    <mergeCell ref="AJ5:AL5"/>
    <mergeCell ref="AG5:AI5"/>
    <mergeCell ref="AD5:AF5"/>
    <mergeCell ref="AA5:AC5"/>
    <mergeCell ref="X5:Z5"/>
    <mergeCell ref="U5:W5"/>
    <mergeCell ref="R5:T5"/>
    <mergeCell ref="L5:N5"/>
    <mergeCell ref="O5:Q5"/>
    <mergeCell ref="K5:K6"/>
    <mergeCell ref="J5:J6"/>
    <mergeCell ref="I5:I6"/>
    <mergeCell ref="H5:H6"/>
    <mergeCell ref="F5:G6"/>
    <mergeCell ref="E5:E6"/>
    <mergeCell ref="A5:A6"/>
    <mergeCell ref="B5:B6"/>
    <mergeCell ref="C5:D6"/>
  </mergeCells>
  <conditionalFormatting sqref="E335">
    <cfRule type="duplicateValues" dxfId="2" priority="3"/>
  </conditionalFormatting>
  <conditionalFormatting sqref="E320">
    <cfRule type="duplicateValues" dxfId="1" priority="2"/>
  </conditionalFormatting>
  <conditionalFormatting sqref="E427">
    <cfRule type="duplicateValues" dxfId="0" priority="1"/>
  </conditionalFormatting>
  <pageMargins left="0.7" right="0.7" top="0.75" bottom="0.75" header="0.3" footer="0.3"/>
  <pageSetup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70" zoomScaleNormal="70" workbookViewId="0">
      <selection activeCell="B25" sqref="B25"/>
    </sheetView>
  </sheetViews>
  <sheetFormatPr baseColWidth="10" defaultRowHeight="12.75" x14ac:dyDescent="0.2"/>
  <cols>
    <col min="1" max="1" width="13.28515625" style="743" customWidth="1"/>
    <col min="2" max="2" width="32.140625" style="772" customWidth="1"/>
    <col min="3" max="3" width="20.7109375" style="773" customWidth="1"/>
    <col min="4" max="4" width="10.42578125" style="773" customWidth="1"/>
    <col min="5" max="5" width="21.85546875" style="773" customWidth="1"/>
    <col min="6" max="6" width="11.7109375" style="773" customWidth="1"/>
    <col min="7" max="7" width="19.28515625" style="773" customWidth="1"/>
    <col min="8" max="8" width="12.28515625" style="773" customWidth="1"/>
    <col min="9" max="9" width="19.42578125" style="773" customWidth="1"/>
    <col min="10" max="10" width="10.28515625" style="773" customWidth="1"/>
    <col min="11" max="11" width="19.140625" style="773" customWidth="1"/>
    <col min="12" max="12" width="10.42578125" style="773" customWidth="1"/>
    <col min="13" max="13" width="21.140625" style="773" customWidth="1"/>
    <col min="14" max="14" width="11.7109375" style="743" customWidth="1"/>
    <col min="15" max="256" width="11.42578125" style="743"/>
    <col min="257" max="257" width="13.28515625" style="743" customWidth="1"/>
    <col min="258" max="258" width="32.140625" style="743" customWidth="1"/>
    <col min="259" max="259" width="20.7109375" style="743" customWidth="1"/>
    <col min="260" max="260" width="10.42578125" style="743" customWidth="1"/>
    <col min="261" max="261" width="18.5703125" style="743" customWidth="1"/>
    <col min="262" max="262" width="11.7109375" style="743" customWidth="1"/>
    <col min="263" max="263" width="19.28515625" style="743" customWidth="1"/>
    <col min="264" max="264" width="10.28515625" style="743" customWidth="1"/>
    <col min="265" max="265" width="19.42578125" style="743" customWidth="1"/>
    <col min="266" max="266" width="10.28515625" style="743" customWidth="1"/>
    <col min="267" max="267" width="19.5703125" style="743" customWidth="1"/>
    <col min="268" max="268" width="10.42578125" style="743" customWidth="1"/>
    <col min="269" max="269" width="21.140625" style="743" customWidth="1"/>
    <col min="270" max="270" width="11.7109375" style="743" customWidth="1"/>
    <col min="271" max="512" width="11.42578125" style="743"/>
    <col min="513" max="513" width="13.28515625" style="743" customWidth="1"/>
    <col min="514" max="514" width="32.140625" style="743" customWidth="1"/>
    <col min="515" max="515" width="20.7109375" style="743" customWidth="1"/>
    <col min="516" max="516" width="10.42578125" style="743" customWidth="1"/>
    <col min="517" max="517" width="18.5703125" style="743" customWidth="1"/>
    <col min="518" max="518" width="11.7109375" style="743" customWidth="1"/>
    <col min="519" max="519" width="19.28515625" style="743" customWidth="1"/>
    <col min="520" max="520" width="10.28515625" style="743" customWidth="1"/>
    <col min="521" max="521" width="19.42578125" style="743" customWidth="1"/>
    <col min="522" max="522" width="10.28515625" style="743" customWidth="1"/>
    <col min="523" max="523" width="19.5703125" style="743" customWidth="1"/>
    <col min="524" max="524" width="10.42578125" style="743" customWidth="1"/>
    <col min="525" max="525" width="21.140625" style="743" customWidth="1"/>
    <col min="526" max="526" width="11.7109375" style="743" customWidth="1"/>
    <col min="527" max="768" width="11.42578125" style="743"/>
    <col min="769" max="769" width="13.28515625" style="743" customWidth="1"/>
    <col min="770" max="770" width="32.140625" style="743" customWidth="1"/>
    <col min="771" max="771" width="20.7109375" style="743" customWidth="1"/>
    <col min="772" max="772" width="10.42578125" style="743" customWidth="1"/>
    <col min="773" max="773" width="18.5703125" style="743" customWidth="1"/>
    <col min="774" max="774" width="11.7109375" style="743" customWidth="1"/>
    <col min="775" max="775" width="19.28515625" style="743" customWidth="1"/>
    <col min="776" max="776" width="10.28515625" style="743" customWidth="1"/>
    <col min="777" max="777" width="19.42578125" style="743" customWidth="1"/>
    <col min="778" max="778" width="10.28515625" style="743" customWidth="1"/>
    <col min="779" max="779" width="19.5703125" style="743" customWidth="1"/>
    <col min="780" max="780" width="10.42578125" style="743" customWidth="1"/>
    <col min="781" max="781" width="21.140625" style="743" customWidth="1"/>
    <col min="782" max="782" width="11.7109375" style="743" customWidth="1"/>
    <col min="783" max="1024" width="11.42578125" style="743"/>
    <col min="1025" max="1025" width="13.28515625" style="743" customWidth="1"/>
    <col min="1026" max="1026" width="32.140625" style="743" customWidth="1"/>
    <col min="1027" max="1027" width="20.7109375" style="743" customWidth="1"/>
    <col min="1028" max="1028" width="10.42578125" style="743" customWidth="1"/>
    <col min="1029" max="1029" width="18.5703125" style="743" customWidth="1"/>
    <col min="1030" max="1030" width="11.7109375" style="743" customWidth="1"/>
    <col min="1031" max="1031" width="19.28515625" style="743" customWidth="1"/>
    <col min="1032" max="1032" width="10.28515625" style="743" customWidth="1"/>
    <col min="1033" max="1033" width="19.42578125" style="743" customWidth="1"/>
    <col min="1034" max="1034" width="10.28515625" style="743" customWidth="1"/>
    <col min="1035" max="1035" width="19.5703125" style="743" customWidth="1"/>
    <col min="1036" max="1036" width="10.42578125" style="743" customWidth="1"/>
    <col min="1037" max="1037" width="21.140625" style="743" customWidth="1"/>
    <col min="1038" max="1038" width="11.7109375" style="743" customWidth="1"/>
    <col min="1039" max="1280" width="11.42578125" style="743"/>
    <col min="1281" max="1281" width="13.28515625" style="743" customWidth="1"/>
    <col min="1282" max="1282" width="32.140625" style="743" customWidth="1"/>
    <col min="1283" max="1283" width="20.7109375" style="743" customWidth="1"/>
    <col min="1284" max="1284" width="10.42578125" style="743" customWidth="1"/>
    <col min="1285" max="1285" width="18.5703125" style="743" customWidth="1"/>
    <col min="1286" max="1286" width="11.7109375" style="743" customWidth="1"/>
    <col min="1287" max="1287" width="19.28515625" style="743" customWidth="1"/>
    <col min="1288" max="1288" width="10.28515625" style="743" customWidth="1"/>
    <col min="1289" max="1289" width="19.42578125" style="743" customWidth="1"/>
    <col min="1290" max="1290" width="10.28515625" style="743" customWidth="1"/>
    <col min="1291" max="1291" width="19.5703125" style="743" customWidth="1"/>
    <col min="1292" max="1292" width="10.42578125" style="743" customWidth="1"/>
    <col min="1293" max="1293" width="21.140625" style="743" customWidth="1"/>
    <col min="1294" max="1294" width="11.7109375" style="743" customWidth="1"/>
    <col min="1295" max="1536" width="11.42578125" style="743"/>
    <col min="1537" max="1537" width="13.28515625" style="743" customWidth="1"/>
    <col min="1538" max="1538" width="32.140625" style="743" customWidth="1"/>
    <col min="1539" max="1539" width="20.7109375" style="743" customWidth="1"/>
    <col min="1540" max="1540" width="10.42578125" style="743" customWidth="1"/>
    <col min="1541" max="1541" width="18.5703125" style="743" customWidth="1"/>
    <col min="1542" max="1542" width="11.7109375" style="743" customWidth="1"/>
    <col min="1543" max="1543" width="19.28515625" style="743" customWidth="1"/>
    <col min="1544" max="1544" width="10.28515625" style="743" customWidth="1"/>
    <col min="1545" max="1545" width="19.42578125" style="743" customWidth="1"/>
    <col min="1546" max="1546" width="10.28515625" style="743" customWidth="1"/>
    <col min="1547" max="1547" width="19.5703125" style="743" customWidth="1"/>
    <col min="1548" max="1548" width="10.42578125" style="743" customWidth="1"/>
    <col min="1549" max="1549" width="21.140625" style="743" customWidth="1"/>
    <col min="1550" max="1550" width="11.7109375" style="743" customWidth="1"/>
    <col min="1551" max="1792" width="11.42578125" style="743"/>
    <col min="1793" max="1793" width="13.28515625" style="743" customWidth="1"/>
    <col min="1794" max="1794" width="32.140625" style="743" customWidth="1"/>
    <col min="1795" max="1795" width="20.7109375" style="743" customWidth="1"/>
    <col min="1796" max="1796" width="10.42578125" style="743" customWidth="1"/>
    <col min="1797" max="1797" width="18.5703125" style="743" customWidth="1"/>
    <col min="1798" max="1798" width="11.7109375" style="743" customWidth="1"/>
    <col min="1799" max="1799" width="19.28515625" style="743" customWidth="1"/>
    <col min="1800" max="1800" width="10.28515625" style="743" customWidth="1"/>
    <col min="1801" max="1801" width="19.42578125" style="743" customWidth="1"/>
    <col min="1802" max="1802" width="10.28515625" style="743" customWidth="1"/>
    <col min="1803" max="1803" width="19.5703125" style="743" customWidth="1"/>
    <col min="1804" max="1804" width="10.42578125" style="743" customWidth="1"/>
    <col min="1805" max="1805" width="21.140625" style="743" customWidth="1"/>
    <col min="1806" max="1806" width="11.7109375" style="743" customWidth="1"/>
    <col min="1807" max="2048" width="11.42578125" style="743"/>
    <col min="2049" max="2049" width="13.28515625" style="743" customWidth="1"/>
    <col min="2050" max="2050" width="32.140625" style="743" customWidth="1"/>
    <col min="2051" max="2051" width="20.7109375" style="743" customWidth="1"/>
    <col min="2052" max="2052" width="10.42578125" style="743" customWidth="1"/>
    <col min="2053" max="2053" width="18.5703125" style="743" customWidth="1"/>
    <col min="2054" max="2054" width="11.7109375" style="743" customWidth="1"/>
    <col min="2055" max="2055" width="19.28515625" style="743" customWidth="1"/>
    <col min="2056" max="2056" width="10.28515625" style="743" customWidth="1"/>
    <col min="2057" max="2057" width="19.42578125" style="743" customWidth="1"/>
    <col min="2058" max="2058" width="10.28515625" style="743" customWidth="1"/>
    <col min="2059" max="2059" width="19.5703125" style="743" customWidth="1"/>
    <col min="2060" max="2060" width="10.42578125" style="743" customWidth="1"/>
    <col min="2061" max="2061" width="21.140625" style="743" customWidth="1"/>
    <col min="2062" max="2062" width="11.7109375" style="743" customWidth="1"/>
    <col min="2063" max="2304" width="11.42578125" style="743"/>
    <col min="2305" max="2305" width="13.28515625" style="743" customWidth="1"/>
    <col min="2306" max="2306" width="32.140625" style="743" customWidth="1"/>
    <col min="2307" max="2307" width="20.7109375" style="743" customWidth="1"/>
    <col min="2308" max="2308" width="10.42578125" style="743" customWidth="1"/>
    <col min="2309" max="2309" width="18.5703125" style="743" customWidth="1"/>
    <col min="2310" max="2310" width="11.7109375" style="743" customWidth="1"/>
    <col min="2311" max="2311" width="19.28515625" style="743" customWidth="1"/>
    <col min="2312" max="2312" width="10.28515625" style="743" customWidth="1"/>
    <col min="2313" max="2313" width="19.42578125" style="743" customWidth="1"/>
    <col min="2314" max="2314" width="10.28515625" style="743" customWidth="1"/>
    <col min="2315" max="2315" width="19.5703125" style="743" customWidth="1"/>
    <col min="2316" max="2316" width="10.42578125" style="743" customWidth="1"/>
    <col min="2317" max="2317" width="21.140625" style="743" customWidth="1"/>
    <col min="2318" max="2318" width="11.7109375" style="743" customWidth="1"/>
    <col min="2319" max="2560" width="11.42578125" style="743"/>
    <col min="2561" max="2561" width="13.28515625" style="743" customWidth="1"/>
    <col min="2562" max="2562" width="32.140625" style="743" customWidth="1"/>
    <col min="2563" max="2563" width="20.7109375" style="743" customWidth="1"/>
    <col min="2564" max="2564" width="10.42578125" style="743" customWidth="1"/>
    <col min="2565" max="2565" width="18.5703125" style="743" customWidth="1"/>
    <col min="2566" max="2566" width="11.7109375" style="743" customWidth="1"/>
    <col min="2567" max="2567" width="19.28515625" style="743" customWidth="1"/>
    <col min="2568" max="2568" width="10.28515625" style="743" customWidth="1"/>
    <col min="2569" max="2569" width="19.42578125" style="743" customWidth="1"/>
    <col min="2570" max="2570" width="10.28515625" style="743" customWidth="1"/>
    <col min="2571" max="2571" width="19.5703125" style="743" customWidth="1"/>
    <col min="2572" max="2572" width="10.42578125" style="743" customWidth="1"/>
    <col min="2573" max="2573" width="21.140625" style="743" customWidth="1"/>
    <col min="2574" max="2574" width="11.7109375" style="743" customWidth="1"/>
    <col min="2575" max="2816" width="11.42578125" style="743"/>
    <col min="2817" max="2817" width="13.28515625" style="743" customWidth="1"/>
    <col min="2818" max="2818" width="32.140625" style="743" customWidth="1"/>
    <col min="2819" max="2819" width="20.7109375" style="743" customWidth="1"/>
    <col min="2820" max="2820" width="10.42578125" style="743" customWidth="1"/>
    <col min="2821" max="2821" width="18.5703125" style="743" customWidth="1"/>
    <col min="2822" max="2822" width="11.7109375" style="743" customWidth="1"/>
    <col min="2823" max="2823" width="19.28515625" style="743" customWidth="1"/>
    <col min="2824" max="2824" width="10.28515625" style="743" customWidth="1"/>
    <col min="2825" max="2825" width="19.42578125" style="743" customWidth="1"/>
    <col min="2826" max="2826" width="10.28515625" style="743" customWidth="1"/>
    <col min="2827" max="2827" width="19.5703125" style="743" customWidth="1"/>
    <col min="2828" max="2828" width="10.42578125" style="743" customWidth="1"/>
    <col min="2829" max="2829" width="21.140625" style="743" customWidth="1"/>
    <col min="2830" max="2830" width="11.7109375" style="743" customWidth="1"/>
    <col min="2831" max="3072" width="11.42578125" style="743"/>
    <col min="3073" max="3073" width="13.28515625" style="743" customWidth="1"/>
    <col min="3074" max="3074" width="32.140625" style="743" customWidth="1"/>
    <col min="3075" max="3075" width="20.7109375" style="743" customWidth="1"/>
    <col min="3076" max="3076" width="10.42578125" style="743" customWidth="1"/>
    <col min="3077" max="3077" width="18.5703125" style="743" customWidth="1"/>
    <col min="3078" max="3078" width="11.7109375" style="743" customWidth="1"/>
    <col min="3079" max="3079" width="19.28515625" style="743" customWidth="1"/>
    <col min="3080" max="3080" width="10.28515625" style="743" customWidth="1"/>
    <col min="3081" max="3081" width="19.42578125" style="743" customWidth="1"/>
    <col min="3082" max="3082" width="10.28515625" style="743" customWidth="1"/>
    <col min="3083" max="3083" width="19.5703125" style="743" customWidth="1"/>
    <col min="3084" max="3084" width="10.42578125" style="743" customWidth="1"/>
    <col min="3085" max="3085" width="21.140625" style="743" customWidth="1"/>
    <col min="3086" max="3086" width="11.7109375" style="743" customWidth="1"/>
    <col min="3087" max="3328" width="11.42578125" style="743"/>
    <col min="3329" max="3329" width="13.28515625" style="743" customWidth="1"/>
    <col min="3330" max="3330" width="32.140625" style="743" customWidth="1"/>
    <col min="3331" max="3331" width="20.7109375" style="743" customWidth="1"/>
    <col min="3332" max="3332" width="10.42578125" style="743" customWidth="1"/>
    <col min="3333" max="3333" width="18.5703125" style="743" customWidth="1"/>
    <col min="3334" max="3334" width="11.7109375" style="743" customWidth="1"/>
    <col min="3335" max="3335" width="19.28515625" style="743" customWidth="1"/>
    <col min="3336" max="3336" width="10.28515625" style="743" customWidth="1"/>
    <col min="3337" max="3337" width="19.42578125" style="743" customWidth="1"/>
    <col min="3338" max="3338" width="10.28515625" style="743" customWidth="1"/>
    <col min="3339" max="3339" width="19.5703125" style="743" customWidth="1"/>
    <col min="3340" max="3340" width="10.42578125" style="743" customWidth="1"/>
    <col min="3341" max="3341" width="21.140625" style="743" customWidth="1"/>
    <col min="3342" max="3342" width="11.7109375" style="743" customWidth="1"/>
    <col min="3343" max="3584" width="11.42578125" style="743"/>
    <col min="3585" max="3585" width="13.28515625" style="743" customWidth="1"/>
    <col min="3586" max="3586" width="32.140625" style="743" customWidth="1"/>
    <col min="3587" max="3587" width="20.7109375" style="743" customWidth="1"/>
    <col min="3588" max="3588" width="10.42578125" style="743" customWidth="1"/>
    <col min="3589" max="3589" width="18.5703125" style="743" customWidth="1"/>
    <col min="3590" max="3590" width="11.7109375" style="743" customWidth="1"/>
    <col min="3591" max="3591" width="19.28515625" style="743" customWidth="1"/>
    <col min="3592" max="3592" width="10.28515625" style="743" customWidth="1"/>
    <col min="3593" max="3593" width="19.42578125" style="743" customWidth="1"/>
    <col min="3594" max="3594" width="10.28515625" style="743" customWidth="1"/>
    <col min="3595" max="3595" width="19.5703125" style="743" customWidth="1"/>
    <col min="3596" max="3596" width="10.42578125" style="743" customWidth="1"/>
    <col min="3597" max="3597" width="21.140625" style="743" customWidth="1"/>
    <col min="3598" max="3598" width="11.7109375" style="743" customWidth="1"/>
    <col min="3599" max="3840" width="11.42578125" style="743"/>
    <col min="3841" max="3841" width="13.28515625" style="743" customWidth="1"/>
    <col min="3842" max="3842" width="32.140625" style="743" customWidth="1"/>
    <col min="3843" max="3843" width="20.7109375" style="743" customWidth="1"/>
    <col min="3844" max="3844" width="10.42578125" style="743" customWidth="1"/>
    <col min="3845" max="3845" width="18.5703125" style="743" customWidth="1"/>
    <col min="3846" max="3846" width="11.7109375" style="743" customWidth="1"/>
    <col min="3847" max="3847" width="19.28515625" style="743" customWidth="1"/>
    <col min="3848" max="3848" width="10.28515625" style="743" customWidth="1"/>
    <col min="3849" max="3849" width="19.42578125" style="743" customWidth="1"/>
    <col min="3850" max="3850" width="10.28515625" style="743" customWidth="1"/>
    <col min="3851" max="3851" width="19.5703125" style="743" customWidth="1"/>
    <col min="3852" max="3852" width="10.42578125" style="743" customWidth="1"/>
    <col min="3853" max="3853" width="21.140625" style="743" customWidth="1"/>
    <col min="3854" max="3854" width="11.7109375" style="743" customWidth="1"/>
    <col min="3855" max="4096" width="11.42578125" style="743"/>
    <col min="4097" max="4097" width="13.28515625" style="743" customWidth="1"/>
    <col min="4098" max="4098" width="32.140625" style="743" customWidth="1"/>
    <col min="4099" max="4099" width="20.7109375" style="743" customWidth="1"/>
    <col min="4100" max="4100" width="10.42578125" style="743" customWidth="1"/>
    <col min="4101" max="4101" width="18.5703125" style="743" customWidth="1"/>
    <col min="4102" max="4102" width="11.7109375" style="743" customWidth="1"/>
    <col min="4103" max="4103" width="19.28515625" style="743" customWidth="1"/>
    <col min="4104" max="4104" width="10.28515625" style="743" customWidth="1"/>
    <col min="4105" max="4105" width="19.42578125" style="743" customWidth="1"/>
    <col min="4106" max="4106" width="10.28515625" style="743" customWidth="1"/>
    <col min="4107" max="4107" width="19.5703125" style="743" customWidth="1"/>
    <col min="4108" max="4108" width="10.42578125" style="743" customWidth="1"/>
    <col min="4109" max="4109" width="21.140625" style="743" customWidth="1"/>
    <col min="4110" max="4110" width="11.7109375" style="743" customWidth="1"/>
    <col min="4111" max="4352" width="11.42578125" style="743"/>
    <col min="4353" max="4353" width="13.28515625" style="743" customWidth="1"/>
    <col min="4354" max="4354" width="32.140625" style="743" customWidth="1"/>
    <col min="4355" max="4355" width="20.7109375" style="743" customWidth="1"/>
    <col min="4356" max="4356" width="10.42578125" style="743" customWidth="1"/>
    <col min="4357" max="4357" width="18.5703125" style="743" customWidth="1"/>
    <col min="4358" max="4358" width="11.7109375" style="743" customWidth="1"/>
    <col min="4359" max="4359" width="19.28515625" style="743" customWidth="1"/>
    <col min="4360" max="4360" width="10.28515625" style="743" customWidth="1"/>
    <col min="4361" max="4361" width="19.42578125" style="743" customWidth="1"/>
    <col min="4362" max="4362" width="10.28515625" style="743" customWidth="1"/>
    <col min="4363" max="4363" width="19.5703125" style="743" customWidth="1"/>
    <col min="4364" max="4364" width="10.42578125" style="743" customWidth="1"/>
    <col min="4365" max="4365" width="21.140625" style="743" customWidth="1"/>
    <col min="4366" max="4366" width="11.7109375" style="743" customWidth="1"/>
    <col min="4367" max="4608" width="11.42578125" style="743"/>
    <col min="4609" max="4609" width="13.28515625" style="743" customWidth="1"/>
    <col min="4610" max="4610" width="32.140625" style="743" customWidth="1"/>
    <col min="4611" max="4611" width="20.7109375" style="743" customWidth="1"/>
    <col min="4612" max="4612" width="10.42578125" style="743" customWidth="1"/>
    <col min="4613" max="4613" width="18.5703125" style="743" customWidth="1"/>
    <col min="4614" max="4614" width="11.7109375" style="743" customWidth="1"/>
    <col min="4615" max="4615" width="19.28515625" style="743" customWidth="1"/>
    <col min="4616" max="4616" width="10.28515625" style="743" customWidth="1"/>
    <col min="4617" max="4617" width="19.42578125" style="743" customWidth="1"/>
    <col min="4618" max="4618" width="10.28515625" style="743" customWidth="1"/>
    <col min="4619" max="4619" width="19.5703125" style="743" customWidth="1"/>
    <col min="4620" max="4620" width="10.42578125" style="743" customWidth="1"/>
    <col min="4621" max="4621" width="21.140625" style="743" customWidth="1"/>
    <col min="4622" max="4622" width="11.7109375" style="743" customWidth="1"/>
    <col min="4623" max="4864" width="11.42578125" style="743"/>
    <col min="4865" max="4865" width="13.28515625" style="743" customWidth="1"/>
    <col min="4866" max="4866" width="32.140625" style="743" customWidth="1"/>
    <col min="4867" max="4867" width="20.7109375" style="743" customWidth="1"/>
    <col min="4868" max="4868" width="10.42578125" style="743" customWidth="1"/>
    <col min="4869" max="4869" width="18.5703125" style="743" customWidth="1"/>
    <col min="4870" max="4870" width="11.7109375" style="743" customWidth="1"/>
    <col min="4871" max="4871" width="19.28515625" style="743" customWidth="1"/>
    <col min="4872" max="4872" width="10.28515625" style="743" customWidth="1"/>
    <col min="4873" max="4873" width="19.42578125" style="743" customWidth="1"/>
    <col min="4874" max="4874" width="10.28515625" style="743" customWidth="1"/>
    <col min="4875" max="4875" width="19.5703125" style="743" customWidth="1"/>
    <col min="4876" max="4876" width="10.42578125" style="743" customWidth="1"/>
    <col min="4877" max="4877" width="21.140625" style="743" customWidth="1"/>
    <col min="4878" max="4878" width="11.7109375" style="743" customWidth="1"/>
    <col min="4879" max="5120" width="11.42578125" style="743"/>
    <col min="5121" max="5121" width="13.28515625" style="743" customWidth="1"/>
    <col min="5122" max="5122" width="32.140625" style="743" customWidth="1"/>
    <col min="5123" max="5123" width="20.7109375" style="743" customWidth="1"/>
    <col min="5124" max="5124" width="10.42578125" style="743" customWidth="1"/>
    <col min="5125" max="5125" width="18.5703125" style="743" customWidth="1"/>
    <col min="5126" max="5126" width="11.7109375" style="743" customWidth="1"/>
    <col min="5127" max="5127" width="19.28515625" style="743" customWidth="1"/>
    <col min="5128" max="5128" width="10.28515625" style="743" customWidth="1"/>
    <col min="5129" max="5129" width="19.42578125" style="743" customWidth="1"/>
    <col min="5130" max="5130" width="10.28515625" style="743" customWidth="1"/>
    <col min="5131" max="5131" width="19.5703125" style="743" customWidth="1"/>
    <col min="5132" max="5132" width="10.42578125" style="743" customWidth="1"/>
    <col min="5133" max="5133" width="21.140625" style="743" customWidth="1"/>
    <col min="5134" max="5134" width="11.7109375" style="743" customWidth="1"/>
    <col min="5135" max="5376" width="11.42578125" style="743"/>
    <col min="5377" max="5377" width="13.28515625" style="743" customWidth="1"/>
    <col min="5378" max="5378" width="32.140625" style="743" customWidth="1"/>
    <col min="5379" max="5379" width="20.7109375" style="743" customWidth="1"/>
    <col min="5380" max="5380" width="10.42578125" style="743" customWidth="1"/>
    <col min="5381" max="5381" width="18.5703125" style="743" customWidth="1"/>
    <col min="5382" max="5382" width="11.7109375" style="743" customWidth="1"/>
    <col min="5383" max="5383" width="19.28515625" style="743" customWidth="1"/>
    <col min="5384" max="5384" width="10.28515625" style="743" customWidth="1"/>
    <col min="5385" max="5385" width="19.42578125" style="743" customWidth="1"/>
    <col min="5386" max="5386" width="10.28515625" style="743" customWidth="1"/>
    <col min="5387" max="5387" width="19.5703125" style="743" customWidth="1"/>
    <col min="5388" max="5388" width="10.42578125" style="743" customWidth="1"/>
    <col min="5389" max="5389" width="21.140625" style="743" customWidth="1"/>
    <col min="5390" max="5390" width="11.7109375" style="743" customWidth="1"/>
    <col min="5391" max="5632" width="11.42578125" style="743"/>
    <col min="5633" max="5633" width="13.28515625" style="743" customWidth="1"/>
    <col min="5634" max="5634" width="32.140625" style="743" customWidth="1"/>
    <col min="5635" max="5635" width="20.7109375" style="743" customWidth="1"/>
    <col min="5636" max="5636" width="10.42578125" style="743" customWidth="1"/>
    <col min="5637" max="5637" width="18.5703125" style="743" customWidth="1"/>
    <col min="5638" max="5638" width="11.7109375" style="743" customWidth="1"/>
    <col min="5639" max="5639" width="19.28515625" style="743" customWidth="1"/>
    <col min="5640" max="5640" width="10.28515625" style="743" customWidth="1"/>
    <col min="5641" max="5641" width="19.42578125" style="743" customWidth="1"/>
    <col min="5642" max="5642" width="10.28515625" style="743" customWidth="1"/>
    <col min="5643" max="5643" width="19.5703125" style="743" customWidth="1"/>
    <col min="5644" max="5644" width="10.42578125" style="743" customWidth="1"/>
    <col min="5645" max="5645" width="21.140625" style="743" customWidth="1"/>
    <col min="5646" max="5646" width="11.7109375" style="743" customWidth="1"/>
    <col min="5647" max="5888" width="11.42578125" style="743"/>
    <col min="5889" max="5889" width="13.28515625" style="743" customWidth="1"/>
    <col min="5890" max="5890" width="32.140625" style="743" customWidth="1"/>
    <col min="5891" max="5891" width="20.7109375" style="743" customWidth="1"/>
    <col min="5892" max="5892" width="10.42578125" style="743" customWidth="1"/>
    <col min="5893" max="5893" width="18.5703125" style="743" customWidth="1"/>
    <col min="5894" max="5894" width="11.7109375" style="743" customWidth="1"/>
    <col min="5895" max="5895" width="19.28515625" style="743" customWidth="1"/>
    <col min="5896" max="5896" width="10.28515625" style="743" customWidth="1"/>
    <col min="5897" max="5897" width="19.42578125" style="743" customWidth="1"/>
    <col min="5898" max="5898" width="10.28515625" style="743" customWidth="1"/>
    <col min="5899" max="5899" width="19.5703125" style="743" customWidth="1"/>
    <col min="5900" max="5900" width="10.42578125" style="743" customWidth="1"/>
    <col min="5901" max="5901" width="21.140625" style="743" customWidth="1"/>
    <col min="5902" max="5902" width="11.7109375" style="743" customWidth="1"/>
    <col min="5903" max="6144" width="11.42578125" style="743"/>
    <col min="6145" max="6145" width="13.28515625" style="743" customWidth="1"/>
    <col min="6146" max="6146" width="32.140625" style="743" customWidth="1"/>
    <col min="6147" max="6147" width="20.7109375" style="743" customWidth="1"/>
    <col min="6148" max="6148" width="10.42578125" style="743" customWidth="1"/>
    <col min="6149" max="6149" width="18.5703125" style="743" customWidth="1"/>
    <col min="6150" max="6150" width="11.7109375" style="743" customWidth="1"/>
    <col min="6151" max="6151" width="19.28515625" style="743" customWidth="1"/>
    <col min="6152" max="6152" width="10.28515625" style="743" customWidth="1"/>
    <col min="6153" max="6153" width="19.42578125" style="743" customWidth="1"/>
    <col min="6154" max="6154" width="10.28515625" style="743" customWidth="1"/>
    <col min="6155" max="6155" width="19.5703125" style="743" customWidth="1"/>
    <col min="6156" max="6156" width="10.42578125" style="743" customWidth="1"/>
    <col min="6157" max="6157" width="21.140625" style="743" customWidth="1"/>
    <col min="6158" max="6158" width="11.7109375" style="743" customWidth="1"/>
    <col min="6159" max="6400" width="11.42578125" style="743"/>
    <col min="6401" max="6401" width="13.28515625" style="743" customWidth="1"/>
    <col min="6402" max="6402" width="32.140625" style="743" customWidth="1"/>
    <col min="6403" max="6403" width="20.7109375" style="743" customWidth="1"/>
    <col min="6404" max="6404" width="10.42578125" style="743" customWidth="1"/>
    <col min="6405" max="6405" width="18.5703125" style="743" customWidth="1"/>
    <col min="6406" max="6406" width="11.7109375" style="743" customWidth="1"/>
    <col min="6407" max="6407" width="19.28515625" style="743" customWidth="1"/>
    <col min="6408" max="6408" width="10.28515625" style="743" customWidth="1"/>
    <col min="6409" max="6409" width="19.42578125" style="743" customWidth="1"/>
    <col min="6410" max="6410" width="10.28515625" style="743" customWidth="1"/>
    <col min="6411" max="6411" width="19.5703125" style="743" customWidth="1"/>
    <col min="6412" max="6412" width="10.42578125" style="743" customWidth="1"/>
    <col min="6413" max="6413" width="21.140625" style="743" customWidth="1"/>
    <col min="6414" max="6414" width="11.7109375" style="743" customWidth="1"/>
    <col min="6415" max="6656" width="11.42578125" style="743"/>
    <col min="6657" max="6657" width="13.28515625" style="743" customWidth="1"/>
    <col min="6658" max="6658" width="32.140625" style="743" customWidth="1"/>
    <col min="6659" max="6659" width="20.7109375" style="743" customWidth="1"/>
    <col min="6660" max="6660" width="10.42578125" style="743" customWidth="1"/>
    <col min="6661" max="6661" width="18.5703125" style="743" customWidth="1"/>
    <col min="6662" max="6662" width="11.7109375" style="743" customWidth="1"/>
    <col min="6663" max="6663" width="19.28515625" style="743" customWidth="1"/>
    <col min="6664" max="6664" width="10.28515625" style="743" customWidth="1"/>
    <col min="6665" max="6665" width="19.42578125" style="743" customWidth="1"/>
    <col min="6666" max="6666" width="10.28515625" style="743" customWidth="1"/>
    <col min="6667" max="6667" width="19.5703125" style="743" customWidth="1"/>
    <col min="6668" max="6668" width="10.42578125" style="743" customWidth="1"/>
    <col min="6669" max="6669" width="21.140625" style="743" customWidth="1"/>
    <col min="6670" max="6670" width="11.7109375" style="743" customWidth="1"/>
    <col min="6671" max="6912" width="11.42578125" style="743"/>
    <col min="6913" max="6913" width="13.28515625" style="743" customWidth="1"/>
    <col min="6914" max="6914" width="32.140625" style="743" customWidth="1"/>
    <col min="6915" max="6915" width="20.7109375" style="743" customWidth="1"/>
    <col min="6916" max="6916" width="10.42578125" style="743" customWidth="1"/>
    <col min="6917" max="6917" width="18.5703125" style="743" customWidth="1"/>
    <col min="6918" max="6918" width="11.7109375" style="743" customWidth="1"/>
    <col min="6919" max="6919" width="19.28515625" style="743" customWidth="1"/>
    <col min="6920" max="6920" width="10.28515625" style="743" customWidth="1"/>
    <col min="6921" max="6921" width="19.42578125" style="743" customWidth="1"/>
    <col min="6922" max="6922" width="10.28515625" style="743" customWidth="1"/>
    <col min="6923" max="6923" width="19.5703125" style="743" customWidth="1"/>
    <col min="6924" max="6924" width="10.42578125" style="743" customWidth="1"/>
    <col min="6925" max="6925" width="21.140625" style="743" customWidth="1"/>
    <col min="6926" max="6926" width="11.7109375" style="743" customWidth="1"/>
    <col min="6927" max="7168" width="11.42578125" style="743"/>
    <col min="7169" max="7169" width="13.28515625" style="743" customWidth="1"/>
    <col min="7170" max="7170" width="32.140625" style="743" customWidth="1"/>
    <col min="7171" max="7171" width="20.7109375" style="743" customWidth="1"/>
    <col min="7172" max="7172" width="10.42578125" style="743" customWidth="1"/>
    <col min="7173" max="7173" width="18.5703125" style="743" customWidth="1"/>
    <col min="7174" max="7174" width="11.7109375" style="743" customWidth="1"/>
    <col min="7175" max="7175" width="19.28515625" style="743" customWidth="1"/>
    <col min="7176" max="7176" width="10.28515625" style="743" customWidth="1"/>
    <col min="7177" max="7177" width="19.42578125" style="743" customWidth="1"/>
    <col min="7178" max="7178" width="10.28515625" style="743" customWidth="1"/>
    <col min="7179" max="7179" width="19.5703125" style="743" customWidth="1"/>
    <col min="7180" max="7180" width="10.42578125" style="743" customWidth="1"/>
    <col min="7181" max="7181" width="21.140625" style="743" customWidth="1"/>
    <col min="7182" max="7182" width="11.7109375" style="743" customWidth="1"/>
    <col min="7183" max="7424" width="11.42578125" style="743"/>
    <col min="7425" max="7425" width="13.28515625" style="743" customWidth="1"/>
    <col min="7426" max="7426" width="32.140625" style="743" customWidth="1"/>
    <col min="7427" max="7427" width="20.7109375" style="743" customWidth="1"/>
    <col min="7428" max="7428" width="10.42578125" style="743" customWidth="1"/>
    <col min="7429" max="7429" width="18.5703125" style="743" customWidth="1"/>
    <col min="7430" max="7430" width="11.7109375" style="743" customWidth="1"/>
    <col min="7431" max="7431" width="19.28515625" style="743" customWidth="1"/>
    <col min="7432" max="7432" width="10.28515625" style="743" customWidth="1"/>
    <col min="7433" max="7433" width="19.42578125" style="743" customWidth="1"/>
    <col min="7434" max="7434" width="10.28515625" style="743" customWidth="1"/>
    <col min="7435" max="7435" width="19.5703125" style="743" customWidth="1"/>
    <col min="7436" max="7436" width="10.42578125" style="743" customWidth="1"/>
    <col min="7437" max="7437" width="21.140625" style="743" customWidth="1"/>
    <col min="7438" max="7438" width="11.7109375" style="743" customWidth="1"/>
    <col min="7439" max="7680" width="11.42578125" style="743"/>
    <col min="7681" max="7681" width="13.28515625" style="743" customWidth="1"/>
    <col min="7682" max="7682" width="32.140625" style="743" customWidth="1"/>
    <col min="7683" max="7683" width="20.7109375" style="743" customWidth="1"/>
    <col min="7684" max="7684" width="10.42578125" style="743" customWidth="1"/>
    <col min="7685" max="7685" width="18.5703125" style="743" customWidth="1"/>
    <col min="7686" max="7686" width="11.7109375" style="743" customWidth="1"/>
    <col min="7687" max="7687" width="19.28515625" style="743" customWidth="1"/>
    <col min="7688" max="7688" width="10.28515625" style="743" customWidth="1"/>
    <col min="7689" max="7689" width="19.42578125" style="743" customWidth="1"/>
    <col min="7690" max="7690" width="10.28515625" style="743" customWidth="1"/>
    <col min="7691" max="7691" width="19.5703125" style="743" customWidth="1"/>
    <col min="7692" max="7692" width="10.42578125" style="743" customWidth="1"/>
    <col min="7693" max="7693" width="21.140625" style="743" customWidth="1"/>
    <col min="7694" max="7694" width="11.7109375" style="743" customWidth="1"/>
    <col min="7695" max="7936" width="11.42578125" style="743"/>
    <col min="7937" max="7937" width="13.28515625" style="743" customWidth="1"/>
    <col min="7938" max="7938" width="32.140625" style="743" customWidth="1"/>
    <col min="7939" max="7939" width="20.7109375" style="743" customWidth="1"/>
    <col min="7940" max="7940" width="10.42578125" style="743" customWidth="1"/>
    <col min="7941" max="7941" width="18.5703125" style="743" customWidth="1"/>
    <col min="7942" max="7942" width="11.7109375" style="743" customWidth="1"/>
    <col min="7943" max="7943" width="19.28515625" style="743" customWidth="1"/>
    <col min="7944" max="7944" width="10.28515625" style="743" customWidth="1"/>
    <col min="7945" max="7945" width="19.42578125" style="743" customWidth="1"/>
    <col min="7946" max="7946" width="10.28515625" style="743" customWidth="1"/>
    <col min="7947" max="7947" width="19.5703125" style="743" customWidth="1"/>
    <col min="7948" max="7948" width="10.42578125" style="743" customWidth="1"/>
    <col min="7949" max="7949" width="21.140625" style="743" customWidth="1"/>
    <col min="7950" max="7950" width="11.7109375" style="743" customWidth="1"/>
    <col min="7951" max="8192" width="11.42578125" style="743"/>
    <col min="8193" max="8193" width="13.28515625" style="743" customWidth="1"/>
    <col min="8194" max="8194" width="32.140625" style="743" customWidth="1"/>
    <col min="8195" max="8195" width="20.7109375" style="743" customWidth="1"/>
    <col min="8196" max="8196" width="10.42578125" style="743" customWidth="1"/>
    <col min="8197" max="8197" width="18.5703125" style="743" customWidth="1"/>
    <col min="8198" max="8198" width="11.7109375" style="743" customWidth="1"/>
    <col min="8199" max="8199" width="19.28515625" style="743" customWidth="1"/>
    <col min="8200" max="8200" width="10.28515625" style="743" customWidth="1"/>
    <col min="8201" max="8201" width="19.42578125" style="743" customWidth="1"/>
    <col min="8202" max="8202" width="10.28515625" style="743" customWidth="1"/>
    <col min="8203" max="8203" width="19.5703125" style="743" customWidth="1"/>
    <col min="8204" max="8204" width="10.42578125" style="743" customWidth="1"/>
    <col min="8205" max="8205" width="21.140625" style="743" customWidth="1"/>
    <col min="8206" max="8206" width="11.7109375" style="743" customWidth="1"/>
    <col min="8207" max="8448" width="11.42578125" style="743"/>
    <col min="8449" max="8449" width="13.28515625" style="743" customWidth="1"/>
    <col min="8450" max="8450" width="32.140625" style="743" customWidth="1"/>
    <col min="8451" max="8451" width="20.7109375" style="743" customWidth="1"/>
    <col min="8452" max="8452" width="10.42578125" style="743" customWidth="1"/>
    <col min="8453" max="8453" width="18.5703125" style="743" customWidth="1"/>
    <col min="8454" max="8454" width="11.7109375" style="743" customWidth="1"/>
    <col min="8455" max="8455" width="19.28515625" style="743" customWidth="1"/>
    <col min="8456" max="8456" width="10.28515625" style="743" customWidth="1"/>
    <col min="8457" max="8457" width="19.42578125" style="743" customWidth="1"/>
    <col min="8458" max="8458" width="10.28515625" style="743" customWidth="1"/>
    <col min="8459" max="8459" width="19.5703125" style="743" customWidth="1"/>
    <col min="8460" max="8460" width="10.42578125" style="743" customWidth="1"/>
    <col min="8461" max="8461" width="21.140625" style="743" customWidth="1"/>
    <col min="8462" max="8462" width="11.7109375" style="743" customWidth="1"/>
    <col min="8463" max="8704" width="11.42578125" style="743"/>
    <col min="8705" max="8705" width="13.28515625" style="743" customWidth="1"/>
    <col min="8706" max="8706" width="32.140625" style="743" customWidth="1"/>
    <col min="8707" max="8707" width="20.7109375" style="743" customWidth="1"/>
    <col min="8708" max="8708" width="10.42578125" style="743" customWidth="1"/>
    <col min="8709" max="8709" width="18.5703125" style="743" customWidth="1"/>
    <col min="8710" max="8710" width="11.7109375" style="743" customWidth="1"/>
    <col min="8711" max="8711" width="19.28515625" style="743" customWidth="1"/>
    <col min="8712" max="8712" width="10.28515625" style="743" customWidth="1"/>
    <col min="8713" max="8713" width="19.42578125" style="743" customWidth="1"/>
    <col min="8714" max="8714" width="10.28515625" style="743" customWidth="1"/>
    <col min="8715" max="8715" width="19.5703125" style="743" customWidth="1"/>
    <col min="8716" max="8716" width="10.42578125" style="743" customWidth="1"/>
    <col min="8717" max="8717" width="21.140625" style="743" customWidth="1"/>
    <col min="8718" max="8718" width="11.7109375" style="743" customWidth="1"/>
    <col min="8719" max="8960" width="11.42578125" style="743"/>
    <col min="8961" max="8961" width="13.28515625" style="743" customWidth="1"/>
    <col min="8962" max="8962" width="32.140625" style="743" customWidth="1"/>
    <col min="8963" max="8963" width="20.7109375" style="743" customWidth="1"/>
    <col min="8964" max="8964" width="10.42578125" style="743" customWidth="1"/>
    <col min="8965" max="8965" width="18.5703125" style="743" customWidth="1"/>
    <col min="8966" max="8966" width="11.7109375" style="743" customWidth="1"/>
    <col min="8967" max="8967" width="19.28515625" style="743" customWidth="1"/>
    <col min="8968" max="8968" width="10.28515625" style="743" customWidth="1"/>
    <col min="8969" max="8969" width="19.42578125" style="743" customWidth="1"/>
    <col min="8970" max="8970" width="10.28515625" style="743" customWidth="1"/>
    <col min="8971" max="8971" width="19.5703125" style="743" customWidth="1"/>
    <col min="8972" max="8972" width="10.42578125" style="743" customWidth="1"/>
    <col min="8973" max="8973" width="21.140625" style="743" customWidth="1"/>
    <col min="8974" max="8974" width="11.7109375" style="743" customWidth="1"/>
    <col min="8975" max="9216" width="11.42578125" style="743"/>
    <col min="9217" max="9217" width="13.28515625" style="743" customWidth="1"/>
    <col min="9218" max="9218" width="32.140625" style="743" customWidth="1"/>
    <col min="9219" max="9219" width="20.7109375" style="743" customWidth="1"/>
    <col min="9220" max="9220" width="10.42578125" style="743" customWidth="1"/>
    <col min="9221" max="9221" width="18.5703125" style="743" customWidth="1"/>
    <col min="9222" max="9222" width="11.7109375" style="743" customWidth="1"/>
    <col min="9223" max="9223" width="19.28515625" style="743" customWidth="1"/>
    <col min="9224" max="9224" width="10.28515625" style="743" customWidth="1"/>
    <col min="9225" max="9225" width="19.42578125" style="743" customWidth="1"/>
    <col min="9226" max="9226" width="10.28515625" style="743" customWidth="1"/>
    <col min="9227" max="9227" width="19.5703125" style="743" customWidth="1"/>
    <col min="9228" max="9228" width="10.42578125" style="743" customWidth="1"/>
    <col min="9229" max="9229" width="21.140625" style="743" customWidth="1"/>
    <col min="9230" max="9230" width="11.7109375" style="743" customWidth="1"/>
    <col min="9231" max="9472" width="11.42578125" style="743"/>
    <col min="9473" max="9473" width="13.28515625" style="743" customWidth="1"/>
    <col min="9474" max="9474" width="32.140625" style="743" customWidth="1"/>
    <col min="9475" max="9475" width="20.7109375" style="743" customWidth="1"/>
    <col min="9476" max="9476" width="10.42578125" style="743" customWidth="1"/>
    <col min="9477" max="9477" width="18.5703125" style="743" customWidth="1"/>
    <col min="9478" max="9478" width="11.7109375" style="743" customWidth="1"/>
    <col min="9479" max="9479" width="19.28515625" style="743" customWidth="1"/>
    <col min="9480" max="9480" width="10.28515625" style="743" customWidth="1"/>
    <col min="9481" max="9481" width="19.42578125" style="743" customWidth="1"/>
    <col min="9482" max="9482" width="10.28515625" style="743" customWidth="1"/>
    <col min="9483" max="9483" width="19.5703125" style="743" customWidth="1"/>
    <col min="9484" max="9484" width="10.42578125" style="743" customWidth="1"/>
    <col min="9485" max="9485" width="21.140625" style="743" customWidth="1"/>
    <col min="9486" max="9486" width="11.7109375" style="743" customWidth="1"/>
    <col min="9487" max="9728" width="11.42578125" style="743"/>
    <col min="9729" max="9729" width="13.28515625" style="743" customWidth="1"/>
    <col min="9730" max="9730" width="32.140625" style="743" customWidth="1"/>
    <col min="9731" max="9731" width="20.7109375" style="743" customWidth="1"/>
    <col min="9732" max="9732" width="10.42578125" style="743" customWidth="1"/>
    <col min="9733" max="9733" width="18.5703125" style="743" customWidth="1"/>
    <col min="9734" max="9734" width="11.7109375" style="743" customWidth="1"/>
    <col min="9735" max="9735" width="19.28515625" style="743" customWidth="1"/>
    <col min="9736" max="9736" width="10.28515625" style="743" customWidth="1"/>
    <col min="9737" max="9737" width="19.42578125" style="743" customWidth="1"/>
    <col min="9738" max="9738" width="10.28515625" style="743" customWidth="1"/>
    <col min="9739" max="9739" width="19.5703125" style="743" customWidth="1"/>
    <col min="9740" max="9740" width="10.42578125" style="743" customWidth="1"/>
    <col min="9741" max="9741" width="21.140625" style="743" customWidth="1"/>
    <col min="9742" max="9742" width="11.7109375" style="743" customWidth="1"/>
    <col min="9743" max="9984" width="11.42578125" style="743"/>
    <col min="9985" max="9985" width="13.28515625" style="743" customWidth="1"/>
    <col min="9986" max="9986" width="32.140625" style="743" customWidth="1"/>
    <col min="9987" max="9987" width="20.7109375" style="743" customWidth="1"/>
    <col min="9988" max="9988" width="10.42578125" style="743" customWidth="1"/>
    <col min="9989" max="9989" width="18.5703125" style="743" customWidth="1"/>
    <col min="9990" max="9990" width="11.7109375" style="743" customWidth="1"/>
    <col min="9991" max="9991" width="19.28515625" style="743" customWidth="1"/>
    <col min="9992" max="9992" width="10.28515625" style="743" customWidth="1"/>
    <col min="9993" max="9993" width="19.42578125" style="743" customWidth="1"/>
    <col min="9994" max="9994" width="10.28515625" style="743" customWidth="1"/>
    <col min="9995" max="9995" width="19.5703125" style="743" customWidth="1"/>
    <col min="9996" max="9996" width="10.42578125" style="743" customWidth="1"/>
    <col min="9997" max="9997" width="21.140625" style="743" customWidth="1"/>
    <col min="9998" max="9998" width="11.7109375" style="743" customWidth="1"/>
    <col min="9999" max="10240" width="11.42578125" style="743"/>
    <col min="10241" max="10241" width="13.28515625" style="743" customWidth="1"/>
    <col min="10242" max="10242" width="32.140625" style="743" customWidth="1"/>
    <col min="10243" max="10243" width="20.7109375" style="743" customWidth="1"/>
    <col min="10244" max="10244" width="10.42578125" style="743" customWidth="1"/>
    <col min="10245" max="10245" width="18.5703125" style="743" customWidth="1"/>
    <col min="10246" max="10246" width="11.7109375" style="743" customWidth="1"/>
    <col min="10247" max="10247" width="19.28515625" style="743" customWidth="1"/>
    <col min="10248" max="10248" width="10.28515625" style="743" customWidth="1"/>
    <col min="10249" max="10249" width="19.42578125" style="743" customWidth="1"/>
    <col min="10250" max="10250" width="10.28515625" style="743" customWidth="1"/>
    <col min="10251" max="10251" width="19.5703125" style="743" customWidth="1"/>
    <col min="10252" max="10252" width="10.42578125" style="743" customWidth="1"/>
    <col min="10253" max="10253" width="21.140625" style="743" customWidth="1"/>
    <col min="10254" max="10254" width="11.7109375" style="743" customWidth="1"/>
    <col min="10255" max="10496" width="11.42578125" style="743"/>
    <col min="10497" max="10497" width="13.28515625" style="743" customWidth="1"/>
    <col min="10498" max="10498" width="32.140625" style="743" customWidth="1"/>
    <col min="10499" max="10499" width="20.7109375" style="743" customWidth="1"/>
    <col min="10500" max="10500" width="10.42578125" style="743" customWidth="1"/>
    <col min="10501" max="10501" width="18.5703125" style="743" customWidth="1"/>
    <col min="10502" max="10502" width="11.7109375" style="743" customWidth="1"/>
    <col min="10503" max="10503" width="19.28515625" style="743" customWidth="1"/>
    <col min="10504" max="10504" width="10.28515625" style="743" customWidth="1"/>
    <col min="10505" max="10505" width="19.42578125" style="743" customWidth="1"/>
    <col min="10506" max="10506" width="10.28515625" style="743" customWidth="1"/>
    <col min="10507" max="10507" width="19.5703125" style="743" customWidth="1"/>
    <col min="10508" max="10508" width="10.42578125" style="743" customWidth="1"/>
    <col min="10509" max="10509" width="21.140625" style="743" customWidth="1"/>
    <col min="10510" max="10510" width="11.7109375" style="743" customWidth="1"/>
    <col min="10511" max="10752" width="11.42578125" style="743"/>
    <col min="10753" max="10753" width="13.28515625" style="743" customWidth="1"/>
    <col min="10754" max="10754" width="32.140625" style="743" customWidth="1"/>
    <col min="10755" max="10755" width="20.7109375" style="743" customWidth="1"/>
    <col min="10756" max="10756" width="10.42578125" style="743" customWidth="1"/>
    <col min="10757" max="10757" width="18.5703125" style="743" customWidth="1"/>
    <col min="10758" max="10758" width="11.7109375" style="743" customWidth="1"/>
    <col min="10759" max="10759" width="19.28515625" style="743" customWidth="1"/>
    <col min="10760" max="10760" width="10.28515625" style="743" customWidth="1"/>
    <col min="10761" max="10761" width="19.42578125" style="743" customWidth="1"/>
    <col min="10762" max="10762" width="10.28515625" style="743" customWidth="1"/>
    <col min="10763" max="10763" width="19.5703125" style="743" customWidth="1"/>
    <col min="10764" max="10764" width="10.42578125" style="743" customWidth="1"/>
    <col min="10765" max="10765" width="21.140625" style="743" customWidth="1"/>
    <col min="10766" max="10766" width="11.7109375" style="743" customWidth="1"/>
    <col min="10767" max="11008" width="11.42578125" style="743"/>
    <col min="11009" max="11009" width="13.28515625" style="743" customWidth="1"/>
    <col min="11010" max="11010" width="32.140625" style="743" customWidth="1"/>
    <col min="11011" max="11011" width="20.7109375" style="743" customWidth="1"/>
    <col min="11012" max="11012" width="10.42578125" style="743" customWidth="1"/>
    <col min="11013" max="11013" width="18.5703125" style="743" customWidth="1"/>
    <col min="11014" max="11014" width="11.7109375" style="743" customWidth="1"/>
    <col min="11015" max="11015" width="19.28515625" style="743" customWidth="1"/>
    <col min="11016" max="11016" width="10.28515625" style="743" customWidth="1"/>
    <col min="11017" max="11017" width="19.42578125" style="743" customWidth="1"/>
    <col min="11018" max="11018" width="10.28515625" style="743" customWidth="1"/>
    <col min="11019" max="11019" width="19.5703125" style="743" customWidth="1"/>
    <col min="11020" max="11020" width="10.42578125" style="743" customWidth="1"/>
    <col min="11021" max="11021" width="21.140625" style="743" customWidth="1"/>
    <col min="11022" max="11022" width="11.7109375" style="743" customWidth="1"/>
    <col min="11023" max="11264" width="11.42578125" style="743"/>
    <col min="11265" max="11265" width="13.28515625" style="743" customWidth="1"/>
    <col min="11266" max="11266" width="32.140625" style="743" customWidth="1"/>
    <col min="11267" max="11267" width="20.7109375" style="743" customWidth="1"/>
    <col min="11268" max="11268" width="10.42578125" style="743" customWidth="1"/>
    <col min="11269" max="11269" width="18.5703125" style="743" customWidth="1"/>
    <col min="11270" max="11270" width="11.7109375" style="743" customWidth="1"/>
    <col min="11271" max="11271" width="19.28515625" style="743" customWidth="1"/>
    <col min="11272" max="11272" width="10.28515625" style="743" customWidth="1"/>
    <col min="11273" max="11273" width="19.42578125" style="743" customWidth="1"/>
    <col min="11274" max="11274" width="10.28515625" style="743" customWidth="1"/>
    <col min="11275" max="11275" width="19.5703125" style="743" customWidth="1"/>
    <col min="11276" max="11276" width="10.42578125" style="743" customWidth="1"/>
    <col min="11277" max="11277" width="21.140625" style="743" customWidth="1"/>
    <col min="11278" max="11278" width="11.7109375" style="743" customWidth="1"/>
    <col min="11279" max="11520" width="11.42578125" style="743"/>
    <col min="11521" max="11521" width="13.28515625" style="743" customWidth="1"/>
    <col min="11522" max="11522" width="32.140625" style="743" customWidth="1"/>
    <col min="11523" max="11523" width="20.7109375" style="743" customWidth="1"/>
    <col min="11524" max="11524" width="10.42578125" style="743" customWidth="1"/>
    <col min="11525" max="11525" width="18.5703125" style="743" customWidth="1"/>
    <col min="11526" max="11526" width="11.7109375" style="743" customWidth="1"/>
    <col min="11527" max="11527" width="19.28515625" style="743" customWidth="1"/>
    <col min="11528" max="11528" width="10.28515625" style="743" customWidth="1"/>
    <col min="11529" max="11529" width="19.42578125" style="743" customWidth="1"/>
    <col min="11530" max="11530" width="10.28515625" style="743" customWidth="1"/>
    <col min="11531" max="11531" width="19.5703125" style="743" customWidth="1"/>
    <col min="11532" max="11532" width="10.42578125" style="743" customWidth="1"/>
    <col min="11533" max="11533" width="21.140625" style="743" customWidth="1"/>
    <col min="11534" max="11534" width="11.7109375" style="743" customWidth="1"/>
    <col min="11535" max="11776" width="11.42578125" style="743"/>
    <col min="11777" max="11777" width="13.28515625" style="743" customWidth="1"/>
    <col min="11778" max="11778" width="32.140625" style="743" customWidth="1"/>
    <col min="11779" max="11779" width="20.7109375" style="743" customWidth="1"/>
    <col min="11780" max="11780" width="10.42578125" style="743" customWidth="1"/>
    <col min="11781" max="11781" width="18.5703125" style="743" customWidth="1"/>
    <col min="11782" max="11782" width="11.7109375" style="743" customWidth="1"/>
    <col min="11783" max="11783" width="19.28515625" style="743" customWidth="1"/>
    <col min="11784" max="11784" width="10.28515625" style="743" customWidth="1"/>
    <col min="11785" max="11785" width="19.42578125" style="743" customWidth="1"/>
    <col min="11786" max="11786" width="10.28515625" style="743" customWidth="1"/>
    <col min="11787" max="11787" width="19.5703125" style="743" customWidth="1"/>
    <col min="11788" max="11788" width="10.42578125" style="743" customWidth="1"/>
    <col min="11789" max="11789" width="21.140625" style="743" customWidth="1"/>
    <col min="11790" max="11790" width="11.7109375" style="743" customWidth="1"/>
    <col min="11791" max="12032" width="11.42578125" style="743"/>
    <col min="12033" max="12033" width="13.28515625" style="743" customWidth="1"/>
    <col min="12034" max="12034" width="32.140625" style="743" customWidth="1"/>
    <col min="12035" max="12035" width="20.7109375" style="743" customWidth="1"/>
    <col min="12036" max="12036" width="10.42578125" style="743" customWidth="1"/>
    <col min="12037" max="12037" width="18.5703125" style="743" customWidth="1"/>
    <col min="12038" max="12038" width="11.7109375" style="743" customWidth="1"/>
    <col min="12039" max="12039" width="19.28515625" style="743" customWidth="1"/>
    <col min="12040" max="12040" width="10.28515625" style="743" customWidth="1"/>
    <col min="12041" max="12041" width="19.42578125" style="743" customWidth="1"/>
    <col min="12042" max="12042" width="10.28515625" style="743" customWidth="1"/>
    <col min="12043" max="12043" width="19.5703125" style="743" customWidth="1"/>
    <col min="12044" max="12044" width="10.42578125" style="743" customWidth="1"/>
    <col min="12045" max="12045" width="21.140625" style="743" customWidth="1"/>
    <col min="12046" max="12046" width="11.7109375" style="743" customWidth="1"/>
    <col min="12047" max="12288" width="11.42578125" style="743"/>
    <col min="12289" max="12289" width="13.28515625" style="743" customWidth="1"/>
    <col min="12290" max="12290" width="32.140625" style="743" customWidth="1"/>
    <col min="12291" max="12291" width="20.7109375" style="743" customWidth="1"/>
    <col min="12292" max="12292" width="10.42578125" style="743" customWidth="1"/>
    <col min="12293" max="12293" width="18.5703125" style="743" customWidth="1"/>
    <col min="12294" max="12294" width="11.7109375" style="743" customWidth="1"/>
    <col min="12295" max="12295" width="19.28515625" style="743" customWidth="1"/>
    <col min="12296" max="12296" width="10.28515625" style="743" customWidth="1"/>
    <col min="12297" max="12297" width="19.42578125" style="743" customWidth="1"/>
    <col min="12298" max="12298" width="10.28515625" style="743" customWidth="1"/>
    <col min="12299" max="12299" width="19.5703125" style="743" customWidth="1"/>
    <col min="12300" max="12300" width="10.42578125" style="743" customWidth="1"/>
    <col min="12301" max="12301" width="21.140625" style="743" customWidth="1"/>
    <col min="12302" max="12302" width="11.7109375" style="743" customWidth="1"/>
    <col min="12303" max="12544" width="11.42578125" style="743"/>
    <col min="12545" max="12545" width="13.28515625" style="743" customWidth="1"/>
    <col min="12546" max="12546" width="32.140625" style="743" customWidth="1"/>
    <col min="12547" max="12547" width="20.7109375" style="743" customWidth="1"/>
    <col min="12548" max="12548" width="10.42578125" style="743" customWidth="1"/>
    <col min="12549" max="12549" width="18.5703125" style="743" customWidth="1"/>
    <col min="12550" max="12550" width="11.7109375" style="743" customWidth="1"/>
    <col min="12551" max="12551" width="19.28515625" style="743" customWidth="1"/>
    <col min="12552" max="12552" width="10.28515625" style="743" customWidth="1"/>
    <col min="12553" max="12553" width="19.42578125" style="743" customWidth="1"/>
    <col min="12554" max="12554" width="10.28515625" style="743" customWidth="1"/>
    <col min="12555" max="12555" width="19.5703125" style="743" customWidth="1"/>
    <col min="12556" max="12556" width="10.42578125" style="743" customWidth="1"/>
    <col min="12557" max="12557" width="21.140625" style="743" customWidth="1"/>
    <col min="12558" max="12558" width="11.7109375" style="743" customWidth="1"/>
    <col min="12559" max="12800" width="11.42578125" style="743"/>
    <col min="12801" max="12801" width="13.28515625" style="743" customWidth="1"/>
    <col min="12802" max="12802" width="32.140625" style="743" customWidth="1"/>
    <col min="12803" max="12803" width="20.7109375" style="743" customWidth="1"/>
    <col min="12804" max="12804" width="10.42578125" style="743" customWidth="1"/>
    <col min="12805" max="12805" width="18.5703125" style="743" customWidth="1"/>
    <col min="12806" max="12806" width="11.7109375" style="743" customWidth="1"/>
    <col min="12807" max="12807" width="19.28515625" style="743" customWidth="1"/>
    <col min="12808" max="12808" width="10.28515625" style="743" customWidth="1"/>
    <col min="12809" max="12809" width="19.42578125" style="743" customWidth="1"/>
    <col min="12810" max="12810" width="10.28515625" style="743" customWidth="1"/>
    <col min="12811" max="12811" width="19.5703125" style="743" customWidth="1"/>
    <col min="12812" max="12812" width="10.42578125" style="743" customWidth="1"/>
    <col min="12813" max="12813" width="21.140625" style="743" customWidth="1"/>
    <col min="12814" max="12814" width="11.7109375" style="743" customWidth="1"/>
    <col min="12815" max="13056" width="11.42578125" style="743"/>
    <col min="13057" max="13057" width="13.28515625" style="743" customWidth="1"/>
    <col min="13058" max="13058" width="32.140625" style="743" customWidth="1"/>
    <col min="13059" max="13059" width="20.7109375" style="743" customWidth="1"/>
    <col min="13060" max="13060" width="10.42578125" style="743" customWidth="1"/>
    <col min="13061" max="13061" width="18.5703125" style="743" customWidth="1"/>
    <col min="13062" max="13062" width="11.7109375" style="743" customWidth="1"/>
    <col min="13063" max="13063" width="19.28515625" style="743" customWidth="1"/>
    <col min="13064" max="13064" width="10.28515625" style="743" customWidth="1"/>
    <col min="13065" max="13065" width="19.42578125" style="743" customWidth="1"/>
    <col min="13066" max="13066" width="10.28515625" style="743" customWidth="1"/>
    <col min="13067" max="13067" width="19.5703125" style="743" customWidth="1"/>
    <col min="13068" max="13068" width="10.42578125" style="743" customWidth="1"/>
    <col min="13069" max="13069" width="21.140625" style="743" customWidth="1"/>
    <col min="13070" max="13070" width="11.7109375" style="743" customWidth="1"/>
    <col min="13071" max="13312" width="11.42578125" style="743"/>
    <col min="13313" max="13313" width="13.28515625" style="743" customWidth="1"/>
    <col min="13314" max="13314" width="32.140625" style="743" customWidth="1"/>
    <col min="13315" max="13315" width="20.7109375" style="743" customWidth="1"/>
    <col min="13316" max="13316" width="10.42578125" style="743" customWidth="1"/>
    <col min="13317" max="13317" width="18.5703125" style="743" customWidth="1"/>
    <col min="13318" max="13318" width="11.7109375" style="743" customWidth="1"/>
    <col min="13319" max="13319" width="19.28515625" style="743" customWidth="1"/>
    <col min="13320" max="13320" width="10.28515625" style="743" customWidth="1"/>
    <col min="13321" max="13321" width="19.42578125" style="743" customWidth="1"/>
    <col min="13322" max="13322" width="10.28515625" style="743" customWidth="1"/>
    <col min="13323" max="13323" width="19.5703125" style="743" customWidth="1"/>
    <col min="13324" max="13324" width="10.42578125" style="743" customWidth="1"/>
    <col min="13325" max="13325" width="21.140625" style="743" customWidth="1"/>
    <col min="13326" max="13326" width="11.7109375" style="743" customWidth="1"/>
    <col min="13327" max="13568" width="11.42578125" style="743"/>
    <col min="13569" max="13569" width="13.28515625" style="743" customWidth="1"/>
    <col min="13570" max="13570" width="32.140625" style="743" customWidth="1"/>
    <col min="13571" max="13571" width="20.7109375" style="743" customWidth="1"/>
    <col min="13572" max="13572" width="10.42578125" style="743" customWidth="1"/>
    <col min="13573" max="13573" width="18.5703125" style="743" customWidth="1"/>
    <col min="13574" max="13574" width="11.7109375" style="743" customWidth="1"/>
    <col min="13575" max="13575" width="19.28515625" style="743" customWidth="1"/>
    <col min="13576" max="13576" width="10.28515625" style="743" customWidth="1"/>
    <col min="13577" max="13577" width="19.42578125" style="743" customWidth="1"/>
    <col min="13578" max="13578" width="10.28515625" style="743" customWidth="1"/>
    <col min="13579" max="13579" width="19.5703125" style="743" customWidth="1"/>
    <col min="13580" max="13580" width="10.42578125" style="743" customWidth="1"/>
    <col min="13581" max="13581" width="21.140625" style="743" customWidth="1"/>
    <col min="13582" max="13582" width="11.7109375" style="743" customWidth="1"/>
    <col min="13583" max="13824" width="11.42578125" style="743"/>
    <col min="13825" max="13825" width="13.28515625" style="743" customWidth="1"/>
    <col min="13826" max="13826" width="32.140625" style="743" customWidth="1"/>
    <col min="13827" max="13827" width="20.7109375" style="743" customWidth="1"/>
    <col min="13828" max="13828" width="10.42578125" style="743" customWidth="1"/>
    <col min="13829" max="13829" width="18.5703125" style="743" customWidth="1"/>
    <col min="13830" max="13830" width="11.7109375" style="743" customWidth="1"/>
    <col min="13831" max="13831" width="19.28515625" style="743" customWidth="1"/>
    <col min="13832" max="13832" width="10.28515625" style="743" customWidth="1"/>
    <col min="13833" max="13833" width="19.42578125" style="743" customWidth="1"/>
    <col min="13834" max="13834" width="10.28515625" style="743" customWidth="1"/>
    <col min="13835" max="13835" width="19.5703125" style="743" customWidth="1"/>
    <col min="13836" max="13836" width="10.42578125" style="743" customWidth="1"/>
    <col min="13837" max="13837" width="21.140625" style="743" customWidth="1"/>
    <col min="13838" max="13838" width="11.7109375" style="743" customWidth="1"/>
    <col min="13839" max="14080" width="11.42578125" style="743"/>
    <col min="14081" max="14081" width="13.28515625" style="743" customWidth="1"/>
    <col min="14082" max="14082" width="32.140625" style="743" customWidth="1"/>
    <col min="14083" max="14083" width="20.7109375" style="743" customWidth="1"/>
    <col min="14084" max="14084" width="10.42578125" style="743" customWidth="1"/>
    <col min="14085" max="14085" width="18.5703125" style="743" customWidth="1"/>
    <col min="14086" max="14086" width="11.7109375" style="743" customWidth="1"/>
    <col min="14087" max="14087" width="19.28515625" style="743" customWidth="1"/>
    <col min="14088" max="14088" width="10.28515625" style="743" customWidth="1"/>
    <col min="14089" max="14089" width="19.42578125" style="743" customWidth="1"/>
    <col min="14090" max="14090" width="10.28515625" style="743" customWidth="1"/>
    <col min="14091" max="14091" width="19.5703125" style="743" customWidth="1"/>
    <col min="14092" max="14092" width="10.42578125" style="743" customWidth="1"/>
    <col min="14093" max="14093" width="21.140625" style="743" customWidth="1"/>
    <col min="14094" max="14094" width="11.7109375" style="743" customWidth="1"/>
    <col min="14095" max="14336" width="11.42578125" style="743"/>
    <col min="14337" max="14337" width="13.28515625" style="743" customWidth="1"/>
    <col min="14338" max="14338" width="32.140625" style="743" customWidth="1"/>
    <col min="14339" max="14339" width="20.7109375" style="743" customWidth="1"/>
    <col min="14340" max="14340" width="10.42578125" style="743" customWidth="1"/>
    <col min="14341" max="14341" width="18.5703125" style="743" customWidth="1"/>
    <col min="14342" max="14342" width="11.7109375" style="743" customWidth="1"/>
    <col min="14343" max="14343" width="19.28515625" style="743" customWidth="1"/>
    <col min="14344" max="14344" width="10.28515625" style="743" customWidth="1"/>
    <col min="14345" max="14345" width="19.42578125" style="743" customWidth="1"/>
    <col min="14346" max="14346" width="10.28515625" style="743" customWidth="1"/>
    <col min="14347" max="14347" width="19.5703125" style="743" customWidth="1"/>
    <col min="14348" max="14348" width="10.42578125" style="743" customWidth="1"/>
    <col min="14349" max="14349" width="21.140625" style="743" customWidth="1"/>
    <col min="14350" max="14350" width="11.7109375" style="743" customWidth="1"/>
    <col min="14351" max="14592" width="11.42578125" style="743"/>
    <col min="14593" max="14593" width="13.28515625" style="743" customWidth="1"/>
    <col min="14594" max="14594" width="32.140625" style="743" customWidth="1"/>
    <col min="14595" max="14595" width="20.7109375" style="743" customWidth="1"/>
    <col min="14596" max="14596" width="10.42578125" style="743" customWidth="1"/>
    <col min="14597" max="14597" width="18.5703125" style="743" customWidth="1"/>
    <col min="14598" max="14598" width="11.7109375" style="743" customWidth="1"/>
    <col min="14599" max="14599" width="19.28515625" style="743" customWidth="1"/>
    <col min="14600" max="14600" width="10.28515625" style="743" customWidth="1"/>
    <col min="14601" max="14601" width="19.42578125" style="743" customWidth="1"/>
    <col min="14602" max="14602" width="10.28515625" style="743" customWidth="1"/>
    <col min="14603" max="14603" width="19.5703125" style="743" customWidth="1"/>
    <col min="14604" max="14604" width="10.42578125" style="743" customWidth="1"/>
    <col min="14605" max="14605" width="21.140625" style="743" customWidth="1"/>
    <col min="14606" max="14606" width="11.7109375" style="743" customWidth="1"/>
    <col min="14607" max="14848" width="11.42578125" style="743"/>
    <col min="14849" max="14849" width="13.28515625" style="743" customWidth="1"/>
    <col min="14850" max="14850" width="32.140625" style="743" customWidth="1"/>
    <col min="14851" max="14851" width="20.7109375" style="743" customWidth="1"/>
    <col min="14852" max="14852" width="10.42578125" style="743" customWidth="1"/>
    <col min="14853" max="14853" width="18.5703125" style="743" customWidth="1"/>
    <col min="14854" max="14854" width="11.7109375" style="743" customWidth="1"/>
    <col min="14855" max="14855" width="19.28515625" style="743" customWidth="1"/>
    <col min="14856" max="14856" width="10.28515625" style="743" customWidth="1"/>
    <col min="14857" max="14857" width="19.42578125" style="743" customWidth="1"/>
    <col min="14858" max="14858" width="10.28515625" style="743" customWidth="1"/>
    <col min="14859" max="14859" width="19.5703125" style="743" customWidth="1"/>
    <col min="14860" max="14860" width="10.42578125" style="743" customWidth="1"/>
    <col min="14861" max="14861" width="21.140625" style="743" customWidth="1"/>
    <col min="14862" max="14862" width="11.7109375" style="743" customWidth="1"/>
    <col min="14863" max="15104" width="11.42578125" style="743"/>
    <col min="15105" max="15105" width="13.28515625" style="743" customWidth="1"/>
    <col min="15106" max="15106" width="32.140625" style="743" customWidth="1"/>
    <col min="15107" max="15107" width="20.7109375" style="743" customWidth="1"/>
    <col min="15108" max="15108" width="10.42578125" style="743" customWidth="1"/>
    <col min="15109" max="15109" width="18.5703125" style="743" customWidth="1"/>
    <col min="15110" max="15110" width="11.7109375" style="743" customWidth="1"/>
    <col min="15111" max="15111" width="19.28515625" style="743" customWidth="1"/>
    <col min="15112" max="15112" width="10.28515625" style="743" customWidth="1"/>
    <col min="15113" max="15113" width="19.42578125" style="743" customWidth="1"/>
    <col min="15114" max="15114" width="10.28515625" style="743" customWidth="1"/>
    <col min="15115" max="15115" width="19.5703125" style="743" customWidth="1"/>
    <col min="15116" max="15116" width="10.42578125" style="743" customWidth="1"/>
    <col min="15117" max="15117" width="21.140625" style="743" customWidth="1"/>
    <col min="15118" max="15118" width="11.7109375" style="743" customWidth="1"/>
    <col min="15119" max="15360" width="11.42578125" style="743"/>
    <col min="15361" max="15361" width="13.28515625" style="743" customWidth="1"/>
    <col min="15362" max="15362" width="32.140625" style="743" customWidth="1"/>
    <col min="15363" max="15363" width="20.7109375" style="743" customWidth="1"/>
    <col min="15364" max="15364" width="10.42578125" style="743" customWidth="1"/>
    <col min="15365" max="15365" width="18.5703125" style="743" customWidth="1"/>
    <col min="15366" max="15366" width="11.7109375" style="743" customWidth="1"/>
    <col min="15367" max="15367" width="19.28515625" style="743" customWidth="1"/>
    <col min="15368" max="15368" width="10.28515625" style="743" customWidth="1"/>
    <col min="15369" max="15369" width="19.42578125" style="743" customWidth="1"/>
    <col min="15370" max="15370" width="10.28515625" style="743" customWidth="1"/>
    <col min="15371" max="15371" width="19.5703125" style="743" customWidth="1"/>
    <col min="15372" max="15372" width="10.42578125" style="743" customWidth="1"/>
    <col min="15373" max="15373" width="21.140625" style="743" customWidth="1"/>
    <col min="15374" max="15374" width="11.7109375" style="743" customWidth="1"/>
    <col min="15375" max="15616" width="11.42578125" style="743"/>
    <col min="15617" max="15617" width="13.28515625" style="743" customWidth="1"/>
    <col min="15618" max="15618" width="32.140625" style="743" customWidth="1"/>
    <col min="15619" max="15619" width="20.7109375" style="743" customWidth="1"/>
    <col min="15620" max="15620" width="10.42578125" style="743" customWidth="1"/>
    <col min="15621" max="15621" width="18.5703125" style="743" customWidth="1"/>
    <col min="15622" max="15622" width="11.7109375" style="743" customWidth="1"/>
    <col min="15623" max="15623" width="19.28515625" style="743" customWidth="1"/>
    <col min="15624" max="15624" width="10.28515625" style="743" customWidth="1"/>
    <col min="15625" max="15625" width="19.42578125" style="743" customWidth="1"/>
    <col min="15626" max="15626" width="10.28515625" style="743" customWidth="1"/>
    <col min="15627" max="15627" width="19.5703125" style="743" customWidth="1"/>
    <col min="15628" max="15628" width="10.42578125" style="743" customWidth="1"/>
    <col min="15629" max="15629" width="21.140625" style="743" customWidth="1"/>
    <col min="15630" max="15630" width="11.7109375" style="743" customWidth="1"/>
    <col min="15631" max="15872" width="11.42578125" style="743"/>
    <col min="15873" max="15873" width="13.28515625" style="743" customWidth="1"/>
    <col min="15874" max="15874" width="32.140625" style="743" customWidth="1"/>
    <col min="15875" max="15875" width="20.7109375" style="743" customWidth="1"/>
    <col min="15876" max="15876" width="10.42578125" style="743" customWidth="1"/>
    <col min="15877" max="15877" width="18.5703125" style="743" customWidth="1"/>
    <col min="15878" max="15878" width="11.7109375" style="743" customWidth="1"/>
    <col min="15879" max="15879" width="19.28515625" style="743" customWidth="1"/>
    <col min="15880" max="15880" width="10.28515625" style="743" customWidth="1"/>
    <col min="15881" max="15881" width="19.42578125" style="743" customWidth="1"/>
    <col min="15882" max="15882" width="10.28515625" style="743" customWidth="1"/>
    <col min="15883" max="15883" width="19.5703125" style="743" customWidth="1"/>
    <col min="15884" max="15884" width="10.42578125" style="743" customWidth="1"/>
    <col min="15885" max="15885" width="21.140625" style="743" customWidth="1"/>
    <col min="15886" max="15886" width="11.7109375" style="743" customWidth="1"/>
    <col min="15887" max="16128" width="11.42578125" style="743"/>
    <col min="16129" max="16129" width="13.28515625" style="743" customWidth="1"/>
    <col min="16130" max="16130" width="32.140625" style="743" customWidth="1"/>
    <col min="16131" max="16131" width="20.7109375" style="743" customWidth="1"/>
    <col min="16132" max="16132" width="10.42578125" style="743" customWidth="1"/>
    <col min="16133" max="16133" width="18.5703125" style="743" customWidth="1"/>
    <col min="16134" max="16134" width="11.7109375" style="743" customWidth="1"/>
    <col min="16135" max="16135" width="19.28515625" style="743" customWidth="1"/>
    <col min="16136" max="16136" width="10.28515625" style="743" customWidth="1"/>
    <col min="16137" max="16137" width="19.42578125" style="743" customWidth="1"/>
    <col min="16138" max="16138" width="10.28515625" style="743" customWidth="1"/>
    <col min="16139" max="16139" width="19.5703125" style="743" customWidth="1"/>
    <col min="16140" max="16140" width="10.42578125" style="743" customWidth="1"/>
    <col min="16141" max="16141" width="21.140625" style="743" customWidth="1"/>
    <col min="16142" max="16142" width="11.7109375" style="743" customWidth="1"/>
    <col min="16143" max="16384" width="11.42578125" style="743"/>
  </cols>
  <sheetData>
    <row r="1" spans="1:14" ht="67.5" customHeight="1" x14ac:dyDescent="0.2">
      <c r="A1" s="900" t="s">
        <v>723</v>
      </c>
      <c r="B1" s="901"/>
      <c r="C1" s="901"/>
      <c r="D1" s="901"/>
      <c r="E1" s="901"/>
      <c r="F1" s="901"/>
      <c r="G1" s="901"/>
      <c r="H1" s="901"/>
      <c r="I1" s="901"/>
      <c r="J1" s="901"/>
      <c r="K1" s="901"/>
      <c r="L1" s="901"/>
      <c r="M1" s="901"/>
      <c r="N1" s="901"/>
    </row>
    <row r="2" spans="1:14" s="746" customFormat="1" ht="103.5" customHeight="1" x14ac:dyDescent="0.2">
      <c r="A2" s="744" t="s">
        <v>724</v>
      </c>
      <c r="B2" s="744" t="s">
        <v>724</v>
      </c>
      <c r="C2" s="745" t="s">
        <v>725</v>
      </c>
      <c r="D2" s="745" t="s">
        <v>765</v>
      </c>
      <c r="E2" s="745" t="s">
        <v>727</v>
      </c>
      <c r="F2" s="745" t="s">
        <v>728</v>
      </c>
      <c r="G2" s="745" t="s">
        <v>720</v>
      </c>
      <c r="H2" s="745" t="s">
        <v>729</v>
      </c>
      <c r="I2" s="745" t="s">
        <v>730</v>
      </c>
      <c r="J2" s="745" t="s">
        <v>731</v>
      </c>
      <c r="K2" s="745" t="s">
        <v>732</v>
      </c>
      <c r="L2" s="745" t="s">
        <v>733</v>
      </c>
      <c r="M2" s="745" t="s">
        <v>734</v>
      </c>
      <c r="N2" s="745" t="s">
        <v>735</v>
      </c>
    </row>
    <row r="3" spans="1:14" s="758" customFormat="1" ht="15" x14ac:dyDescent="0.25">
      <c r="A3" s="747">
        <v>304</v>
      </c>
      <c r="B3" s="748" t="s">
        <v>736</v>
      </c>
      <c r="C3" s="749">
        <f>'SGTO POAI MARZO 31-2020'!AY17</f>
        <v>275281352</v>
      </c>
      <c r="D3" s="750">
        <v>1</v>
      </c>
      <c r="E3" s="749">
        <v>0</v>
      </c>
      <c r="F3" s="751">
        <f>E3/C3</f>
        <v>0</v>
      </c>
      <c r="G3" s="749">
        <f>[2]EJECUCION!AB137</f>
        <v>0</v>
      </c>
      <c r="H3" s="752">
        <f>G3/C3</f>
        <v>0</v>
      </c>
      <c r="I3" s="753">
        <f>[3]INVERSIÓN!AE2</f>
        <v>0</v>
      </c>
      <c r="J3" s="752">
        <v>0</v>
      </c>
      <c r="K3" s="754">
        <v>0</v>
      </c>
      <c r="L3" s="755">
        <v>0</v>
      </c>
      <c r="M3" s="756">
        <f t="shared" ref="M3:M15" si="0">C3-E3</f>
        <v>275281352</v>
      </c>
      <c r="N3" s="757">
        <f t="shared" ref="N3:N20" si="1">M3/C3</f>
        <v>1</v>
      </c>
    </row>
    <row r="4" spans="1:14" s="758" customFormat="1" ht="15" x14ac:dyDescent="0.25">
      <c r="A4" s="747">
        <v>305</v>
      </c>
      <c r="B4" s="748" t="s">
        <v>737</v>
      </c>
      <c r="C4" s="749">
        <f>'SGTO POAI MARZO 31-2020'!AY55</f>
        <v>1355217000</v>
      </c>
      <c r="D4" s="750">
        <v>1</v>
      </c>
      <c r="E4" s="749">
        <v>290226999</v>
      </c>
      <c r="F4" s="751">
        <f>E4/C4</f>
        <v>0.21415537068971241</v>
      </c>
      <c r="G4" s="749">
        <f>'SGTO POAI MARZO 31-2020'!AZ55</f>
        <v>270768332</v>
      </c>
      <c r="H4" s="752">
        <f t="shared" ref="H4:H15" si="2">G4/C4</f>
        <v>0.19979703029108992</v>
      </c>
      <c r="I4" s="759">
        <f>'SGTO POAI MARZO 31-2020'!BA55</f>
        <v>57800000</v>
      </c>
      <c r="J4" s="752">
        <f>I4/G4</f>
        <v>0.21346661765453429</v>
      </c>
      <c r="K4" s="760">
        <v>57800000</v>
      </c>
      <c r="L4" s="752">
        <f>K4/G4</f>
        <v>0.21346661765453429</v>
      </c>
      <c r="M4" s="756">
        <f t="shared" si="0"/>
        <v>1064990001</v>
      </c>
      <c r="N4" s="757">
        <f t="shared" si="1"/>
        <v>0.78584462931028753</v>
      </c>
    </row>
    <row r="5" spans="1:14" s="758" customFormat="1" ht="15" x14ac:dyDescent="0.25">
      <c r="A5" s="747">
        <v>307</v>
      </c>
      <c r="B5" s="748" t="s">
        <v>738</v>
      </c>
      <c r="C5" s="749">
        <f>'SGTO POAI MARZO 31-2020'!AY68</f>
        <v>1871134000</v>
      </c>
      <c r="D5" s="750">
        <v>1</v>
      </c>
      <c r="E5" s="749">
        <v>1322272533</v>
      </c>
      <c r="F5" s="751">
        <f t="shared" ref="F5:F15" si="3">E5/C5</f>
        <v>0.70666907501012755</v>
      </c>
      <c r="G5" s="749">
        <f>'SGTO POAI MARZO 31-2020'!AZ68</f>
        <v>789919199</v>
      </c>
      <c r="H5" s="752">
        <f t="shared" si="2"/>
        <v>0.42216067849763833</v>
      </c>
      <c r="I5" s="759">
        <f>'SGTO POAI MARZO 31-2020'!BA68</f>
        <v>200150000</v>
      </c>
      <c r="J5" s="752">
        <f t="shared" ref="J5:J15" si="4">I5/G5</f>
        <v>0.25338034605739468</v>
      </c>
      <c r="K5" s="760">
        <v>200150000</v>
      </c>
      <c r="L5" s="752">
        <f t="shared" ref="L5:L15" si="5">K5/G5</f>
        <v>0.25338034605739468</v>
      </c>
      <c r="M5" s="756">
        <f t="shared" si="0"/>
        <v>548861467</v>
      </c>
      <c r="N5" s="757">
        <f t="shared" si="1"/>
        <v>0.29333092498987245</v>
      </c>
    </row>
    <row r="6" spans="1:14" s="758" customFormat="1" ht="15" x14ac:dyDescent="0.25">
      <c r="A6" s="747">
        <v>308</v>
      </c>
      <c r="B6" s="748" t="s">
        <v>739</v>
      </c>
      <c r="C6" s="756">
        <f>'SGTO POAI MARZO 31-2020'!AY98</f>
        <v>9562689012</v>
      </c>
      <c r="D6" s="750">
        <v>1</v>
      </c>
      <c r="E6" s="756">
        <v>621839333</v>
      </c>
      <c r="F6" s="751">
        <f t="shared" si="3"/>
        <v>6.5027664521942308E-2</v>
      </c>
      <c r="G6" s="756">
        <f>'SGTO POAI MARZO 31-2020'!AZ98</f>
        <v>405799665</v>
      </c>
      <c r="H6" s="752">
        <f t="shared" si="2"/>
        <v>4.2435727491584349E-2</v>
      </c>
      <c r="I6" s="759">
        <f>'SGTO POAI MARZO 31-2020'!BA98</f>
        <v>128413333</v>
      </c>
      <c r="J6" s="752">
        <f t="shared" si="4"/>
        <v>0.31644514295003173</v>
      </c>
      <c r="K6" s="760">
        <v>128413333</v>
      </c>
      <c r="L6" s="752">
        <f t="shared" si="5"/>
        <v>0.31644514295003173</v>
      </c>
      <c r="M6" s="756">
        <f t="shared" si="0"/>
        <v>8940849679</v>
      </c>
      <c r="N6" s="757">
        <f t="shared" si="1"/>
        <v>0.93497233547805769</v>
      </c>
    </row>
    <row r="7" spans="1:14" s="758" customFormat="1" ht="15" x14ac:dyDescent="0.25">
      <c r="A7" s="747">
        <v>309</v>
      </c>
      <c r="B7" s="748" t="s">
        <v>740</v>
      </c>
      <c r="C7" s="756">
        <f>'SGTO POAI MARZO 31-2020'!AY164</f>
        <v>3291343402</v>
      </c>
      <c r="D7" s="750">
        <v>1</v>
      </c>
      <c r="E7" s="756">
        <v>668000794</v>
      </c>
      <c r="F7" s="751">
        <f t="shared" si="3"/>
        <v>0.20295688185987709</v>
      </c>
      <c r="G7" s="756">
        <f>'SGTO POAI MARZO 31-2020'!AZ164</f>
        <v>194506058</v>
      </c>
      <c r="H7" s="752">
        <f t="shared" si="2"/>
        <v>5.9096251664839193E-2</v>
      </c>
      <c r="I7" s="759">
        <f>'SGTO POAI MARZO 31-2020'!BA164</f>
        <v>76801390</v>
      </c>
      <c r="J7" s="752">
        <f t="shared" si="4"/>
        <v>0.39485346003978961</v>
      </c>
      <c r="K7" s="760">
        <v>76801390</v>
      </c>
      <c r="L7" s="752">
        <f t="shared" si="5"/>
        <v>0.39485346003978961</v>
      </c>
      <c r="M7" s="756">
        <f t="shared" si="0"/>
        <v>2623342608</v>
      </c>
      <c r="N7" s="757">
        <f t="shared" si="1"/>
        <v>0.79704311814012285</v>
      </c>
    </row>
    <row r="8" spans="1:14" s="758" customFormat="1" ht="15" x14ac:dyDescent="0.25">
      <c r="A8" s="747">
        <v>310</v>
      </c>
      <c r="B8" s="748" t="s">
        <v>741</v>
      </c>
      <c r="C8" s="749">
        <f>'SGTO POAI MARZO 31-2020'!AY196</f>
        <v>3210072200</v>
      </c>
      <c r="D8" s="750">
        <v>1</v>
      </c>
      <c r="E8" s="749">
        <v>137800000</v>
      </c>
      <c r="F8" s="751">
        <f t="shared" si="3"/>
        <v>4.2927383377856732E-2</v>
      </c>
      <c r="G8" s="749">
        <f>'SGTO POAI MARZO 31-2020'!AZ196</f>
        <v>117800000</v>
      </c>
      <c r="H8" s="752">
        <f t="shared" si="2"/>
        <v>3.669699391808072E-2</v>
      </c>
      <c r="I8" s="759">
        <f>'SGTO POAI MARZO 31-2020'!BA196</f>
        <v>71600000</v>
      </c>
      <c r="J8" s="752">
        <f t="shared" si="4"/>
        <v>0.60780984719864173</v>
      </c>
      <c r="K8" s="760">
        <v>71600000</v>
      </c>
      <c r="L8" s="752">
        <f t="shared" si="5"/>
        <v>0.60780984719864173</v>
      </c>
      <c r="M8" s="756">
        <f t="shared" si="0"/>
        <v>3072272200</v>
      </c>
      <c r="N8" s="757">
        <f t="shared" si="1"/>
        <v>0.95707261662214327</v>
      </c>
    </row>
    <row r="9" spans="1:14" s="758" customFormat="1" ht="19.5" customHeight="1" x14ac:dyDescent="0.25">
      <c r="A9" s="747">
        <v>311</v>
      </c>
      <c r="B9" s="761" t="s">
        <v>742</v>
      </c>
      <c r="C9" s="749">
        <f>'SGTO POAI MARZO 31-2020'!AY228</f>
        <v>1842250000</v>
      </c>
      <c r="D9" s="750">
        <v>1</v>
      </c>
      <c r="E9" s="749">
        <v>552809998</v>
      </c>
      <c r="F9" s="751">
        <f t="shared" si="3"/>
        <v>0.30007327887094587</v>
      </c>
      <c r="G9" s="749">
        <f>'SGTO POAI MARZO 31-2020'!AZ228</f>
        <v>402279998</v>
      </c>
      <c r="H9" s="752">
        <f t="shared" si="2"/>
        <v>0.21836341321753291</v>
      </c>
      <c r="I9" s="759">
        <f>'SGTO POAI MARZO 31-2020'!BA228</f>
        <v>147800000</v>
      </c>
      <c r="J9" s="752">
        <f t="shared" si="4"/>
        <v>0.36740578884063729</v>
      </c>
      <c r="K9" s="760">
        <v>147800000</v>
      </c>
      <c r="L9" s="752">
        <f t="shared" si="5"/>
        <v>0.36740578884063729</v>
      </c>
      <c r="M9" s="756">
        <f t="shared" si="0"/>
        <v>1289440002</v>
      </c>
      <c r="N9" s="757">
        <f t="shared" si="1"/>
        <v>0.69992672112905419</v>
      </c>
    </row>
    <row r="10" spans="1:14" s="758" customFormat="1" ht="30" x14ac:dyDescent="0.25">
      <c r="A10" s="747">
        <v>312</v>
      </c>
      <c r="B10" s="761" t="s">
        <v>743</v>
      </c>
      <c r="C10" s="749">
        <f>'SGTO POAI MARZO 31-2020'!AY286</f>
        <v>2943343000</v>
      </c>
      <c r="D10" s="750">
        <v>1</v>
      </c>
      <c r="E10" s="749">
        <v>359616664</v>
      </c>
      <c r="F10" s="751">
        <f t="shared" si="3"/>
        <v>0.12217966577459712</v>
      </c>
      <c r="G10" s="749">
        <f>'SGTO POAI MARZO 31-2020'!AZ286</f>
        <v>318016664</v>
      </c>
      <c r="H10" s="752">
        <f t="shared" si="2"/>
        <v>0.10804607685886422</v>
      </c>
      <c r="I10" s="759">
        <f>'SGTO POAI MARZO 31-2020'!BA286</f>
        <v>116883333</v>
      </c>
      <c r="J10" s="752">
        <f t="shared" si="4"/>
        <v>0.36753839100708258</v>
      </c>
      <c r="K10" s="760">
        <v>116883333</v>
      </c>
      <c r="L10" s="752">
        <f t="shared" si="5"/>
        <v>0.36753839100708258</v>
      </c>
      <c r="M10" s="756">
        <f t="shared" si="0"/>
        <v>2583726336</v>
      </c>
      <c r="N10" s="757">
        <f t="shared" si="1"/>
        <v>0.87782033422540284</v>
      </c>
    </row>
    <row r="11" spans="1:14" s="765" customFormat="1" ht="15" x14ac:dyDescent="0.25">
      <c r="A11" s="741">
        <v>313</v>
      </c>
      <c r="B11" s="748" t="s">
        <v>744</v>
      </c>
      <c r="C11" s="762">
        <f>'SGTO POAI MARZO 31-2020'!AY302</f>
        <v>881744000</v>
      </c>
      <c r="D11" s="750">
        <v>1</v>
      </c>
      <c r="E11" s="763">
        <v>444893000</v>
      </c>
      <c r="F11" s="751">
        <f t="shared" si="3"/>
        <v>0.50456028053493984</v>
      </c>
      <c r="G11" s="762">
        <f>'SGTO POAI MARZO 31-2020'!AZ302</f>
        <v>194786000</v>
      </c>
      <c r="H11" s="752">
        <f t="shared" si="2"/>
        <v>0.22090992396886172</v>
      </c>
      <c r="I11" s="759">
        <f>'SGTO POAI MARZO 31-2020'!BA302</f>
        <v>74312000</v>
      </c>
      <c r="J11" s="752">
        <f t="shared" si="4"/>
        <v>0.3815058577105131</v>
      </c>
      <c r="K11" s="760">
        <v>74312000</v>
      </c>
      <c r="L11" s="752">
        <f t="shared" si="5"/>
        <v>0.3815058577105131</v>
      </c>
      <c r="M11" s="764">
        <f t="shared" si="0"/>
        <v>436851000</v>
      </c>
      <c r="N11" s="757">
        <f t="shared" si="1"/>
        <v>0.49543971946506016</v>
      </c>
    </row>
    <row r="12" spans="1:14" s="765" customFormat="1" ht="15" x14ac:dyDescent="0.25">
      <c r="A12" s="741">
        <v>314</v>
      </c>
      <c r="B12" s="748" t="s">
        <v>745</v>
      </c>
      <c r="C12" s="764">
        <f>'SGTO POAI MARZO 31-2020'!AY377</f>
        <v>175673184380</v>
      </c>
      <c r="D12" s="750">
        <v>1</v>
      </c>
      <c r="E12" s="764">
        <v>52295698573</v>
      </c>
      <c r="F12" s="751">
        <f t="shared" si="3"/>
        <v>0.29768742883306981</v>
      </c>
      <c r="G12" s="764">
        <f>'SGTO POAI MARZO 31-2020'!AZ377</f>
        <v>48530315001</v>
      </c>
      <c r="H12" s="752">
        <f t="shared" si="2"/>
        <v>0.27625340300101642</v>
      </c>
      <c r="I12" s="759">
        <f>'SGTO POAI MARZO 31-2020'!BA377</f>
        <v>34518474650</v>
      </c>
      <c r="J12" s="752">
        <f t="shared" si="4"/>
        <v>0.71127654228678971</v>
      </c>
      <c r="K12" s="760">
        <v>34518474650</v>
      </c>
      <c r="L12" s="752">
        <f t="shared" si="5"/>
        <v>0.71127654228678971</v>
      </c>
      <c r="M12" s="764">
        <f t="shared" si="0"/>
        <v>123377485807</v>
      </c>
      <c r="N12" s="757">
        <f t="shared" si="1"/>
        <v>0.70231257116693024</v>
      </c>
    </row>
    <row r="13" spans="1:14" s="758" customFormat="1" ht="15" x14ac:dyDescent="0.25">
      <c r="A13" s="747">
        <v>316</v>
      </c>
      <c r="B13" s="748" t="s">
        <v>746</v>
      </c>
      <c r="C13" s="762">
        <f>'SGTO POAI MARZO 31-2020'!AY439</f>
        <v>6149444000</v>
      </c>
      <c r="D13" s="750">
        <v>1</v>
      </c>
      <c r="E13" s="762">
        <v>352356995</v>
      </c>
      <c r="F13" s="751">
        <f t="shared" si="3"/>
        <v>5.7299000527527365E-2</v>
      </c>
      <c r="G13" s="762">
        <f>'SGTO POAI MARZO 31-2020'!AZ439</f>
        <v>343085330</v>
      </c>
      <c r="H13" s="752">
        <f t="shared" si="2"/>
        <v>5.5791276414583174E-2</v>
      </c>
      <c r="I13" s="759">
        <f>'SGTO POAI MARZO 31-2020'!BA439</f>
        <v>122450000</v>
      </c>
      <c r="J13" s="752">
        <f t="shared" si="4"/>
        <v>0.35690829450504341</v>
      </c>
      <c r="K13" s="760">
        <v>122450000</v>
      </c>
      <c r="L13" s="752">
        <f t="shared" si="5"/>
        <v>0.35690829450504341</v>
      </c>
      <c r="M13" s="756">
        <f t="shared" si="0"/>
        <v>5797087005</v>
      </c>
      <c r="N13" s="757">
        <f t="shared" si="1"/>
        <v>0.94270099947247266</v>
      </c>
    </row>
    <row r="14" spans="1:14" s="758" customFormat="1" ht="15" x14ac:dyDescent="0.25">
      <c r="A14" s="747">
        <v>318</v>
      </c>
      <c r="B14" s="748" t="s">
        <v>747</v>
      </c>
      <c r="C14" s="749">
        <f>'SGTO POAI MARZO 31-2020'!AY563</f>
        <v>45458110034</v>
      </c>
      <c r="D14" s="750">
        <v>1</v>
      </c>
      <c r="E14" s="749">
        <v>3349753165</v>
      </c>
      <c r="F14" s="751">
        <f t="shared" si="3"/>
        <v>7.368879089989841E-2</v>
      </c>
      <c r="G14" s="749">
        <f>'SGTO POAI MARZO 31-2020'!AZ563</f>
        <v>1418839042</v>
      </c>
      <c r="H14" s="752">
        <f t="shared" si="2"/>
        <v>3.1212011254730821E-2</v>
      </c>
      <c r="I14" s="759">
        <f>'SGTO POAI MARZO 31-2020'!BA563</f>
        <v>193744383</v>
      </c>
      <c r="J14" s="752">
        <f t="shared" si="4"/>
        <v>0.13655134745016412</v>
      </c>
      <c r="K14" s="760">
        <v>193744383</v>
      </c>
      <c r="L14" s="752">
        <f t="shared" si="5"/>
        <v>0.13655134745016412</v>
      </c>
      <c r="M14" s="756">
        <f t="shared" si="0"/>
        <v>42108356869</v>
      </c>
      <c r="N14" s="757">
        <f t="shared" si="1"/>
        <v>0.92631120910010156</v>
      </c>
    </row>
    <row r="15" spans="1:14" s="758" customFormat="1" ht="30" x14ac:dyDescent="0.25">
      <c r="A15" s="747">
        <v>324</v>
      </c>
      <c r="B15" s="761" t="s">
        <v>748</v>
      </c>
      <c r="C15" s="749">
        <f>'SGTO POAI MARZO 31-2020'!AY575</f>
        <v>491885000</v>
      </c>
      <c r="D15" s="750">
        <v>1</v>
      </c>
      <c r="E15" s="749">
        <v>146689132</v>
      </c>
      <c r="F15" s="751">
        <f t="shared" si="3"/>
        <v>0.29821834778454315</v>
      </c>
      <c r="G15" s="749">
        <f>'SGTO POAI MARZO 31-2020'!AZ575</f>
        <v>146689132</v>
      </c>
      <c r="H15" s="752">
        <f t="shared" si="2"/>
        <v>0.29821834778454315</v>
      </c>
      <c r="I15" s="759">
        <f>'SGTO POAI MARZO 31-2020'!BA575</f>
        <v>57500000</v>
      </c>
      <c r="J15" s="752">
        <f t="shared" si="4"/>
        <v>0.39198541307068341</v>
      </c>
      <c r="K15" s="760">
        <v>57500000</v>
      </c>
      <c r="L15" s="752">
        <f t="shared" si="5"/>
        <v>0.39198541307068341</v>
      </c>
      <c r="M15" s="756">
        <f t="shared" si="0"/>
        <v>345195868</v>
      </c>
      <c r="N15" s="757">
        <f t="shared" si="1"/>
        <v>0.70178165221545685</v>
      </c>
    </row>
    <row r="16" spans="1:14" s="771" customFormat="1" ht="32.25" customHeight="1" x14ac:dyDescent="0.25">
      <c r="A16" s="766"/>
      <c r="B16" s="766" t="s">
        <v>757</v>
      </c>
      <c r="C16" s="767">
        <f>SUM(C3:C15)</f>
        <v>253005697380</v>
      </c>
      <c r="D16" s="768">
        <v>1</v>
      </c>
      <c r="E16" s="767">
        <f>SUM(E3:E15)</f>
        <v>60541957186</v>
      </c>
      <c r="F16" s="769">
        <f>E16/C16</f>
        <v>0.23929088480197133</v>
      </c>
      <c r="G16" s="767">
        <f>SUM(G3:G15)</f>
        <v>53132804421</v>
      </c>
      <c r="H16" s="769">
        <f>G16/C16</f>
        <v>0.21000635547427055</v>
      </c>
      <c r="I16" s="767">
        <f>SUM(I3:I15)</f>
        <v>35765929089</v>
      </c>
      <c r="J16" s="769">
        <f>I16/G16</f>
        <v>0.67314212902460713</v>
      </c>
      <c r="K16" s="767">
        <f>SUM(K3:K15)</f>
        <v>35765929089</v>
      </c>
      <c r="L16" s="769">
        <f>K16/G16</f>
        <v>0.67314212902460713</v>
      </c>
      <c r="M16" s="767">
        <f>SUM(M3:M15)</f>
        <v>192463740194</v>
      </c>
      <c r="N16" s="770">
        <f t="shared" si="1"/>
        <v>0.76070911519802864</v>
      </c>
    </row>
    <row r="17" spans="1:14" s="758" customFormat="1" ht="15" x14ac:dyDescent="0.25">
      <c r="A17" s="747">
        <v>319</v>
      </c>
      <c r="B17" s="748" t="s">
        <v>761</v>
      </c>
      <c r="C17" s="762">
        <f>'SGTO POAI MARZO 31-2020'!AY619</f>
        <v>1583485471</v>
      </c>
      <c r="D17" s="750">
        <v>1</v>
      </c>
      <c r="E17" s="762">
        <v>401000628</v>
      </c>
      <c r="F17" s="751">
        <f t="shared" ref="F17:F19" si="6">E17/C17</f>
        <v>0.25323922154256379</v>
      </c>
      <c r="G17" s="762">
        <v>285878924</v>
      </c>
      <c r="H17" s="752">
        <f t="shared" ref="H17:H19" si="7">G17/C17</f>
        <v>0.18053776257224655</v>
      </c>
      <c r="I17" s="759">
        <v>90313333</v>
      </c>
      <c r="J17" s="752">
        <f t="shared" ref="J17:J19" si="8">I17/G17</f>
        <v>0.31591462475212057</v>
      </c>
      <c r="K17" s="760">
        <v>90313333</v>
      </c>
      <c r="L17" s="752">
        <f t="shared" ref="L17:L19" si="9">K17/G17</f>
        <v>0.31591462475212057</v>
      </c>
      <c r="M17" s="756">
        <f>C17-E17</f>
        <v>1182484843</v>
      </c>
      <c r="N17" s="757">
        <f t="shared" si="1"/>
        <v>0.74676077845743616</v>
      </c>
    </row>
    <row r="18" spans="1:14" s="758" customFormat="1" ht="15" x14ac:dyDescent="0.25">
      <c r="A18" s="747">
        <v>320</v>
      </c>
      <c r="B18" s="748" t="s">
        <v>762</v>
      </c>
      <c r="C18" s="749">
        <f>'SGTO POAI MARZO 31-2020'!AY636</f>
        <v>2115020115</v>
      </c>
      <c r="D18" s="750">
        <v>1</v>
      </c>
      <c r="E18" s="749">
        <f>'SGTO POAI MARZO 31-2020'!AZ636</f>
        <v>415773404</v>
      </c>
      <c r="F18" s="751">
        <f t="shared" si="6"/>
        <v>0.19658130012631109</v>
      </c>
      <c r="G18" s="749">
        <f>'SGTO POAI MARZO 31-2020'!AZ636</f>
        <v>415773404</v>
      </c>
      <c r="H18" s="752">
        <f t="shared" si="7"/>
        <v>0.19658130012631109</v>
      </c>
      <c r="I18" s="759">
        <f>'SGTO POAI MARZO 31-2020'!BA636</f>
        <v>187485604</v>
      </c>
      <c r="J18" s="752">
        <f t="shared" si="8"/>
        <v>0.45093217169802424</v>
      </c>
      <c r="K18" s="760">
        <f>'SGTO POAI MARZO 31-2020'!BA636</f>
        <v>187485604</v>
      </c>
      <c r="L18" s="752">
        <f t="shared" si="9"/>
        <v>0.45093217169802424</v>
      </c>
      <c r="M18" s="756">
        <f>C18-E18</f>
        <v>1699246711</v>
      </c>
      <c r="N18" s="757">
        <f t="shared" si="1"/>
        <v>0.80341869987368886</v>
      </c>
    </row>
    <row r="19" spans="1:14" s="758" customFormat="1" ht="15" x14ac:dyDescent="0.25">
      <c r="A19" s="747">
        <v>321</v>
      </c>
      <c r="B19" s="761" t="s">
        <v>763</v>
      </c>
      <c r="C19" s="749">
        <f>'SGTO POAI MARZO 31-2020'!AY647</f>
        <v>107000000</v>
      </c>
      <c r="D19" s="750">
        <v>1</v>
      </c>
      <c r="E19" s="749">
        <v>23103000</v>
      </c>
      <c r="F19" s="751">
        <f t="shared" si="6"/>
        <v>0.21591588785046728</v>
      </c>
      <c r="G19" s="749">
        <f>'SGTO POAI MARZO 31-2020'!AZ647</f>
        <v>13872000</v>
      </c>
      <c r="H19" s="752">
        <f t="shared" si="7"/>
        <v>0.1296448598130841</v>
      </c>
      <c r="I19" s="759">
        <f>'SGTO POAI MARZO 31-2020'!BA647</f>
        <v>4692000</v>
      </c>
      <c r="J19" s="752">
        <f t="shared" si="8"/>
        <v>0.33823529411764708</v>
      </c>
      <c r="K19" s="760">
        <f>'SGTO POAI MARZO 31-2020'!BA647</f>
        <v>4692000</v>
      </c>
      <c r="L19" s="752">
        <f t="shared" si="9"/>
        <v>0.33823529411764708</v>
      </c>
      <c r="M19" s="756">
        <f>C19-E19</f>
        <v>83897000</v>
      </c>
      <c r="N19" s="757">
        <f t="shared" si="1"/>
        <v>0.78408411214953266</v>
      </c>
    </row>
    <row r="20" spans="1:14" s="771" customFormat="1" ht="32.25" customHeight="1" x14ac:dyDescent="0.25">
      <c r="A20" s="766"/>
      <c r="B20" s="766" t="s">
        <v>758</v>
      </c>
      <c r="C20" s="767">
        <f>SUM(C17:C19)</f>
        <v>3805505586</v>
      </c>
      <c r="D20" s="768">
        <v>1</v>
      </c>
      <c r="E20" s="767">
        <f>SUM(E17:E19)</f>
        <v>839877032</v>
      </c>
      <c r="F20" s="769">
        <f>E20/C20</f>
        <v>0.22070051219732989</v>
      </c>
      <c r="G20" s="767">
        <f>SUM(G17:G19)</f>
        <v>715524328</v>
      </c>
      <c r="H20" s="769">
        <f>G20/C20</f>
        <v>0.188023460176311</v>
      </c>
      <c r="I20" s="767">
        <f>SUM(I17:I19)</f>
        <v>282490937</v>
      </c>
      <c r="J20" s="769">
        <f>I20/G20</f>
        <v>0.39480270054493521</v>
      </c>
      <c r="K20" s="767">
        <f>SUM(K17:K19)</f>
        <v>282490937</v>
      </c>
      <c r="L20" s="769">
        <f>K20/G20</f>
        <v>0.39480270054493521</v>
      </c>
      <c r="M20" s="767">
        <f>SUM(M17:M19)</f>
        <v>2965628554</v>
      </c>
      <c r="N20" s="770">
        <f t="shared" si="1"/>
        <v>0.77929948780267011</v>
      </c>
    </row>
    <row r="21" spans="1:14" ht="7.5" customHeight="1" x14ac:dyDescent="0.2"/>
    <row r="22" spans="1:14" s="771" customFormat="1" ht="32.25" customHeight="1" x14ac:dyDescent="0.25">
      <c r="A22" s="766"/>
      <c r="B22" s="766" t="s">
        <v>764</v>
      </c>
      <c r="C22" s="767">
        <f>C16+C20</f>
        <v>256811202966</v>
      </c>
      <c r="D22" s="768">
        <v>1</v>
      </c>
      <c r="E22" s="767">
        <f>E16+E20</f>
        <v>61381834218</v>
      </c>
      <c r="F22" s="769">
        <f>E22/C22</f>
        <v>0.23901540707368021</v>
      </c>
      <c r="G22" s="767">
        <f>G16+G20</f>
        <v>53848328749</v>
      </c>
      <c r="H22" s="769">
        <f>G22/C22</f>
        <v>0.20968060632514204</v>
      </c>
      <c r="I22" s="767">
        <f>I16+I20</f>
        <v>36048420026</v>
      </c>
      <c r="J22" s="769">
        <f>I22/G22</f>
        <v>0.669443618093151</v>
      </c>
      <c r="K22" s="767">
        <f>K16+K20</f>
        <v>36048420026</v>
      </c>
      <c r="L22" s="769">
        <f>K22/G22</f>
        <v>0.669443618093151</v>
      </c>
      <c r="M22" s="767">
        <f>M16+M20</f>
        <v>195429368748</v>
      </c>
      <c r="N22" s="770">
        <f>M22/C22</f>
        <v>0.76098459292631981</v>
      </c>
    </row>
    <row r="24" spans="1:14" s="773" customFormat="1" x14ac:dyDescent="0.2">
      <c r="A24" s="743"/>
      <c r="B24" s="772"/>
      <c r="C24" s="902"/>
      <c r="D24" s="902"/>
      <c r="E24" s="902"/>
      <c r="F24" s="774"/>
      <c r="N24" s="743"/>
    </row>
    <row r="25" spans="1:14" s="773" customFormat="1" x14ac:dyDescent="0.2">
      <c r="A25" s="743"/>
      <c r="B25" s="772"/>
      <c r="C25" s="775"/>
      <c r="D25" s="775"/>
      <c r="E25" s="775"/>
      <c r="F25" s="775"/>
      <c r="N25" s="743"/>
    </row>
    <row r="26" spans="1:14" s="773" customFormat="1" x14ac:dyDescent="0.2">
      <c r="A26" s="743"/>
      <c r="B26" s="772"/>
      <c r="C26" s="776"/>
      <c r="D26" s="775"/>
      <c r="E26" s="777"/>
      <c r="F26" s="777"/>
      <c r="N26" s="743"/>
    </row>
    <row r="27" spans="1:14" s="773" customFormat="1" x14ac:dyDescent="0.2">
      <c r="A27" s="743"/>
      <c r="B27" s="772"/>
      <c r="C27" s="776"/>
      <c r="D27" s="775"/>
      <c r="E27" s="777"/>
      <c r="F27" s="777"/>
      <c r="N27" s="743"/>
    </row>
    <row r="28" spans="1:14" s="773" customFormat="1" ht="30.75" customHeight="1" x14ac:dyDescent="0.25">
      <c r="A28" s="743"/>
      <c r="B28" s="903" t="s">
        <v>759</v>
      </c>
      <c r="C28" s="903"/>
      <c r="D28" s="903"/>
      <c r="N28" s="743"/>
    </row>
    <row r="29" spans="1:14" s="773" customFormat="1" ht="15" x14ac:dyDescent="0.25">
      <c r="A29" s="743"/>
      <c r="B29" s="781" t="s">
        <v>749</v>
      </c>
      <c r="C29" s="782" t="s">
        <v>750</v>
      </c>
      <c r="D29" s="783" t="s">
        <v>726</v>
      </c>
      <c r="N29" s="743"/>
    </row>
    <row r="30" spans="1:14" s="773" customFormat="1" ht="15.75" x14ac:dyDescent="0.25">
      <c r="A30" s="743"/>
      <c r="B30" s="784" t="s">
        <v>751</v>
      </c>
      <c r="C30" s="785">
        <f>C22</f>
        <v>256811202966</v>
      </c>
      <c r="D30" s="786">
        <f>C30/C30</f>
        <v>1</v>
      </c>
      <c r="N30" s="743"/>
    </row>
    <row r="31" spans="1:14" s="773" customFormat="1" ht="15.75" x14ac:dyDescent="0.25">
      <c r="A31" s="743"/>
      <c r="B31" s="784" t="s">
        <v>752</v>
      </c>
      <c r="C31" s="785">
        <f>E22</f>
        <v>61381834218</v>
      </c>
      <c r="D31" s="787">
        <f>C31/C30</f>
        <v>0.23901540707368021</v>
      </c>
      <c r="N31" s="743"/>
    </row>
    <row r="32" spans="1:14" s="773" customFormat="1" ht="15.75" x14ac:dyDescent="0.25">
      <c r="A32" s="743"/>
      <c r="B32" s="784" t="s">
        <v>753</v>
      </c>
      <c r="C32" s="785">
        <f>G22</f>
        <v>53848328749</v>
      </c>
      <c r="D32" s="788">
        <f>C32/C30</f>
        <v>0.20968060632514204</v>
      </c>
      <c r="N32" s="743"/>
    </row>
    <row r="33" spans="1:14" s="773" customFormat="1" ht="15.75" x14ac:dyDescent="0.25">
      <c r="A33" s="743"/>
      <c r="B33" s="784" t="s">
        <v>754</v>
      </c>
      <c r="C33" s="785">
        <f>I22</f>
        <v>36048420026</v>
      </c>
      <c r="D33" s="788">
        <f>C33/C32</f>
        <v>0.669443618093151</v>
      </c>
      <c r="N33" s="743"/>
    </row>
    <row r="34" spans="1:14" s="773" customFormat="1" ht="15.75" x14ac:dyDescent="0.25">
      <c r="A34" s="743"/>
      <c r="B34" s="784" t="s">
        <v>755</v>
      </c>
      <c r="C34" s="785">
        <f>K22</f>
        <v>36048420026</v>
      </c>
      <c r="D34" s="788">
        <f>C34/C32</f>
        <v>0.669443618093151</v>
      </c>
      <c r="N34" s="743"/>
    </row>
    <row r="35" spans="1:14" ht="15.75" x14ac:dyDescent="0.25">
      <c r="B35" s="789" t="s">
        <v>756</v>
      </c>
      <c r="C35" s="785">
        <f>M22</f>
        <v>195429368748</v>
      </c>
      <c r="D35" s="788">
        <f>C35/C30</f>
        <v>0.76098459292631981</v>
      </c>
    </row>
    <row r="37" spans="1:14" x14ac:dyDescent="0.2">
      <c r="B37" s="778"/>
      <c r="C37" s="779"/>
      <c r="D37" s="780"/>
    </row>
    <row r="38" spans="1:14" x14ac:dyDescent="0.2">
      <c r="B38" s="778"/>
      <c r="C38" s="779"/>
      <c r="D38" s="779"/>
    </row>
    <row r="39" spans="1:14" x14ac:dyDescent="0.2">
      <c r="B39" s="778"/>
      <c r="C39" s="779"/>
      <c r="D39" s="779"/>
    </row>
  </sheetData>
  <sheetProtection algorithmName="SHA-512" hashValue="BTFHIsTUVDArQlKjTBoLMADAj69zJFXln5rLimVHkBU0sXj7/CivbBHflOySjlVcqU2Vgy9e1DyoifePuJlZJQ==" saltValue="mR7obKlfTX4jRqqGxL0MtQ==" spinCount="100000" sheet="1" objects="1" scenarios="1"/>
  <mergeCells count="3">
    <mergeCell ref="A1:N1"/>
    <mergeCell ref="C24:E24"/>
    <mergeCell ref="B28:D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MARZO 31-2020</vt: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AUXPLANEACION13</dc:creator>
  <cp:keywords/>
  <dc:description/>
  <cp:lastModifiedBy>AUXPLANEACION32</cp:lastModifiedBy>
  <cp:revision/>
  <dcterms:created xsi:type="dcterms:W3CDTF">2019-10-04T22:13:51Z</dcterms:created>
  <dcterms:modified xsi:type="dcterms:W3CDTF">2020-08-10T23:15:11Z</dcterms:modified>
  <cp:category/>
  <cp:contentStatus/>
</cp:coreProperties>
</file>