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UXPLANEACION03\Desktop\"/>
    </mc:Choice>
  </mc:AlternateContent>
  <bookViews>
    <workbookView xWindow="0" yWindow="0" windowWidth="24000" windowHeight="9435" firstSheet="8" activeTab="9"/>
  </bookViews>
  <sheets>
    <sheet name="ADMINISTRATIVA" sheetId="18" r:id="rId1"/>
    <sheet name="PLANEACION" sheetId="5" r:id="rId2"/>
    <sheet name="HACIENDA" sheetId="3" r:id="rId3"/>
    <sheet name="AGUAS E INFRAESTRUCTURA" sheetId="16" r:id="rId4"/>
    <sheet name="INTERIOR" sheetId="19" r:id="rId5"/>
    <sheet name="CULTURA" sheetId="1" r:id="rId6"/>
    <sheet name="TURISMO" sheetId="6" r:id="rId7"/>
    <sheet name="AGRICULTURA" sheetId="21" r:id="rId8"/>
    <sheet name="PRIVADA" sheetId="4" r:id="rId9"/>
    <sheet name="EDUCACION" sheetId="17" r:id="rId10"/>
    <sheet name="FAMILIA" sheetId="8" r:id="rId11"/>
    <sheet name="REPRES. JUDICIAL" sheetId="9" r:id="rId12"/>
    <sheet name="SALUD" sheetId="11" r:id="rId13"/>
    <sheet name="INDEPORTES" sheetId="14" r:id="rId14"/>
    <sheet name="PROMOTORA" sheetId="22" r:id="rId15"/>
    <sheet name="IDTQ" sheetId="10" r:id="rId16"/>
  </sheets>
  <externalReferences>
    <externalReference r:id="rId17"/>
    <externalReference r:id="rId18"/>
    <externalReference r:id="rId19"/>
  </externalReferences>
  <definedNames>
    <definedName name="_1._Apoyo_con_equipos_para_la_seguridad_vial_Licenciamiento_de_software_para_comunicaciones" localSheetId="9">#REF!</definedName>
    <definedName name="_1._Apoyo_con_equipos_para_la_seguridad_vial_Licenciamiento_de_software_para_comunicaciones" localSheetId="10">#REF!</definedName>
    <definedName name="_1._Apoyo_con_equipos_para_la_seguridad_vial_Licenciamiento_de_software_para_comunicaciones" localSheetId="15">#REF!</definedName>
    <definedName name="_1._Apoyo_con_equipos_para_la_seguridad_vial_Licenciamiento_de_software_para_comunicaciones" localSheetId="13">#REF!</definedName>
    <definedName name="_1._Apoyo_con_equipos_para_la_seguridad_vial_Licenciamiento_de_software_para_comunicaciones" localSheetId="4">#REF!</definedName>
    <definedName name="_1._Apoyo_con_equipos_para_la_seguridad_vial_Licenciamiento_de_software_para_comunicaciones" localSheetId="1">#REF!</definedName>
    <definedName name="_1._Apoyo_con_equipos_para_la_seguridad_vial_Licenciamiento_de_software_para_comunicaciones" localSheetId="14">#REF!</definedName>
    <definedName name="_1._Apoyo_con_equipos_para_la_seguridad_vial_Licenciamiento_de_software_para_comunicaciones" localSheetId="12">#REF!</definedName>
    <definedName name="_1._Apoyo_con_equipos_para_la_seguridad_vial_Licenciamiento_de_software_para_comunicaciones" localSheetId="6">#REF!</definedName>
    <definedName name="_1._Apoyo_con_equipos_para_la_seguridad_vial_Licenciamiento_de_software_para_comunicaciones">#REF!</definedName>
    <definedName name="_xlnm.Print_Area" localSheetId="10">FAMILIA!$A$1:$BI$88</definedName>
    <definedName name="_xlnm.Print_Titles" localSheetId="9">EDUCACION!$1:$9</definedName>
    <definedName name="_xlnm.Print_Titles" localSheetId="2">HACIENDA!$1:$9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23" i="22" l="1"/>
  <c r="V23" i="22"/>
  <c r="U23" i="22"/>
  <c r="T23" i="22"/>
  <c r="P21" i="22"/>
  <c r="O21" i="22"/>
  <c r="P19" i="22"/>
  <c r="O19" i="22" s="1"/>
  <c r="P17" i="22"/>
  <c r="O17" i="22"/>
  <c r="AZ15" i="22"/>
  <c r="AY15" i="22"/>
  <c r="AJ15" i="22"/>
  <c r="AH15" i="22"/>
  <c r="AF15" i="22"/>
  <c r="AD15" i="22"/>
  <c r="AB15" i="22"/>
  <c r="Z15" i="22"/>
  <c r="P15" i="22"/>
  <c r="O15" i="22" s="1"/>
  <c r="AY13" i="22"/>
  <c r="AY23" i="22" s="1"/>
  <c r="AZ23" i="22" s="1"/>
  <c r="AJ13" i="22"/>
  <c r="AH13" i="22"/>
  <c r="AF13" i="22"/>
  <c r="AD13" i="22"/>
  <c r="AB13" i="22"/>
  <c r="Z13" i="22"/>
  <c r="P13" i="22"/>
  <c r="P23" i="22" s="1"/>
  <c r="O13" i="22"/>
  <c r="AZ13" i="22" l="1"/>
  <c r="W76" i="17" l="1"/>
  <c r="W77" i="17"/>
  <c r="AZ67" i="21"/>
  <c r="AY67" i="21"/>
  <c r="W67" i="21"/>
  <c r="V67" i="21"/>
  <c r="Q67" i="21"/>
  <c r="BA65" i="21"/>
  <c r="U65" i="21"/>
  <c r="P65" i="21"/>
  <c r="BA64" i="21"/>
  <c r="P64" i="21"/>
  <c r="U63" i="21"/>
  <c r="BA63" i="21"/>
  <c r="P63" i="21"/>
  <c r="BA62" i="21"/>
  <c r="U62" i="21"/>
  <c r="P62" i="21"/>
  <c r="BA61" i="21"/>
  <c r="P61" i="21"/>
  <c r="U57" i="21"/>
  <c r="BA57" i="21"/>
  <c r="P57" i="21"/>
  <c r="BA56" i="21"/>
  <c r="U56" i="21"/>
  <c r="P56" i="21"/>
  <c r="BA55" i="21"/>
  <c r="U55" i="21"/>
  <c r="P55" i="21"/>
  <c r="U53" i="21"/>
  <c r="BA53" i="21"/>
  <c r="P53" i="21"/>
  <c r="U52" i="21"/>
  <c r="BA52" i="21"/>
  <c r="P52" i="21"/>
  <c r="U51" i="21"/>
  <c r="BA51" i="21"/>
  <c r="P51" i="21"/>
  <c r="U50" i="21"/>
  <c r="BA50" i="21"/>
  <c r="U48" i="21"/>
  <c r="BA48" i="21"/>
  <c r="BA47" i="21"/>
  <c r="P47" i="21"/>
  <c r="BA46" i="21"/>
  <c r="P46" i="21"/>
  <c r="BA45" i="21"/>
  <c r="P45" i="21"/>
  <c r="BA44" i="21"/>
  <c r="P44" i="21"/>
  <c r="U43" i="21"/>
  <c r="BA43" i="21"/>
  <c r="P43" i="21"/>
  <c r="BA41" i="21"/>
  <c r="P41" i="21"/>
  <c r="BA38" i="21"/>
  <c r="P38" i="21"/>
  <c r="BA36" i="21"/>
  <c r="P36" i="21"/>
  <c r="BA35" i="21"/>
  <c r="P35" i="21"/>
  <c r="BA31" i="21"/>
  <c r="P31" i="21"/>
  <c r="BA30" i="21"/>
  <c r="P30" i="21"/>
  <c r="U29" i="21"/>
  <c r="BA29" i="21"/>
  <c r="P29" i="21"/>
  <c r="BA28" i="21"/>
  <c r="P28" i="21"/>
  <c r="U27" i="21"/>
  <c r="BA27" i="21"/>
  <c r="BA26" i="21"/>
  <c r="P26" i="21"/>
  <c r="U24" i="21"/>
  <c r="BA23" i="21"/>
  <c r="P23" i="21"/>
  <c r="BA21" i="21"/>
  <c r="U21" i="21"/>
  <c r="P21" i="21"/>
  <c r="BA20" i="21"/>
  <c r="U20" i="21"/>
  <c r="P20" i="21"/>
  <c r="BA18" i="21"/>
  <c r="P18" i="21"/>
  <c r="BA17" i="21"/>
  <c r="U17" i="21"/>
  <c r="P17" i="21"/>
  <c r="BA16" i="21"/>
  <c r="P16" i="21"/>
  <c r="U15" i="21"/>
  <c r="BA15" i="21"/>
  <c r="P15" i="21"/>
  <c r="BA14" i="21"/>
  <c r="U14" i="21"/>
  <c r="P14" i="21"/>
  <c r="BA13" i="21"/>
  <c r="U13" i="21"/>
  <c r="U67" i="21"/>
  <c r="P13" i="21"/>
  <c r="P50" i="21"/>
  <c r="P48" i="21"/>
  <c r="W105" i="17"/>
  <c r="W35" i="17"/>
  <c r="W39" i="5"/>
  <c r="BC17" i="10"/>
  <c r="BC13" i="10"/>
  <c r="AZ45" i="14"/>
  <c r="AZ34" i="14"/>
  <c r="AZ27" i="14"/>
  <c r="AZ24" i="14"/>
  <c r="AZ13" i="14"/>
  <c r="AZ13" i="8"/>
  <c r="AZ19" i="8"/>
  <c r="BA39" i="4"/>
  <c r="BA34" i="4"/>
  <c r="BA33" i="4"/>
  <c r="BA32" i="4"/>
  <c r="BA31" i="4"/>
  <c r="BA17" i="4"/>
  <c r="BA16" i="4"/>
  <c r="BA13" i="4"/>
  <c r="BC134" i="6"/>
  <c r="BC126" i="6"/>
  <c r="BC111" i="6"/>
  <c r="BC107" i="6"/>
  <c r="BC101" i="6"/>
  <c r="BC62" i="6"/>
  <c r="BC56" i="6"/>
  <c r="BC32" i="6"/>
  <c r="BC27" i="6"/>
  <c r="BA34" i="1"/>
  <c r="BA33" i="1"/>
  <c r="BA30" i="1"/>
  <c r="BA25" i="1"/>
  <c r="BA15" i="1"/>
  <c r="BA14" i="1"/>
  <c r="W157" i="19"/>
  <c r="BB152" i="19"/>
  <c r="Y152" i="19"/>
  <c r="X152" i="19"/>
  <c r="BA152" i="19"/>
  <c r="BC152" i="19"/>
  <c r="S152" i="19"/>
  <c r="BA144" i="19"/>
  <c r="Y144" i="19"/>
  <c r="BB144" i="19"/>
  <c r="X144" i="19"/>
  <c r="S144" i="19"/>
  <c r="S157" i="19"/>
  <c r="BC140" i="19"/>
  <c r="R140" i="19"/>
  <c r="Y135" i="19"/>
  <c r="X135" i="19"/>
  <c r="BC133" i="19"/>
  <c r="R133" i="19"/>
  <c r="BC128" i="19"/>
  <c r="X128" i="19"/>
  <c r="R128" i="19"/>
  <c r="R125" i="19"/>
  <c r="BC122" i="19"/>
  <c r="R122" i="19"/>
  <c r="Y119" i="19"/>
  <c r="X119" i="19"/>
  <c r="X117" i="19"/>
  <c r="X115" i="19"/>
  <c r="BC114" i="19"/>
  <c r="R114" i="19"/>
  <c r="R112" i="19"/>
  <c r="BC106" i="19"/>
  <c r="X106" i="19"/>
  <c r="R106" i="19"/>
  <c r="BC103" i="19"/>
  <c r="R103" i="19"/>
  <c r="BC101" i="19"/>
  <c r="R101" i="19"/>
  <c r="X94" i="19"/>
  <c r="R94" i="19"/>
  <c r="X93" i="19"/>
  <c r="BC92" i="19"/>
  <c r="X92" i="19"/>
  <c r="R92" i="19"/>
  <c r="X90" i="19"/>
  <c r="X89" i="19"/>
  <c r="BC85" i="19"/>
  <c r="R85" i="19"/>
  <c r="X82" i="19"/>
  <c r="BC81" i="19"/>
  <c r="X81" i="19"/>
  <c r="R81" i="19"/>
  <c r="X80" i="19"/>
  <c r="BC79" i="19"/>
  <c r="X79" i="19"/>
  <c r="R79" i="19"/>
  <c r="X76" i="19"/>
  <c r="BC73" i="19"/>
  <c r="Y73" i="19"/>
  <c r="X73" i="19"/>
  <c r="R73" i="19"/>
  <c r="BC71" i="19"/>
  <c r="Y71" i="19"/>
  <c r="X71" i="19"/>
  <c r="R71" i="19"/>
  <c r="Y70" i="19"/>
  <c r="X70" i="19"/>
  <c r="BC67" i="19"/>
  <c r="Y67" i="19"/>
  <c r="X67" i="19"/>
  <c r="R67" i="19"/>
  <c r="Y66" i="19"/>
  <c r="X66" i="19"/>
  <c r="BC65" i="19"/>
  <c r="R65" i="19"/>
  <c r="Y61" i="19"/>
  <c r="X61" i="19"/>
  <c r="X60" i="19"/>
  <c r="Y59" i="19"/>
  <c r="X59" i="19"/>
  <c r="BC58" i="19"/>
  <c r="R58" i="19"/>
  <c r="R55" i="19"/>
  <c r="BC51" i="19"/>
  <c r="R51" i="19"/>
  <c r="BC45" i="19"/>
  <c r="Y45" i="19"/>
  <c r="X45" i="19"/>
  <c r="R45" i="19"/>
  <c r="BC43" i="19"/>
  <c r="Y43" i="19"/>
  <c r="X43" i="19"/>
  <c r="R43" i="19"/>
  <c r="BC37" i="19"/>
  <c r="Y37" i="19"/>
  <c r="X37" i="19"/>
  <c r="R37" i="19"/>
  <c r="Y35" i="19"/>
  <c r="X35" i="19"/>
  <c r="Y34" i="19"/>
  <c r="X34" i="19"/>
  <c r="Y33" i="19"/>
  <c r="Y157" i="19"/>
  <c r="X33" i="19"/>
  <c r="X157" i="19"/>
  <c r="BC22" i="19"/>
  <c r="R22" i="19"/>
  <c r="R18" i="19"/>
  <c r="R17" i="19"/>
  <c r="R16" i="19"/>
  <c r="R15" i="19"/>
  <c r="BB157" i="19"/>
  <c r="BC144" i="19"/>
  <c r="BA157" i="19"/>
  <c r="BC157" i="19"/>
  <c r="BA63" i="16"/>
  <c r="BA58" i="16"/>
  <c r="BA55" i="16"/>
  <c r="BA51" i="16"/>
  <c r="BA46" i="16"/>
  <c r="BA45" i="16"/>
  <c r="BA40" i="16"/>
  <c r="BA35" i="16"/>
  <c r="BA28" i="3"/>
  <c r="BA22" i="3"/>
  <c r="BA17" i="3"/>
  <c r="BA13" i="3"/>
  <c r="BA25" i="3"/>
  <c r="BC48" i="5"/>
  <c r="BC88" i="5"/>
  <c r="BC86" i="5"/>
  <c r="AZ26" i="18"/>
  <c r="AY26" i="18"/>
  <c r="W26" i="18"/>
  <c r="V26" i="18"/>
  <c r="P24" i="18"/>
  <c r="BA23" i="18"/>
  <c r="U23" i="18"/>
  <c r="U26" i="18"/>
  <c r="P22" i="18"/>
  <c r="P21" i="18"/>
  <c r="Q20" i="18"/>
  <c r="Q26" i="18"/>
  <c r="BA19" i="18"/>
  <c r="P20" i="18"/>
  <c r="P23" i="18"/>
  <c r="P25" i="18"/>
  <c r="BC112" i="17"/>
  <c r="S112" i="17"/>
  <c r="R112" i="17"/>
  <c r="BC111" i="17"/>
  <c r="BB111" i="17"/>
  <c r="BA111" i="17"/>
  <c r="Y111" i="17"/>
  <c r="X111" i="17"/>
  <c r="W111" i="17"/>
  <c r="S107" i="17"/>
  <c r="R107" i="17"/>
  <c r="BB106" i="17"/>
  <c r="BA106" i="17"/>
  <c r="BC106" i="17"/>
  <c r="Y106" i="17"/>
  <c r="X106" i="17"/>
  <c r="W106" i="17"/>
  <c r="BC105" i="17"/>
  <c r="BB105" i="17"/>
  <c r="BA105" i="17"/>
  <c r="R105" i="17"/>
  <c r="S105" i="17"/>
  <c r="BB104" i="17"/>
  <c r="BA104" i="17"/>
  <c r="Y104" i="17"/>
  <c r="X104" i="17"/>
  <c r="W104" i="17"/>
  <c r="S103" i="17"/>
  <c r="R103" i="17"/>
  <c r="BB102" i="17"/>
  <c r="BA102" i="17"/>
  <c r="BC102" i="17"/>
  <c r="Y102" i="17"/>
  <c r="X102" i="17"/>
  <c r="W102" i="17"/>
  <c r="R101" i="17"/>
  <c r="S100" i="17"/>
  <c r="R100" i="17"/>
  <c r="BB99" i="17"/>
  <c r="BA99" i="17"/>
  <c r="Y99" i="17"/>
  <c r="X99" i="17"/>
  <c r="W99" i="17"/>
  <c r="BC99" i="17"/>
  <c r="BB95" i="17"/>
  <c r="BC95" i="17"/>
  <c r="BA95" i="17"/>
  <c r="BB91" i="17"/>
  <c r="BA91" i="17"/>
  <c r="BC91" i="17"/>
  <c r="S91" i="17"/>
  <c r="R97" i="17"/>
  <c r="BA90" i="17"/>
  <c r="BC90" i="17"/>
  <c r="Y90" i="17"/>
  <c r="X90" i="17"/>
  <c r="W90" i="17"/>
  <c r="R87" i="17"/>
  <c r="X85" i="17"/>
  <c r="R85" i="17"/>
  <c r="R84" i="17"/>
  <c r="S83" i="17"/>
  <c r="R86" i="17"/>
  <c r="BB82" i="17"/>
  <c r="BA82" i="17"/>
  <c r="Y82" i="17"/>
  <c r="X82" i="17"/>
  <c r="W82" i="17"/>
  <c r="BC82" i="17"/>
  <c r="S77" i="17"/>
  <c r="R77" i="17"/>
  <c r="BB76" i="17"/>
  <c r="BA76" i="17"/>
  <c r="Y76" i="17"/>
  <c r="X76" i="17"/>
  <c r="BC76" i="17"/>
  <c r="R73" i="17"/>
  <c r="R72" i="17"/>
  <c r="S71" i="17"/>
  <c r="R75" i="17"/>
  <c r="BB70" i="17"/>
  <c r="BA70" i="17"/>
  <c r="Y70" i="17"/>
  <c r="X70" i="17"/>
  <c r="W70" i="17"/>
  <c r="BC70" i="17"/>
  <c r="R65" i="17"/>
  <c r="R61" i="17"/>
  <c r="R56" i="17"/>
  <c r="R52" i="17"/>
  <c r="S48" i="17"/>
  <c r="R69" i="17"/>
  <c r="R48" i="17"/>
  <c r="BB47" i="17"/>
  <c r="BA47" i="17"/>
  <c r="BC47" i="17"/>
  <c r="Y47" i="17"/>
  <c r="X47" i="17"/>
  <c r="W47" i="17"/>
  <c r="BB46" i="17"/>
  <c r="BA46" i="17"/>
  <c r="BB45" i="17"/>
  <c r="BA45" i="17"/>
  <c r="BB44" i="17"/>
  <c r="BA44" i="17"/>
  <c r="BB43" i="17"/>
  <c r="BA43" i="17"/>
  <c r="BB42" i="17"/>
  <c r="BA42" i="17"/>
  <c r="BB41" i="17"/>
  <c r="BA41" i="17"/>
  <c r="BB39" i="17"/>
  <c r="X39" i="17"/>
  <c r="BA39" i="17"/>
  <c r="W39" i="17"/>
  <c r="R39" i="17"/>
  <c r="BB38" i="17"/>
  <c r="BA38" i="17"/>
  <c r="S38" i="17"/>
  <c r="R46" i="17"/>
  <c r="Y37" i="17"/>
  <c r="BC35" i="17"/>
  <c r="BB35" i="17"/>
  <c r="BB34" i="17"/>
  <c r="BA35" i="17"/>
  <c r="S35" i="17"/>
  <c r="R35" i="17"/>
  <c r="BA34" i="17"/>
  <c r="BC34" i="17"/>
  <c r="Y34" i="17"/>
  <c r="Y113" i="17"/>
  <c r="X34" i="17"/>
  <c r="W34" i="17"/>
  <c r="W113" i="17"/>
  <c r="Y32" i="17"/>
  <c r="BB30" i="17"/>
  <c r="R31" i="17"/>
  <c r="BA30" i="17"/>
  <c r="R30" i="17"/>
  <c r="BB29" i="17"/>
  <c r="BA29" i="17"/>
  <c r="R29" i="17"/>
  <c r="BB28" i="17"/>
  <c r="BA28" i="17"/>
  <c r="BB25" i="17"/>
  <c r="BA25" i="17"/>
  <c r="BB24" i="17"/>
  <c r="BA24" i="17"/>
  <c r="BC24" i="17"/>
  <c r="BB23" i="17"/>
  <c r="BA23" i="17"/>
  <c r="S23" i="17"/>
  <c r="R25" i="17"/>
  <c r="AZ22" i="17"/>
  <c r="W22" i="17"/>
  <c r="BC21" i="17"/>
  <c r="BB21" i="17"/>
  <c r="BA21" i="17"/>
  <c r="BC16" i="17"/>
  <c r="BB16" i="17"/>
  <c r="BA16" i="17"/>
  <c r="X14" i="17"/>
  <c r="BA13" i="17"/>
  <c r="BB13" i="17"/>
  <c r="S13" i="17"/>
  <c r="R13" i="17"/>
  <c r="BB12" i="17"/>
  <c r="W12" i="17"/>
  <c r="BB37" i="17"/>
  <c r="BA22" i="17"/>
  <c r="BC22" i="17"/>
  <c r="BC104" i="17"/>
  <c r="X113" i="17"/>
  <c r="BA37" i="17"/>
  <c r="BC39" i="17"/>
  <c r="BC13" i="17"/>
  <c r="BA12" i="17"/>
  <c r="BC30" i="17"/>
  <c r="BB22" i="17"/>
  <c r="BB113" i="17"/>
  <c r="R16" i="17"/>
  <c r="R21" i="17"/>
  <c r="R41" i="17"/>
  <c r="R62" i="17"/>
  <c r="BB90" i="17"/>
  <c r="R93" i="17"/>
  <c r="R108" i="17"/>
  <c r="R23" i="17"/>
  <c r="BC23" i="17"/>
  <c r="R28" i="17"/>
  <c r="X37" i="17"/>
  <c r="R44" i="17"/>
  <c r="R49" i="17"/>
  <c r="R54" i="17"/>
  <c r="R59" i="17"/>
  <c r="R63" i="17"/>
  <c r="R68" i="17"/>
  <c r="R71" i="17"/>
  <c r="R74" i="17"/>
  <c r="R83" i="17"/>
  <c r="R95" i="17"/>
  <c r="R96" i="17"/>
  <c r="R109" i="17"/>
  <c r="R42" i="17"/>
  <c r="R92" i="17"/>
  <c r="S113" i="17"/>
  <c r="W37" i="17"/>
  <c r="R53" i="17"/>
  <c r="R57" i="17"/>
  <c r="R66" i="17"/>
  <c r="R24" i="17"/>
  <c r="R38" i="17"/>
  <c r="R43" i="17"/>
  <c r="R51" i="17"/>
  <c r="R55" i="17"/>
  <c r="R60" i="17"/>
  <c r="R64" i="17"/>
  <c r="R91" i="17"/>
  <c r="BC12" i="17"/>
  <c r="BA113" i="17"/>
  <c r="BC113" i="17"/>
  <c r="BC37" i="17"/>
  <c r="U63" i="16"/>
  <c r="BA62" i="16"/>
  <c r="AY62" i="16"/>
  <c r="AX62" i="16"/>
  <c r="P62" i="16"/>
  <c r="BA61" i="16"/>
  <c r="AY61" i="16"/>
  <c r="AX61" i="16"/>
  <c r="P61" i="16"/>
  <c r="BA60" i="16"/>
  <c r="AY60" i="16"/>
  <c r="AX60" i="16"/>
  <c r="P60" i="16"/>
  <c r="BA59" i="16"/>
  <c r="P59" i="16"/>
  <c r="AY58" i="16"/>
  <c r="W58" i="16"/>
  <c r="V58" i="16"/>
  <c r="V57" i="16"/>
  <c r="P57" i="16"/>
  <c r="BA56" i="16"/>
  <c r="AY56" i="16"/>
  <c r="AX56" i="16"/>
  <c r="P56" i="16"/>
  <c r="AZ55" i="16"/>
  <c r="W55" i="16"/>
  <c r="V55" i="16"/>
  <c r="BA54" i="16"/>
  <c r="AY54" i="16"/>
  <c r="AX54" i="16"/>
  <c r="V53" i="16"/>
  <c r="BA53" i="16"/>
  <c r="BA52" i="16"/>
  <c r="AY52" i="16"/>
  <c r="AX52" i="16"/>
  <c r="AZ51" i="16"/>
  <c r="V51" i="16"/>
  <c r="BA50" i="16"/>
  <c r="AY50" i="16"/>
  <c r="AX50" i="16"/>
  <c r="P50" i="16"/>
  <c r="BA49" i="16"/>
  <c r="AY49" i="16"/>
  <c r="AX49" i="16"/>
  <c r="P49" i="16"/>
  <c r="V48" i="16"/>
  <c r="BA47" i="16"/>
  <c r="AY47" i="16"/>
  <c r="AX47" i="16"/>
  <c r="AZ46" i="16"/>
  <c r="W46" i="16"/>
  <c r="V46" i="16"/>
  <c r="AZ45" i="16"/>
  <c r="W45" i="16"/>
  <c r="V45" i="16"/>
  <c r="BA44" i="16"/>
  <c r="AY44" i="16"/>
  <c r="AX44" i="16"/>
  <c r="P44" i="16"/>
  <c r="BA42" i="16"/>
  <c r="AY42" i="16"/>
  <c r="AX42" i="16"/>
  <c r="BA41" i="16"/>
  <c r="AY41" i="16"/>
  <c r="AX41" i="16"/>
  <c r="P41" i="16"/>
  <c r="AZ40" i="16"/>
  <c r="W40" i="16"/>
  <c r="V40" i="16"/>
  <c r="BA39" i="16"/>
  <c r="AY39" i="16"/>
  <c r="AX39" i="16"/>
  <c r="BA38" i="16"/>
  <c r="AY38" i="16"/>
  <c r="AX38" i="16"/>
  <c r="AO38" i="16"/>
  <c r="AM38" i="16"/>
  <c r="AK38" i="16"/>
  <c r="AI38" i="16"/>
  <c r="AG38" i="16"/>
  <c r="AE38" i="16"/>
  <c r="AA38" i="16"/>
  <c r="P38" i="16"/>
  <c r="BA37" i="16"/>
  <c r="AY37" i="16"/>
  <c r="AX37" i="16"/>
  <c r="BA36" i="16"/>
  <c r="AY36" i="16"/>
  <c r="AX36" i="16"/>
  <c r="AX63" i="16"/>
  <c r="W35" i="16"/>
  <c r="W63" i="16"/>
  <c r="W64" i="16"/>
  <c r="V35" i="16"/>
  <c r="AY35" i="16"/>
  <c r="AW34" i="16"/>
  <c r="AU34" i="16"/>
  <c r="AO34" i="16"/>
  <c r="AM34" i="16"/>
  <c r="AK34" i="16"/>
  <c r="AI34" i="16"/>
  <c r="AG34" i="16"/>
  <c r="AE34" i="16"/>
  <c r="V34" i="16"/>
  <c r="AY34" i="16"/>
  <c r="P34" i="16"/>
  <c r="BA30" i="16"/>
  <c r="BA29" i="16"/>
  <c r="BA28" i="16"/>
  <c r="BA27" i="16"/>
  <c r="BA26" i="16"/>
  <c r="BA21" i="16"/>
  <c r="BA19" i="16"/>
  <c r="BA17" i="16"/>
  <c r="P17" i="16"/>
  <c r="BA13" i="16"/>
  <c r="P13" i="16"/>
  <c r="AZ35" i="16"/>
  <c r="AZ63" i="16"/>
  <c r="AY40" i="16"/>
  <c r="AY45" i="16"/>
  <c r="AY63" i="16"/>
  <c r="V63" i="16"/>
  <c r="V65" i="16"/>
  <c r="AY45" i="14"/>
  <c r="AX45" i="14"/>
  <c r="V45" i="14"/>
  <c r="U45" i="14"/>
  <c r="P45" i="14"/>
  <c r="T38" i="14"/>
  <c r="O38" i="14"/>
  <c r="T37" i="14"/>
  <c r="O36" i="14"/>
  <c r="T35" i="14"/>
  <c r="O34" i="14"/>
  <c r="O31" i="14"/>
  <c r="O29" i="14"/>
  <c r="T28" i="14"/>
  <c r="O27" i="14"/>
  <c r="R21" i="14"/>
  <c r="Q21" i="14"/>
  <c r="O21" i="14"/>
  <c r="O19" i="14"/>
  <c r="AW13" i="14"/>
  <c r="O13" i="14"/>
  <c r="T45" i="14"/>
  <c r="BB190" i="11"/>
  <c r="BA190" i="11"/>
  <c r="Y190" i="11"/>
  <c r="BC182" i="11"/>
  <c r="AY182" i="11"/>
  <c r="AW182" i="11"/>
  <c r="AU182" i="11"/>
  <c r="AS182" i="11"/>
  <c r="AQ182" i="11"/>
  <c r="AO182" i="11"/>
  <c r="AM182" i="11"/>
  <c r="AK182" i="11"/>
  <c r="AI182" i="11"/>
  <c r="AG182" i="11"/>
  <c r="AE182" i="11"/>
  <c r="AC182" i="11"/>
  <c r="BC177" i="11"/>
  <c r="AY177" i="11"/>
  <c r="AW177" i="11"/>
  <c r="AU177" i="11"/>
  <c r="AS177" i="11"/>
  <c r="AQ177" i="11"/>
  <c r="AO177" i="11"/>
  <c r="AL177" i="11"/>
  <c r="AM177" i="11"/>
  <c r="AJ177" i="11"/>
  <c r="AK177" i="11"/>
  <c r="AH177" i="11"/>
  <c r="AI177" i="11"/>
  <c r="AD177" i="11"/>
  <c r="AE177" i="11"/>
  <c r="AB177" i="11"/>
  <c r="AC177" i="11"/>
  <c r="AL171" i="11"/>
  <c r="AJ171" i="11"/>
  <c r="AH171" i="11"/>
  <c r="AF171" i="11"/>
  <c r="AF177" i="11"/>
  <c r="AG177" i="11"/>
  <c r="AD171" i="11"/>
  <c r="AB171" i="11"/>
  <c r="R162" i="11"/>
  <c r="R160" i="11"/>
  <c r="BC156" i="11"/>
  <c r="AY156" i="11"/>
  <c r="AW156" i="11"/>
  <c r="AU156" i="11"/>
  <c r="AS156" i="11"/>
  <c r="AQ156" i="11"/>
  <c r="AO156" i="11"/>
  <c r="AM156" i="11"/>
  <c r="AK156" i="11"/>
  <c r="AI156" i="11"/>
  <c r="AG156" i="11"/>
  <c r="AE156" i="11"/>
  <c r="AC156" i="11"/>
  <c r="W152" i="11"/>
  <c r="BC150" i="11"/>
  <c r="AY150" i="11"/>
  <c r="AW150" i="11"/>
  <c r="AU150" i="11"/>
  <c r="AS150" i="11"/>
  <c r="AQ150" i="11"/>
  <c r="AO150" i="11"/>
  <c r="AM150" i="11"/>
  <c r="AK150" i="11"/>
  <c r="AI150" i="11"/>
  <c r="AG150" i="11"/>
  <c r="AE150" i="11"/>
  <c r="AC150" i="11"/>
  <c r="S150" i="11"/>
  <c r="R147" i="11"/>
  <c r="R144" i="11"/>
  <c r="BC142" i="11"/>
  <c r="AY142" i="11"/>
  <c r="AW142" i="11"/>
  <c r="AU142" i="11"/>
  <c r="AS142" i="11"/>
  <c r="AQ142" i="11"/>
  <c r="AO142" i="11"/>
  <c r="AM142" i="11"/>
  <c r="AK142" i="11"/>
  <c r="AI142" i="11"/>
  <c r="AG142" i="11"/>
  <c r="AE142" i="11"/>
  <c r="AC142" i="11"/>
  <c r="R142" i="11"/>
  <c r="W135" i="11"/>
  <c r="R135" i="11"/>
  <c r="W133" i="11"/>
  <c r="BC132" i="11"/>
  <c r="AX132" i="11"/>
  <c r="AY132" i="11"/>
  <c r="AW132" i="11"/>
  <c r="AU132" i="11"/>
  <c r="AT132" i="11"/>
  <c r="AS132" i="11"/>
  <c r="AR132" i="11"/>
  <c r="AQ132" i="11"/>
  <c r="AP132" i="11"/>
  <c r="AO132" i="11"/>
  <c r="AL132" i="11"/>
  <c r="AM132" i="11"/>
  <c r="AJ132" i="11"/>
  <c r="AK132" i="11"/>
  <c r="AH132" i="11"/>
  <c r="AI132" i="11"/>
  <c r="AF132" i="11"/>
  <c r="AG132" i="11"/>
  <c r="AD132" i="11"/>
  <c r="AE132" i="11"/>
  <c r="AB132" i="11"/>
  <c r="AC132" i="11"/>
  <c r="S132" i="11"/>
  <c r="R132" i="11"/>
  <c r="W128" i="11"/>
  <c r="BC127" i="11"/>
  <c r="AY127" i="11"/>
  <c r="AW127" i="11"/>
  <c r="AU127" i="11"/>
  <c r="AS127" i="11"/>
  <c r="AQ127" i="11"/>
  <c r="AO127" i="11"/>
  <c r="AM127" i="11"/>
  <c r="AK127" i="11"/>
  <c r="AI127" i="11"/>
  <c r="AG127" i="11"/>
  <c r="AE127" i="11"/>
  <c r="AC127" i="11"/>
  <c r="W127" i="11"/>
  <c r="S127" i="11"/>
  <c r="W124" i="11"/>
  <c r="W123" i="11"/>
  <c r="W121" i="11"/>
  <c r="S121" i="11"/>
  <c r="W119" i="11"/>
  <c r="W118" i="11"/>
  <c r="R118" i="11"/>
  <c r="W112" i="11"/>
  <c r="R111" i="11"/>
  <c r="W111" i="11"/>
  <c r="W107" i="11"/>
  <c r="W106" i="11"/>
  <c r="BC105" i="11"/>
  <c r="W105" i="11"/>
  <c r="R105" i="11"/>
  <c r="S105" i="11"/>
  <c r="R108" i="11"/>
  <c r="W103" i="11"/>
  <c r="W102" i="11"/>
  <c r="W100" i="11"/>
  <c r="S96" i="11"/>
  <c r="W97" i="11"/>
  <c r="BC96" i="11"/>
  <c r="R92" i="11"/>
  <c r="BC89" i="11"/>
  <c r="AX89" i="11"/>
  <c r="AY89" i="11"/>
  <c r="AT89" i="11"/>
  <c r="AU89" i="11"/>
  <c r="AR89" i="11"/>
  <c r="AS89" i="11"/>
  <c r="AP89" i="11"/>
  <c r="AQ89" i="11"/>
  <c r="AL89" i="11"/>
  <c r="AM89" i="11"/>
  <c r="AJ89" i="11"/>
  <c r="AK89" i="11"/>
  <c r="AH89" i="11"/>
  <c r="AI89" i="11"/>
  <c r="AD89" i="11"/>
  <c r="AE89" i="11"/>
  <c r="AB89" i="11"/>
  <c r="AC89" i="11"/>
  <c r="R89" i="11"/>
  <c r="R84" i="11"/>
  <c r="AX81" i="11"/>
  <c r="AV81" i="11"/>
  <c r="AV89" i="11"/>
  <c r="AT81" i="11"/>
  <c r="AR81" i="11"/>
  <c r="AP81" i="11"/>
  <c r="AN81" i="11"/>
  <c r="AN89" i="11"/>
  <c r="AL81" i="11"/>
  <c r="AJ81" i="11"/>
  <c r="AH81" i="11"/>
  <c r="AF81" i="11"/>
  <c r="AF89" i="11"/>
  <c r="AD81" i="11"/>
  <c r="AB81" i="11"/>
  <c r="R81" i="11"/>
  <c r="BC71" i="11"/>
  <c r="AY71" i="11"/>
  <c r="AW71" i="11"/>
  <c r="AU71" i="11"/>
  <c r="AS71" i="11"/>
  <c r="AQ71" i="11"/>
  <c r="AO71" i="11"/>
  <c r="AM71" i="11"/>
  <c r="AK71" i="11"/>
  <c r="AI71" i="11"/>
  <c r="AG71" i="11"/>
  <c r="AE71" i="11"/>
  <c r="AC71" i="11"/>
  <c r="W71" i="11"/>
  <c r="S71" i="11"/>
  <c r="W70" i="11"/>
  <c r="R70" i="11"/>
  <c r="BC65" i="11"/>
  <c r="AY65" i="11"/>
  <c r="AW65" i="11"/>
  <c r="AU65" i="11"/>
  <c r="AS65" i="11"/>
  <c r="AQ65" i="11"/>
  <c r="AO65" i="11"/>
  <c r="AM65" i="11"/>
  <c r="AK65" i="11"/>
  <c r="AI65" i="11"/>
  <c r="AG65" i="11"/>
  <c r="AE65" i="11"/>
  <c r="AC65" i="11"/>
  <c r="W65" i="11"/>
  <c r="S65" i="11"/>
  <c r="R65" i="11"/>
  <c r="BC62" i="11"/>
  <c r="AC62" i="11"/>
  <c r="W62" i="11"/>
  <c r="S62" i="11"/>
  <c r="R59" i="11"/>
  <c r="X58" i="11"/>
  <c r="X190" i="11"/>
  <c r="X56" i="11"/>
  <c r="R56" i="11"/>
  <c r="BC53" i="11"/>
  <c r="AY53" i="11"/>
  <c r="AW53" i="11"/>
  <c r="AU53" i="11"/>
  <c r="AS53" i="11"/>
  <c r="AQ53" i="11"/>
  <c r="AO53" i="11"/>
  <c r="AM53" i="11"/>
  <c r="AK53" i="11"/>
  <c r="AI53" i="11"/>
  <c r="AG53" i="11"/>
  <c r="AE53" i="11"/>
  <c r="AC53" i="11"/>
  <c r="R53" i="11"/>
  <c r="R48" i="11"/>
  <c r="AX47" i="11"/>
  <c r="AV47" i="11"/>
  <c r="AT47" i="11"/>
  <c r="AR47" i="11"/>
  <c r="AP47" i="11"/>
  <c r="AN47" i="11"/>
  <c r="AL47" i="11"/>
  <c r="AJ47" i="11"/>
  <c r="AH47" i="11"/>
  <c r="AF47" i="11"/>
  <c r="AD47" i="11"/>
  <c r="AB47" i="11"/>
  <c r="W47" i="11"/>
  <c r="R47" i="11"/>
  <c r="S47" i="11"/>
  <c r="R50" i="11"/>
  <c r="R43" i="11"/>
  <c r="W41" i="11"/>
  <c r="R40" i="11"/>
  <c r="W39" i="11"/>
  <c r="W37" i="11"/>
  <c r="W36" i="11"/>
  <c r="W35" i="11"/>
  <c r="R35" i="11"/>
  <c r="W34" i="11"/>
  <c r="BC32" i="11"/>
  <c r="AY32" i="11"/>
  <c r="AW32" i="11"/>
  <c r="AU32" i="11"/>
  <c r="AS32" i="11"/>
  <c r="AQ32" i="11"/>
  <c r="AO32" i="11"/>
  <c r="AM32" i="11"/>
  <c r="AK32" i="11"/>
  <c r="AI32" i="11"/>
  <c r="AG32" i="11"/>
  <c r="AE32" i="11"/>
  <c r="AC32" i="11"/>
  <c r="W32" i="11"/>
  <c r="R32" i="11"/>
  <c r="R29" i="11"/>
  <c r="BC27" i="11"/>
  <c r="AY27" i="11"/>
  <c r="AW27" i="11"/>
  <c r="AU27" i="11"/>
  <c r="AS27" i="11"/>
  <c r="AQ27" i="11"/>
  <c r="AO27" i="11"/>
  <c r="AM27" i="11"/>
  <c r="AK27" i="11"/>
  <c r="AI27" i="11"/>
  <c r="AG27" i="11"/>
  <c r="AE27" i="11"/>
  <c r="AC27" i="11"/>
  <c r="R27" i="11"/>
  <c r="BC17" i="11"/>
  <c r="AC17" i="11"/>
  <c r="W17" i="11"/>
  <c r="W190" i="11"/>
  <c r="S17" i="11"/>
  <c r="R20" i="11"/>
  <c r="AG89" i="11"/>
  <c r="AF96" i="11"/>
  <c r="AG96" i="11"/>
  <c r="AO89" i="11"/>
  <c r="AN96" i="11"/>
  <c r="AW89" i="11"/>
  <c r="AV96" i="11"/>
  <c r="R100" i="11"/>
  <c r="R98" i="11"/>
  <c r="R96" i="11"/>
  <c r="AD96" i="11"/>
  <c r="AE96" i="11"/>
  <c r="AH96" i="11"/>
  <c r="AI96" i="11"/>
  <c r="AL96" i="11"/>
  <c r="AM96" i="11"/>
  <c r="AP96" i="11"/>
  <c r="AT96" i="11"/>
  <c r="AX96" i="11"/>
  <c r="R17" i="11"/>
  <c r="R18" i="11"/>
  <c r="AB96" i="11"/>
  <c r="AC96" i="11"/>
  <c r="AJ96" i="11"/>
  <c r="AK96" i="11"/>
  <c r="AR96" i="11"/>
  <c r="S190" i="11"/>
  <c r="BB17" i="10"/>
  <c r="BA17" i="10"/>
  <c r="Y17" i="10"/>
  <c r="X17" i="10"/>
  <c r="W17" i="10"/>
  <c r="S17" i="10"/>
  <c r="R16" i="10"/>
  <c r="R15" i="10"/>
  <c r="R13" i="10"/>
  <c r="AS96" i="11"/>
  <c r="AR105" i="11"/>
  <c r="AS105" i="11"/>
  <c r="AO96" i="11"/>
  <c r="AN105" i="11"/>
  <c r="AO105" i="11"/>
  <c r="AX105" i="11"/>
  <c r="AY105" i="11"/>
  <c r="AY96" i="11"/>
  <c r="AT105" i="11"/>
  <c r="AU105" i="11"/>
  <c r="AU96" i="11"/>
  <c r="AW96" i="11"/>
  <c r="AV105" i="11"/>
  <c r="AW105" i="11"/>
  <c r="AP105" i="11"/>
  <c r="AQ105" i="11"/>
  <c r="AQ96" i="11"/>
  <c r="U17" i="9"/>
  <c r="T17" i="9"/>
  <c r="P17" i="9"/>
  <c r="AX13" i="9"/>
  <c r="AX17" i="9"/>
  <c r="AY74" i="8"/>
  <c r="AZ74" i="8"/>
  <c r="AX74" i="8"/>
  <c r="V74" i="8"/>
  <c r="U74" i="8"/>
  <c r="P74" i="8"/>
  <c r="AZ71" i="8"/>
  <c r="AZ68" i="8"/>
  <c r="T64" i="8"/>
  <c r="AZ62" i="8"/>
  <c r="AZ59" i="8"/>
  <c r="AL59" i="8"/>
  <c r="AK59" i="8"/>
  <c r="T59" i="8"/>
  <c r="T56" i="8"/>
  <c r="AZ55" i="8"/>
  <c r="T55" i="8"/>
  <c r="T52" i="8"/>
  <c r="AZ51" i="8"/>
  <c r="AZ46" i="8"/>
  <c r="T46" i="8"/>
  <c r="T74" i="8"/>
  <c r="AZ41" i="8"/>
  <c r="AZ33" i="8"/>
  <c r="T30" i="8"/>
  <c r="AZ28" i="8"/>
  <c r="T24" i="8"/>
  <c r="AZ22" i="8"/>
  <c r="T13" i="8"/>
  <c r="BB134" i="6"/>
  <c r="BA134" i="6"/>
  <c r="BA126" i="6"/>
  <c r="W126" i="6"/>
  <c r="S126" i="6"/>
  <c r="R126" i="6"/>
  <c r="X121" i="6"/>
  <c r="X134" i="6"/>
  <c r="W121" i="6"/>
  <c r="Y118" i="6"/>
  <c r="W118" i="6"/>
  <c r="Y116" i="6"/>
  <c r="Y134" i="6"/>
  <c r="W116" i="6"/>
  <c r="W114" i="6"/>
  <c r="S111" i="6"/>
  <c r="W111" i="6"/>
  <c r="W107" i="6"/>
  <c r="R107" i="6"/>
  <c r="W101" i="6"/>
  <c r="R101" i="6"/>
  <c r="W93" i="6"/>
  <c r="R93" i="6"/>
  <c r="W89" i="6"/>
  <c r="R89" i="6"/>
  <c r="W83" i="6"/>
  <c r="R83" i="6"/>
  <c r="W75" i="6"/>
  <c r="R75" i="6"/>
  <c r="W69" i="6"/>
  <c r="R69" i="6"/>
  <c r="W62" i="6"/>
  <c r="R62" i="6"/>
  <c r="W56" i="6"/>
  <c r="R56" i="6"/>
  <c r="R49" i="6"/>
  <c r="W48" i="6"/>
  <c r="W40" i="6"/>
  <c r="R40" i="6"/>
  <c r="W36" i="6"/>
  <c r="W32" i="6"/>
  <c r="R32" i="6"/>
  <c r="W27" i="6"/>
  <c r="R27" i="6"/>
  <c r="W22" i="6"/>
  <c r="W134" i="6"/>
  <c r="R22" i="6"/>
  <c r="S134" i="6"/>
  <c r="R111" i="6"/>
  <c r="R91" i="5"/>
  <c r="R90" i="5"/>
  <c r="R89" i="5"/>
  <c r="R88" i="5"/>
  <c r="R86" i="5"/>
  <c r="R85" i="5"/>
  <c r="R84" i="5"/>
  <c r="R83" i="5"/>
  <c r="R82" i="5"/>
  <c r="P18" i="3"/>
  <c r="P15" i="3"/>
  <c r="P13" i="3"/>
  <c r="W88" i="5"/>
  <c r="W86" i="5"/>
  <c r="S82" i="5"/>
  <c r="BB85" i="5"/>
  <c r="BA85" i="5"/>
  <c r="BB84" i="5"/>
  <c r="BA84" i="5"/>
  <c r="W81" i="5"/>
  <c r="Y80" i="5"/>
  <c r="X80" i="5"/>
  <c r="W80" i="5"/>
  <c r="W79" i="5"/>
  <c r="Y78" i="5"/>
  <c r="X78" i="5"/>
  <c r="W78" i="5"/>
  <c r="Y77" i="5"/>
  <c r="Y92" i="5" s="1"/>
  <c r="W77" i="5"/>
  <c r="X77" i="5"/>
  <c r="BA76" i="5" s="1"/>
  <c r="BA92" i="5" s="1"/>
  <c r="X76" i="5"/>
  <c r="S76" i="5"/>
  <c r="W72" i="5"/>
  <c r="W71" i="5"/>
  <c r="W70" i="5"/>
  <c r="W69" i="5"/>
  <c r="BB62" i="5"/>
  <c r="BA62" i="5"/>
  <c r="W60" i="5"/>
  <c r="BB59" i="5"/>
  <c r="BA59" i="5"/>
  <c r="S59" i="5"/>
  <c r="X51" i="5"/>
  <c r="BA50" i="5"/>
  <c r="BC50" i="5"/>
  <c r="W49" i="5"/>
  <c r="S44" i="5"/>
  <c r="BB44" i="5"/>
  <c r="BA44" i="5"/>
  <c r="W38" i="5"/>
  <c r="W36" i="5"/>
  <c r="BA34" i="5"/>
  <c r="W34" i="5"/>
  <c r="X22" i="5"/>
  <c r="X20" i="5"/>
  <c r="X19" i="5"/>
  <c r="Y19" i="5"/>
  <c r="X18" i="5"/>
  <c r="X17" i="5"/>
  <c r="X16" i="5"/>
  <c r="X15" i="5"/>
  <c r="X14" i="5"/>
  <c r="BC44" i="5"/>
  <c r="BA13" i="5"/>
  <c r="R47" i="5"/>
  <c r="R50" i="5"/>
  <c r="R44" i="5"/>
  <c r="R48" i="5"/>
  <c r="R49" i="5"/>
  <c r="BC59" i="5"/>
  <c r="BC84" i="5"/>
  <c r="BC62" i="5"/>
  <c r="BB13" i="5"/>
  <c r="BC13" i="5"/>
  <c r="S92" i="5"/>
  <c r="X92" i="5"/>
  <c r="AZ39" i="4"/>
  <c r="AY39" i="4"/>
  <c r="W39" i="4"/>
  <c r="V39" i="4"/>
  <c r="AZ34" i="4"/>
  <c r="AY34" i="4"/>
  <c r="U34" i="4"/>
  <c r="AZ33" i="4"/>
  <c r="AY33" i="4"/>
  <c r="U33" i="4"/>
  <c r="AZ32" i="4"/>
  <c r="AY32" i="4"/>
  <c r="U32" i="4"/>
  <c r="AZ31" i="4"/>
  <c r="AY31" i="4"/>
  <c r="U31" i="4"/>
  <c r="P31" i="4"/>
  <c r="Q31" i="4"/>
  <c r="Q39" i="4"/>
  <c r="BA25" i="4"/>
  <c r="Q21" i="4"/>
  <c r="BA23" i="4"/>
  <c r="P21" i="4"/>
  <c r="AY19" i="4"/>
  <c r="BA19" i="4"/>
  <c r="U19" i="4"/>
  <c r="AZ18" i="4"/>
  <c r="AY18" i="4"/>
  <c r="U18" i="4"/>
  <c r="AZ17" i="4"/>
  <c r="AY17" i="4"/>
  <c r="U17" i="4"/>
  <c r="AZ16" i="4"/>
  <c r="AY16" i="4"/>
  <c r="U16" i="4"/>
  <c r="AZ15" i="4"/>
  <c r="AY15" i="4"/>
  <c r="U15" i="4"/>
  <c r="AZ14" i="4"/>
  <c r="AY14" i="4"/>
  <c r="U14" i="4"/>
  <c r="AZ13" i="4"/>
  <c r="AY13" i="4"/>
  <c r="U13" i="4"/>
  <c r="P13" i="4"/>
  <c r="Q13" i="4"/>
  <c r="BA18" i="4"/>
  <c r="BA14" i="4"/>
  <c r="BA26" i="4"/>
  <c r="BA21" i="4"/>
  <c r="BA27" i="4"/>
  <c r="U39" i="4"/>
  <c r="AZ28" i="3"/>
  <c r="AY28" i="3"/>
  <c r="W28" i="3"/>
  <c r="V28" i="3"/>
  <c r="P25" i="3"/>
  <c r="AW24" i="3"/>
  <c r="AU24" i="3"/>
  <c r="AO24" i="3"/>
  <c r="AM24" i="3"/>
  <c r="AK24" i="3"/>
  <c r="AI24" i="3"/>
  <c r="AG24" i="3"/>
  <c r="AE24" i="3"/>
  <c r="AC24" i="3"/>
  <c r="AA24" i="3"/>
  <c r="P24" i="3"/>
  <c r="U22" i="3"/>
  <c r="AW13" i="3"/>
  <c r="AU13" i="3"/>
  <c r="AO13" i="3"/>
  <c r="AM13" i="3"/>
  <c r="AK13" i="3"/>
  <c r="AI13" i="3"/>
  <c r="AG13" i="3"/>
  <c r="AE13" i="3"/>
  <c r="AC13" i="3"/>
  <c r="AA13" i="3"/>
  <c r="U28" i="3"/>
  <c r="Q13" i="3"/>
  <c r="Q28" i="3"/>
  <c r="AZ34" i="1"/>
  <c r="AY34" i="1"/>
  <c r="W34" i="1"/>
  <c r="V34" i="1"/>
  <c r="U34" i="1"/>
  <c r="Q34" i="1"/>
  <c r="P32" i="1"/>
  <c r="P24" i="1"/>
  <c r="P19" i="1"/>
  <c r="P14" i="1"/>
  <c r="BA32" i="1"/>
  <c r="BA31" i="1"/>
  <c r="BA26" i="1"/>
  <c r="BA24" i="1"/>
  <c r="BA21" i="1"/>
  <c r="BA19" i="1"/>
  <c r="BA20" i="1"/>
  <c r="BA16" i="1"/>
  <c r="BA13" i="1"/>
  <c r="P33" i="1"/>
  <c r="P31" i="1"/>
  <c r="P30" i="1"/>
  <c r="P26" i="1"/>
  <c r="P25" i="1"/>
  <c r="P16" i="1"/>
  <c r="P15" i="1"/>
  <c r="W92" i="5" l="1"/>
  <c r="BB76" i="5"/>
  <c r="BB92" i="5" l="1"/>
  <c r="BC92" i="5" s="1"/>
  <c r="BC76" i="5"/>
</calcChain>
</file>

<file path=xl/comments1.xml><?xml version="1.0" encoding="utf-8"?>
<comments xmlns="http://schemas.openxmlformats.org/spreadsheetml/2006/main">
  <authors>
    <author>AUXINTERIOR09</author>
  </authors>
  <commentList>
    <comment ref="AZ67" authorId="0" shapeId="0">
      <text>
        <r>
          <rPr>
            <sz val="9"/>
            <color indexed="81"/>
            <rFont val="Tahoma"/>
            <family val="2"/>
          </rPr>
          <t xml:space="preserve">ACTOS ADTIVOS  PARTICIPACIÓN  EFECTIVA DE VÍCTIMAS
</t>
        </r>
      </text>
    </comment>
  </commentList>
</comments>
</file>

<file path=xl/comments2.xml><?xml version="1.0" encoding="utf-8"?>
<comments xmlns="http://schemas.openxmlformats.org/spreadsheetml/2006/main">
  <authors>
    <author>AUXFAMILIA13</author>
    <author>Doris</author>
  </authors>
  <commentList>
    <comment ref="Y41" authorId="0" shapeId="0">
      <text>
        <r>
          <rPr>
            <b/>
            <sz val="9"/>
            <color indexed="81"/>
            <rFont val="Tahoma"/>
            <family val="2"/>
          </rPr>
          <t>AUXFAMILIA13:</t>
        </r>
        <r>
          <rPr>
            <sz val="9"/>
            <color indexed="81"/>
            <rFont val="Tahoma"/>
            <family val="2"/>
          </rPr>
          <t xml:space="preserve">
LA POBLACION QUE SE VA A ATENDER ES 1672- NO HAY CARACTERIZACION POR CICLO VITAL NI ENFOQUE POBLACIONAL</t>
        </r>
      </text>
    </comment>
    <comment ref="Y46" authorId="0" shapeId="0">
      <text>
        <r>
          <rPr>
            <b/>
            <sz val="9"/>
            <color indexed="81"/>
            <rFont val="Tahoma"/>
            <family val="2"/>
          </rPr>
          <t>AUXFAMILIA13:</t>
        </r>
        <r>
          <rPr>
            <sz val="9"/>
            <color indexed="81"/>
            <rFont val="Tahoma"/>
            <family val="2"/>
          </rPr>
          <t xml:space="preserve">
1578 POBLACION MIGRANTE:  701 MUJER Y HOMBRE: 877. AUN   NO HAY CARACTERIZACION</t>
        </r>
      </text>
    </comment>
    <comment ref="Z46" authorId="1" shapeId="0">
      <text>
        <r>
          <rPr>
            <b/>
            <sz val="9"/>
            <color indexed="81"/>
            <rFont val="Tahoma"/>
            <family val="2"/>
          </rPr>
          <t>Doris:</t>
        </r>
        <r>
          <rPr>
            <sz val="9"/>
            <color indexed="81"/>
            <rFont val="Tahoma"/>
            <family val="2"/>
          </rPr>
          <t xml:space="preserve">
Al 31 de marzo se han atendido 250 personas migrantes.</t>
        </r>
      </text>
    </comment>
    <comment ref="Y51" authorId="0" shapeId="0">
      <text>
        <r>
          <rPr>
            <b/>
            <sz val="9"/>
            <color indexed="81"/>
            <rFont val="Tahoma"/>
            <family val="2"/>
          </rPr>
          <t>AUXFAMILIA13:</t>
        </r>
        <r>
          <rPr>
            <sz val="9"/>
            <color indexed="81"/>
            <rFont val="Tahoma"/>
            <family val="2"/>
          </rPr>
          <t xml:space="preserve">
909 TOTAL POBLACION A ATENDER. AUN NO HAY CARACTERIZACION </t>
        </r>
      </text>
    </comment>
    <comment ref="Z55" authorId="0" shapeId="0">
      <text>
        <r>
          <rPr>
            <b/>
            <sz val="9"/>
            <color indexed="81"/>
            <rFont val="Tahoma"/>
            <family val="2"/>
          </rPr>
          <t>AUXFAMILIA13:</t>
        </r>
        <r>
          <rPr>
            <sz val="9"/>
            <color indexed="81"/>
            <rFont val="Tahoma"/>
            <family val="2"/>
          </rPr>
          <t xml:space="preserve">
POBLACION A ATENDER 13208- AUN NO HAY CARACTERIZACION</t>
        </r>
      </text>
    </comment>
  </commentList>
</comments>
</file>

<file path=xl/sharedStrings.xml><?xml version="1.0" encoding="utf-8"?>
<sst xmlns="http://schemas.openxmlformats.org/spreadsheetml/2006/main" count="4698" uniqueCount="2120">
  <si>
    <t xml:space="preserve">CODIGO:  </t>
  </si>
  <si>
    <t>F-PLA-07</t>
  </si>
  <si>
    <t xml:space="preserve">VERSIÓN: </t>
  </si>
  <si>
    <t xml:space="preserve">FECHA: </t>
  </si>
  <si>
    <t>Octubre 1 de 2016</t>
  </si>
  <si>
    <t>PÁGINA:</t>
  </si>
  <si>
    <t>01 de 1</t>
  </si>
  <si>
    <t xml:space="preserve">PLAN DE DESARROLLO DEPARTAMENTAL </t>
  </si>
  <si>
    <t xml:space="preserve">PROYECTO </t>
  </si>
  <si>
    <t>POBLACIÓN</t>
  </si>
  <si>
    <t>CODIGO</t>
  </si>
  <si>
    <t xml:space="preserve">ESTRATEGIA </t>
  </si>
  <si>
    <t xml:space="preserve">PROGRAMA </t>
  </si>
  <si>
    <t xml:space="preserve">SUBPROGRAMA </t>
  </si>
  <si>
    <t xml:space="preserve">META DE PRODUCTO PLAN DE DESARROLLO </t>
  </si>
  <si>
    <t xml:space="preserve">INDICADOR </t>
  </si>
  <si>
    <t>META FISICA PROGRAMADA</t>
  </si>
  <si>
    <t>IMPUTACION PRESUPUESTAL</t>
  </si>
  <si>
    <t>No.</t>
  </si>
  <si>
    <t>PESO DE LA META %</t>
  </si>
  <si>
    <t xml:space="preserve">VALOR EN PESOS </t>
  </si>
  <si>
    <t xml:space="preserve">OBJETIVO GENERAL DEL PROYECTO </t>
  </si>
  <si>
    <t xml:space="preserve">OBJETIVOS ESPECIFICOS </t>
  </si>
  <si>
    <t>ACTIVIDADES CUANTIFICADAS</t>
  </si>
  <si>
    <t xml:space="preserve">FUENTE DE RECURSOS </t>
  </si>
  <si>
    <t xml:space="preserve">CICLO VITAL </t>
  </si>
  <si>
    <t xml:space="preserve">DIMENSION SOCIAL </t>
  </si>
  <si>
    <t>CONTRATOS</t>
  </si>
  <si>
    <t xml:space="preserve">FECHA DE INICIO </t>
  </si>
  <si>
    <t xml:space="preserve">FECHA DE TERMINACIÓN </t>
  </si>
  <si>
    <t xml:space="preserve">RESPONSABLE </t>
  </si>
  <si>
    <t>0-5</t>
  </si>
  <si>
    <t>7-14</t>
  </si>
  <si>
    <t>15-17</t>
  </si>
  <si>
    <t>18-26</t>
  </si>
  <si>
    <t>27-59</t>
  </si>
  <si>
    <t xml:space="preserve">60  Y MAS </t>
  </si>
  <si>
    <t>COMUNIDAD AFRO- Y LGBTI</t>
  </si>
  <si>
    <t xml:space="preserve">COMUNIDAD INDIGENA </t>
  </si>
  <si>
    <t>REINSERCCION</t>
  </si>
  <si>
    <t>VICTIMA</t>
  </si>
  <si>
    <t>DISCAPACIDAD</t>
  </si>
  <si>
    <t>ADULTO MAYOR</t>
  </si>
  <si>
    <t xml:space="preserve">No. DE 
CONTRATOS </t>
  </si>
  <si>
    <t>VALOR COMPROMISOS</t>
  </si>
  <si>
    <t>VALOR DE LAS OBLIGACIONES</t>
  </si>
  <si>
    <t>% DE EJECUCION</t>
  </si>
  <si>
    <t>FUENTE DE LOS RECURSOS</t>
  </si>
  <si>
    <t>SUPERVISOR RESPONSABLE</t>
  </si>
  <si>
    <t>P</t>
  </si>
  <si>
    <t>E</t>
  </si>
  <si>
    <t>PRESUPUESTADO</t>
  </si>
  <si>
    <t>E (COMPROMISOS)</t>
  </si>
  <si>
    <t>E (OBLIGACIONES)</t>
  </si>
  <si>
    <t>ESTRATEGIA DE INCLUSION SOCIAL</t>
  </si>
  <si>
    <t>Arte para todos</t>
  </si>
  <si>
    <t xml:space="preserve">Apoyar treinta (30) proyectos y/o actividades de formacion,difusion, circulacion, creacion e investigacion, planeacion y de espacios para el disdfrute de las artes </t>
  </si>
  <si>
    <t>Nro. de artistas y gestores en base de datos  / Cantidad de artistas y gestores incluidos en seguridad social</t>
  </si>
  <si>
    <t>0310 - 5 - 3 1 3 9 29 5 45 - 33 /  0310 - 5 - 3 1 3 9 29 5 45 - 83</t>
  </si>
  <si>
    <t xml:space="preserve">Apoyo a seguridad social del creador y gestor cultural del Departamento del Quindio </t>
  </si>
  <si>
    <t xml:space="preserve">Garantizar la seguridad social  para artistas y gestores culturales </t>
  </si>
  <si>
    <t>Garantizar seguridad social para los artistas</t>
  </si>
  <si>
    <t xml:space="preserve">JAMES GONZALES MATA </t>
  </si>
  <si>
    <t>Apoyar  treinta (30) proyectos y/o actividades de formación, difusión, circulación, creación e investigación, planeación y de espacios para el disfrute de las artes</t>
  </si>
  <si>
    <t>Nro de proyectos o actividades programdas  /  Proyectos o actividades ejecutados</t>
  </si>
  <si>
    <t>0310 - 5 - 3 1 3 9 29 5 46 - 20 / 0310 - 5 - 3 1 3 9 29 5 46-88</t>
  </si>
  <si>
    <t>Apoyo al arte y la cultura en todo el Departamento del Quindío</t>
  </si>
  <si>
    <t>Fortalecimiento en  los procesos culturales y artísticos para mejorar la calidad, la creatividad, la difusión y el reconocimiento de la diversidad y la diferencia en el departamento</t>
  </si>
  <si>
    <t xml:space="preserve"> Ampliación de las oportunidades de acceso de la ciudadania al arte y la cultura </t>
  </si>
  <si>
    <t xml:space="preserve"> Mejoramiento de los procesos  formación, difusión, circulación, creación e investigación, planeación y de espacios para el disfrute de las artes</t>
  </si>
  <si>
    <t>R.O</t>
  </si>
  <si>
    <t xml:space="preserve">SECRETARIO DE CULTURA, DIRECTOR DE CULTURA ARTE Y PATRIMONIO </t>
  </si>
  <si>
    <t>Apoyar  treinta y cinco  (35) proyectos del programa de concertación cultural del departamento</t>
  </si>
  <si>
    <t>Nro de proyectos o actividades programadas  /  Proyectos o actividades ejecutados</t>
  </si>
  <si>
    <t>0310 - 5 - 3 1 3 9 29 5 46 - 39 / 0310 - 5 - 3 1 3 9 29 5 46 - 83</t>
  </si>
  <si>
    <t>Alta concertación de proyectos con la institucionalidad cultural</t>
  </si>
  <si>
    <t xml:space="preserve">Ampliación del acceso a recursos para la financiación de proyectos culturales concertados </t>
  </si>
  <si>
    <t>E.P.C</t>
  </si>
  <si>
    <t xml:space="preserve">DIRECTOR DE CULTURA ARTE Y PATRIMONIO </t>
  </si>
  <si>
    <t>Apoyar once  (11) proyectos mediante estímulos artísticos y culturales</t>
  </si>
  <si>
    <t>0310 - 5 - 3 1 3 9 29 5 46 - 41 / 0310 - 5 - 3 1 3 9 29 5 46 - 83</t>
  </si>
  <si>
    <t>Mayor apoyo a la creación investigación y producción artistica</t>
  </si>
  <si>
    <t xml:space="preserve"> Oportuindades de acceso a estímulos del estado para  creadores independientes</t>
  </si>
  <si>
    <t>Emprendimiento Cultural</t>
  </si>
  <si>
    <t>Fortalecer un  (1) proceso de emprendimiento cultural y de desarrollo de industrias creativas</t>
  </si>
  <si>
    <t xml:space="preserve">Fortalecimiento y promoción del  emprendimiento cultural y las industrias creativas en el Departamento </t>
  </si>
  <si>
    <t xml:space="preserve">Desarrollar empresas e industrias creativas en el Quindío </t>
  </si>
  <si>
    <t xml:space="preserve">Formalizacion del sector </t>
  </si>
  <si>
    <t>Lectura, escritura y bibliotecas</t>
  </si>
  <si>
    <t>Apoyar  seis  (6) proyectos y/o actividades en investigación, capacitación y difusión de la lectura y escritura para fortalecer la Red Departamental de Bibliotecas</t>
  </si>
  <si>
    <t xml:space="preserve"> 0310 - 5 - 3 1 3 9 31 5 48 - 34 / 0310 - 5 - 3 1 3 9 31 5 48 - 83</t>
  </si>
  <si>
    <t xml:space="preserve"> Fortalecimiento al  Plan Departamental  de lectura, escritura y bibliotecas en el Departamento del Quindio .</t>
  </si>
  <si>
    <t>Ampliación de procesos de investigación para la recuperación del patrimonio bibliográfico y hábitos de lectura y escritura en el Departamento</t>
  </si>
  <si>
    <t xml:space="preserve">Valoracion de la investigacion relativa al campo literario </t>
  </si>
  <si>
    <t>Aprovechamiento de la Red Departamental de Bibliotecas Públicas para la formación en lectura y escritura</t>
  </si>
  <si>
    <t>DIRECTOR DE CULTURA ARTE Y PATRIMONIO ,PROFESIONAL UNIVERSITARIO</t>
  </si>
  <si>
    <t xml:space="preserve">Ampliación de espacios y acciones para la difusión de la lectura y escritura </t>
  </si>
  <si>
    <t xml:space="preserve">Ampliacion de espacios y acciones para la difusion de la lectura y escritura </t>
  </si>
  <si>
    <t>Patrimonio, paisaje cultural cafetero, ciudadanía y diversidad cultural</t>
  </si>
  <si>
    <t>Viviendo el patrimonio y el Paisaje Cultural Cafetero</t>
  </si>
  <si>
    <t xml:space="preserve">Apoyar nueve (09) proyectos y/o actividades en gestión, investigación,  protección, divulgación y salvaguardia del patrimonio y diversidad cultural </t>
  </si>
  <si>
    <t>0310 - 5 - 3 1 3 10 32 5 49 - 20 /  0310 - 5 - 3 1 3 10 32 5 49 - 47 / 0310 - 5 - 3 1 3 10 32 5 49 - 93</t>
  </si>
  <si>
    <t>Apoyo al reconocimiento, apropiación, salvaguardia y difusión del patrimonio cultural en todo el Departamento del Quindío.</t>
  </si>
  <si>
    <t xml:space="preserve">Alta valoracion, apropiacion y salvaguardia del patrimonio cultural material e inmaterial </t>
  </si>
  <si>
    <t>Programas departamentales para conservación, protección, salvaguardia y difusión del Patrimonio Cultural</t>
  </si>
  <si>
    <t>Programas Departamentales para conservacion, proteccion, salvaguardia y difusion del patrimonio</t>
  </si>
  <si>
    <t>IVA , R.O</t>
  </si>
  <si>
    <t xml:space="preserve">JEFE DE PATRIMONIO </t>
  </si>
  <si>
    <t>Mayor reconocimiento y valoración de la diversidad poblacional presente en el Quindío</t>
  </si>
  <si>
    <t xml:space="preserve">Reconocimiento y valoracion de la diversidad poblacional presente en el Quindío </t>
  </si>
  <si>
    <t xml:space="preserve">Apoyar tres (03) proyectos y/o actividades orientados a fortalecer la articulación comunicación y cultura </t>
  </si>
  <si>
    <t>0310-5-31-310-33-5-50-20 /  0310-5-31-310-33-5-50-88</t>
  </si>
  <si>
    <t>Fortalecimiento de la comunicación, la ciudadanía  y el sistema departamental de cultura  en el Quindio.</t>
  </si>
  <si>
    <t xml:space="preserve">Incremento en iniciativas que integren comunicación y cultura que contribuyan fortalecimiento del Sistema Departamental de Cultura  </t>
  </si>
  <si>
    <t>Mayor articulación entre la institucionalidad cultural y los gestores culturales para ampliar el acceso a la cultura y las artes.</t>
  </si>
  <si>
    <t xml:space="preserve">Articulacion comunicación y cultura </t>
  </si>
  <si>
    <t>Apoyar  cuatro   (04) actividades y/o proyectos  para el afianzamiento del Sistema Departamental de Cultura</t>
  </si>
  <si>
    <t>Participación y  apoyo por parte de la Gobernación del Quindío a medios ciudadanos, comunitarios y de interés público</t>
  </si>
  <si>
    <t xml:space="preserve">Fortalecimiento al sistema departamental de cultura </t>
  </si>
  <si>
    <t>33-83</t>
  </si>
  <si>
    <t>20-88</t>
  </si>
  <si>
    <t>RECURSO ORDINARIO</t>
  </si>
  <si>
    <t>ESTAMPILLA PRO CULTURA</t>
  </si>
  <si>
    <t>Educacion Para la Paz</t>
  </si>
  <si>
    <t>39-83</t>
  </si>
  <si>
    <t>41-83</t>
  </si>
  <si>
    <t xml:space="preserve"> Formacion y cualificacion de mediadores de lectura y escritura para el fortalecimiento de la red </t>
  </si>
  <si>
    <t>Ampliación de la capacidad de organización del sector cultural</t>
  </si>
  <si>
    <t>Mayor articulación entre artistas, gestores y estado para tomar decisiones favorables al emprendimiento</t>
  </si>
  <si>
    <t>Suficientes procesos de emprendimiento cultural y de desarrollo de industrias creativas en el departamento</t>
  </si>
  <si>
    <t xml:space="preserve"> Capacitacion para el emprendimiento cultural </t>
  </si>
  <si>
    <t xml:space="preserve"> Formulacion de la politica para el emprendimiento cultural </t>
  </si>
  <si>
    <t>0310 - 5 - 3 1 3 9 30 5 47 - 20/  0310 - 5 - 3 1 3 9 30 5 47 - 88</t>
  </si>
  <si>
    <t>Incremento de las acciones de lectura, escritura creativa e investigación que permitan consolidar la Red Departamental de Bibliotecas Públicas del Quindío</t>
  </si>
  <si>
    <t>34-83</t>
  </si>
  <si>
    <t>20-47-93</t>
  </si>
  <si>
    <t>R.O/ IVA</t>
  </si>
  <si>
    <t xml:space="preserve">SEGUIMIENTO PLAN DE ACCIÓN </t>
  </si>
  <si>
    <t>SECRETARIA DE CULTURA</t>
  </si>
  <si>
    <t>A MARZO 31 DE 2017</t>
  </si>
  <si>
    <t>TOTALES</t>
  </si>
  <si>
    <t>SEGUIMIENTO PLAN DE ACCIÓN</t>
  </si>
  <si>
    <t>SECRETARIA ADMINISTRATIVA</t>
  </si>
  <si>
    <t>BUEN GOBIERNO</t>
  </si>
  <si>
    <t>GESTIÓN TERRITORIAL</t>
  </si>
  <si>
    <t>MODERNIZACIÓN TECNOLOGICA Y ADMINISTRATIVA</t>
  </si>
  <si>
    <t>Virtualizar ocho (8) trámites de la administración departamental a través de Gobierno en Línea</t>
  </si>
  <si>
    <t>0304 - 5 - 3 1 5 28 89 17 1 - 20</t>
  </si>
  <si>
    <t>Apoyo a la estrategia de Gobierno en linea en el Departamento del Quindio</t>
  </si>
  <si>
    <t xml:space="preserve">Mejorar el acceso de los usuarios internos como externos mediante  los servicios informáticos ofrecidos por la entidad, para el grado de satisfaccion de los usuarios </t>
  </si>
  <si>
    <t xml:space="preserve">Mejorar los sistemas de información y equipos 
tecnológicos mediante la actualizacion y mantenimiento para aumentar los tiempos de respuesta de atención al usuario
</t>
  </si>
  <si>
    <t xml:space="preserve">Sostenibilidad de la estrategia de gobierno en linea </t>
  </si>
  <si>
    <t>Ordinarios</t>
  </si>
  <si>
    <t>ORDINARIO</t>
  </si>
  <si>
    <t>N/A</t>
  </si>
  <si>
    <t>Catalina Gomez Restrepo Secretario Administrativo</t>
  </si>
  <si>
    <t>Formular e  implementar un (1) programa de seguridad y salud en el trabajo, capacitación y bienestar social en  el departamento</t>
  </si>
  <si>
    <t>0304 - 5 - 3 1 5 28 89 17 2 - 20</t>
  </si>
  <si>
    <t>Formulación e implementación del programa de seguridad y salud en el trabajo, capacitación y bienestar social en el Departamento del Quindio</t>
  </si>
  <si>
    <t xml:space="preserve">Ejecutar el 95% del programa de seguridad y salud en el trabajo,del plan de bienestar social y el plan institucional de capacitación, formulado para la vigencia  2017 . 
</t>
  </si>
  <si>
    <t>Formular e implementar un programa de seguridad y salud en el trabajo</t>
  </si>
  <si>
    <t>Realizar 15 actividades de seguridad y salud en el trabajo</t>
  </si>
  <si>
    <t>Formular e implementar  un plan institucional de capacitación</t>
  </si>
  <si>
    <t>Gestionar el desarrollo de 20 procesos de capacitación , priorizados en el pic</t>
  </si>
  <si>
    <t>Formular e implementar el plan de bienestar social</t>
  </si>
  <si>
    <t>Gestionar el desarrollo de 20 actividades de bienestar social</t>
  </si>
  <si>
    <t>Fortalecer el programa de  infraestructura tecnológica de la  Administración Departamental (hadware, aplicativos, redes, y capacitación)</t>
  </si>
  <si>
    <t>0304 - 5 - 3 1 5 28 89 17 3 - 20</t>
  </si>
  <si>
    <t>Actualización de la infraestructura tecnológica de la Gobernación del Quindío</t>
  </si>
  <si>
    <t>Apoyar el programa de  infraestructura tecnológica de la  Administración Departamental ( hadware, aplicativos, redes, y capacitación</t>
  </si>
  <si>
    <t>Compra o adquisicion de hardware</t>
  </si>
  <si>
    <t xml:space="preserve"> </t>
  </si>
  <si>
    <t>Incrementar la  renovación de las herramientas tecnológicas a través de outsourcing para ampliar el numero de equipos de ultima tecnología logrando una mejor atención a los usuarios</t>
  </si>
  <si>
    <t xml:space="preserve">Fortalecer el programa de sostenibilidad de las  Tecnologias de la Información de las Comunicaciones de la Gobernación del Quindio </t>
  </si>
  <si>
    <t>0304 - 5 - 3 1 5 28 89 17 4 - 20</t>
  </si>
  <si>
    <t>Apoyo a la sostenibilidad de las tecnologías de la información y comunicación de la Gobernación del Quindío.</t>
  </si>
  <si>
    <t xml:space="preserve">Optimizar la infraestructura informática y de comunicaciones disponible a través de actualizacion de equipos y aplicaciones para una mejor atencion al usuario
</t>
  </si>
  <si>
    <t xml:space="preserve">Modernizar la infraestructura tecnológica mediante la compra de herramientas tecnológicas de ultima generación para aumentar el desempeño de los funcionarios
</t>
  </si>
  <si>
    <t>Soporte aplicaciones</t>
  </si>
  <si>
    <t>Director TICS
Profesional Universitario</t>
  </si>
  <si>
    <t>Adquirir e implementar un (1) software para la sistematización de las historias laborales del Fondo Territorial de Pensiones del departamento</t>
  </si>
  <si>
    <t>NO.</t>
  </si>
  <si>
    <t>0304 - 5 - 3 1 5 28 89 17 5 - 20</t>
  </si>
  <si>
    <t>Implementación de un programa  de  modernización de la gestión administrativa en el Departamento del Quindio</t>
  </si>
  <si>
    <t xml:space="preserve"> Satisfacer en un 90%, las necesidades de los usuarios y partes interesadas de la entidad. 
</t>
  </si>
  <si>
    <t xml:space="preserve">Implementar el 50% del programa de modernización de la gestión administrativa en la gobernación del departamento del Quindío
</t>
  </si>
  <si>
    <t xml:space="preserve">Adquisición software para la sistematización de las historias laborales del fondo territorial de pensiones del departamento </t>
  </si>
  <si>
    <t>71953</t>
  </si>
  <si>
    <t>Implementar un programa de actualización y registro de los bienes de propiedad del departamento</t>
  </si>
  <si>
    <t xml:space="preserve">Implementar un programa de actualización y registro de los bienes de propiedad del departamento   </t>
  </si>
  <si>
    <t xml:space="preserve">Realizar un (1) estudio de modernización administrativa en el departamento </t>
  </si>
  <si>
    <t xml:space="preserve">Realizar un (1) estudio de modernización administrativa en el departamento   </t>
  </si>
  <si>
    <t>Implementar un (1) programa de modernización de la gestión documental en el departamento</t>
  </si>
  <si>
    <t xml:space="preserve">Implementar un (1) programa de modernización de la gestión documental en el departamento  </t>
  </si>
  <si>
    <t>PROFESIONAL UNIVERSITARIA GESTIÓN DOCUMENTAL</t>
  </si>
  <si>
    <t>Supervit Recurso Ordinario</t>
  </si>
  <si>
    <t>Adquirir  un (1) bien inmueble para adelantar acciones de cara al servicio de la comunidad</t>
  </si>
  <si>
    <t>SECRETARIA DE HACIENDA</t>
  </si>
  <si>
    <t xml:space="preserve">5. </t>
  </si>
  <si>
    <t xml:space="preserve">BUEN GOBIERNO </t>
  </si>
  <si>
    <t>GESTION TERRITORIAL</t>
  </si>
  <si>
    <t>GESTION TRIBUTARIA Y FINANCIERA</t>
  </si>
  <si>
    <t>Implementar 4 procesos de fiscalización de las Rentas Departamentales</t>
  </si>
  <si>
    <t>Nro.</t>
  </si>
  <si>
    <t>Mejoramiento de la Sostenibilidad de los Procesos de Fiscalizacion, Liquidacion, Control y Cobranza de los Tributos en el Departamento del Quindio</t>
  </si>
  <si>
    <t>Aumentar los porcentajes de crecimiento de los ingresos en el Departamento del Quindio, a través de procesos de fiscalización, procedimientos administrativos de cobro coactivo de la cartera morosa y ejecucion del programa anticontrabando, con el fin de consolidar la cultura tributaria y por consiguiente aumentar la inversion en el Departamento del Quindio durante la Vigencia 2017</t>
  </si>
  <si>
    <t xml:space="preserve">Realizar procesos de fiscalizaciòn de las rentas Departamentales, a través de la realización de controles en la liquidación y cobranza  en los impuestos de vehículos automotores,I.S.V.A, Impuesto de Registro, Estampillas Departamentales e Impuesto al Consumo y  Monopolio de Licores Destilados y Alcoholes Potables, con el fin de  aumentar los ingresos,  consolidar la cultura tributaria y por consiguiente aumentar la inversión  en el Departamento del Quindio durante la vigencia 2017  
</t>
  </si>
  <si>
    <t xml:space="preserve">Realizar  4 procesos de fiscalizaciòn  en los impuestos de vehículos automotores,I.S.V.A, registro, emtampilla y  al consumo y el monopolio de licores destilados y alcoholes potables en el Departamento del Quindio  </t>
  </si>
  <si>
    <t>Recurso Ordinario</t>
  </si>
  <si>
    <t>NATALIA ANDREA RODRIGUEZ LONDOÑO DIRECTORA TRIBUTARIA</t>
  </si>
  <si>
    <t xml:space="preserve">LUZ ELENA MEJIA CARDONA   SECRETARIA DE HACIENDA </t>
  </si>
  <si>
    <t xml:space="preserve">Proceso de fiscalización  (liquidación, Control y Cobranza) de las Tentas Departamentales </t>
  </si>
  <si>
    <t>Implementar una estrategia de cobro coactivo sobre la cartera morosa de las Rentas Departamentales.</t>
  </si>
  <si>
    <t>Llevar a cabo la implementaciòn de los diferentes Procesos Administrativos de Cobro Coactivo sobre aquellos contribuyentes que se encuentran en mora de cancelar sus obligaciones tributarias</t>
  </si>
  <si>
    <t xml:space="preserve">Expedir Resoluciones de Liquidaciòn del Impuesto, Mandamientos de Pagos, Medidas Cautelares, suscripciòn de Acuerdos de Pagos y demàs actividades que surjan como consecuencia de cada proceso de cobro coactivo implementado
</t>
  </si>
  <si>
    <t>88-20</t>
  </si>
  <si>
    <t>Superavit Recurso Ordinario-Recurso Ordinario</t>
  </si>
  <si>
    <t>SUPERAVIT DEL RECURSO ORDINARIO</t>
  </si>
  <si>
    <t>Procedimiento Administrativo coactivo sobre la cartera morosa de las Rentas Departamentales</t>
  </si>
  <si>
    <t>RECURO ORDINARIO</t>
  </si>
  <si>
    <t xml:space="preserve">Ejecutar el programa anti contrabando suscrito con la Federación Nacional de Departamentos.                               </t>
  </si>
  <si>
    <t>Ejecutar el Programa Anticontrabando en el Departamento del Quindìo con ocasion de la suscripcion del Convenio entre el Departamento del Quindìo y la Federaciòn Nacional de Departamentos</t>
  </si>
  <si>
    <t>Ejecuciòn de actividades que contribuyan a disminuir la Evasiòn, la Lucha en contra de la Adulteraciòn y el Contrabando que afectan el consumo de cigarrillos, tabaco elaborado, bebidas alcohòlicas, licores, cervezas, vinos y refajos</t>
  </si>
  <si>
    <t>132-56-15-87</t>
  </si>
  <si>
    <t>Fondo Rentas</t>
  </si>
  <si>
    <t>FONDO RENTAS</t>
  </si>
  <si>
    <t>Cofinanciacion convenios interadministrativos</t>
  </si>
  <si>
    <t>CONVENIO FEDERACION NACIONAL DE DEPATAMENTOS</t>
  </si>
  <si>
    <t>Programa Anticontrabando</t>
  </si>
  <si>
    <t>Superavit Convenio Anticobrabando</t>
  </si>
  <si>
    <t>SUPERAVIT CONVENIO ANTOCONTRABANDP</t>
  </si>
  <si>
    <t>Fondo Rentas-Suepravit Fondo Rentas</t>
  </si>
  <si>
    <t>Elaborar el diagnóstico del sistema de Información tributario y financiero</t>
  </si>
  <si>
    <t>0307 - 5 - 3 1 5 28 88 17 17 - 20        0307 - 5 - 3 1 5 28 88 17 16 - 88</t>
  </si>
  <si>
    <t xml:space="preserve"> Implementación de un programa de gestión fianciera para la optimización de los procesos en el area de tesorería, presupuesto y contabilidad en el Departamento del Quindio </t>
  </si>
  <si>
    <t xml:space="preserve">Fortalecer la Gestiòn Financiera mediante la consolidaciòn de los Sistemas de Informaciòn, implementaciòn de Normas Internacionales de Informaciòn Financiera NIIF,  crecimiento real de ingresos, sostenibilidad de la deuda y el manejo de pasivos, a fin de garantizar la confiabilidad de la Informaciòn Financiera y aplicacìon de Normas en las Finanzas Pùblicas
</t>
  </si>
  <si>
    <t>Elaborar el diagnóstico del sistema de información tributario y financiero, consolidando los sistemas de información y optimizando los procesos en el área de tesoreria, presupuesto y contabilidad a fin de garantizar la confiabilidad y oportunidad de la información financiera.</t>
  </si>
  <si>
    <t>Elaborar el Diagnostico del Sistema de Informacion Tributario y Financiero</t>
  </si>
  <si>
    <t>EDWIN LEONARDO ACEVEDO LOZANO DIRECTOR FINANCIERO</t>
  </si>
  <si>
    <t xml:space="preserve">Implementar un programa para el cumplimiento de las políticas y prácticas contables para la administración departamental         </t>
  </si>
  <si>
    <t xml:space="preserve">Adoptar el nuevo modelo de informaciòn Financiera determinado por las Normas Internacionales de Contabilidad de información financiera NIIF, a fin de garantizar la confiabilidad de la información financiera.
</t>
  </si>
  <si>
    <t>Implementar un Programa para el Cumplimiento de las politicas y practicas contables para la Administracion Departamental</t>
  </si>
  <si>
    <t>Superavit Ordinario</t>
  </si>
  <si>
    <t>SUPERAVIT RECURSO ORDINARIO</t>
  </si>
  <si>
    <t>LUZ HELENA MEJIA CARDONA</t>
  </si>
  <si>
    <t>OFICINA PRIVADA</t>
  </si>
  <si>
    <t>QUINDIO TRANSPARENTE Y LEGAL</t>
  </si>
  <si>
    <t>QUINDIO EJEMPLAR Y LEGAL</t>
  </si>
  <si>
    <t xml:space="preserve">Realizar 40 eventos  de sensibilización en transparencia , participación, buen gobierno y valores éticos y morales  </t>
  </si>
  <si>
    <t>0313 - 5 - 3 1 5 26 83 17 82 - 20</t>
  </si>
  <si>
    <t>Desarrollar y fortalecer la cultura de la transparencia, participación, buen gobierno  y valores éticos y morales en el Departamento del Quindio</t>
  </si>
  <si>
    <t>Elevar el índice de transparencia en la administración departamental, mediante un proceso de formación incluyente  con énfasis en valores éticos , morales y ciudadanos , para aumentar la confianza en la administración gubernamental del Quindío</t>
  </si>
  <si>
    <t xml:space="preserve">Aumento de conocimiento en temas de transparencia, Etica y Buen Gobierno
</t>
  </si>
  <si>
    <t>Fortalecimiento de cultura de la transparencia, participación, buen gobierno y valores eticos y morales en el departamento del quindio</t>
  </si>
  <si>
    <t>DIRECTOR COMUNICACIONES, ADRIANA MARQUEZ, JIMENA QUIROZ, JUAN ANTONIO OSORIO, ADRES BUITRAGO</t>
  </si>
  <si>
    <t>Carlos Alberto Gomez Chacon Secretario Privado</t>
  </si>
  <si>
    <t>Fortalecimiento institucional por medio del buen gobierno</t>
  </si>
  <si>
    <t xml:space="preserve">Incremento de formadores éticos con vivencias y prácticas reconocidas a nivel de la sociedad y del departamento 
</t>
  </si>
  <si>
    <t xml:space="preserve">Promoción en la participación ciudadana </t>
  </si>
  <si>
    <t>Formulación y seguimiento de los indicadores "buen gobierno"</t>
  </si>
  <si>
    <t>DIRECTOR COMUNICACIONES, ADRIANA MARQUEZ, JUAN ANTONIO OSORIO</t>
  </si>
  <si>
    <t xml:space="preserve">Mejorar la motivación de los ciudadanos ante las buenas prácticas  de los funcionarios en las instituciones 
</t>
  </si>
  <si>
    <t>Dialogos sociales en los diferentes sectores del departamento</t>
  </si>
  <si>
    <t>ADRIANA MARQUEZ, DIANA MARTINEZ</t>
  </si>
  <si>
    <t>Adquisición de bienes y servicios</t>
  </si>
  <si>
    <t>Proyección estratégica</t>
  </si>
  <si>
    <t>Implementar una (1) sala de transparencia "Urna de Cristal" en el Departamento</t>
  </si>
  <si>
    <t>0313 - 5 - 3 1 5 26 83 17 83 - 20</t>
  </si>
  <si>
    <t>Implementacion de una (1) sala de transparencia "Urna de Cristal" en el Departamento del Quindio</t>
  </si>
  <si>
    <t>Mejorar el nivel de credibilidad en la transparencia  de la contratación  pública en el Departamento.</t>
  </si>
  <si>
    <t xml:space="preserve">Aumentar el conocimiento de la ciudadanía de los procesos precontractuales de la administración departamental
</t>
  </si>
  <si>
    <t xml:space="preserve">Apoyo Técnico, Logistico, profesional y especializado de un equipo interdisciplinario en la  implementación y ejecución del proyecto.
</t>
  </si>
  <si>
    <t xml:space="preserve">Fortalecer participación de la ciudadanía en los procesos precontractuales
</t>
  </si>
  <si>
    <t>Montaje tecnológico y administrativo para la implemetación de la estrategia Urna de Cristal</t>
  </si>
  <si>
    <t xml:space="preserve">Adaptacion de los canales de internet para el espacio de Urna </t>
  </si>
  <si>
    <t>Diseño y montaje del Micrositio</t>
  </si>
  <si>
    <t>Administracion profesional de la Oficina de Urna de Cristal</t>
  </si>
  <si>
    <t xml:space="preserve">MODERNIZACIÓN TECNOLOGICA Y ADMINISTRATIVA </t>
  </si>
  <si>
    <t xml:space="preserve">Desarrollar e implementar una (1) estrategía de comunicaciones  </t>
  </si>
  <si>
    <t>0313 - 5 - 3 1 5 28 89 17 81 - 20</t>
  </si>
  <si>
    <t>Implementación de  la estrategia de comunicaciones para  la divulgación de  los programas, proyectos,  actividades y servicios del Departamento del Quindío</t>
  </si>
  <si>
    <t xml:space="preserve">Dar a conocer a la población  los programas y proyectos  institucionales de la gobernación
</t>
  </si>
  <si>
    <t xml:space="preserve">Realizar  campañas institucionales para dar a conocer los programas y proyectos  de la gobernación
</t>
  </si>
  <si>
    <t xml:space="preserve"> Implementación  de la estrategia de comunicaciones de la administración departamental</t>
  </si>
  <si>
    <t>DIRECTOR COMUNICACIONES</t>
  </si>
  <si>
    <t>conocer los programas y proyectos  de la gobernación</t>
  </si>
  <si>
    <t xml:space="preserve">Difusión    de los programas y proyectos de la  oferta institucional,  ejecutorias y evaluación del impacto social  </t>
  </si>
  <si>
    <t>Planificación   institucional en la divulgación  de los programas y proyectos</t>
  </si>
  <si>
    <t xml:space="preserve">Pre, pro, post producción del programa institucional  de televisión para  la divulgación de los programas y proyectos de la administración departamental </t>
  </si>
  <si>
    <t xml:space="preserve">Campañas en medios de comunicación, programas y proyectos de la administración departamental </t>
  </si>
  <si>
    <t>DIRECTOR COMUNICACIONES, ADRIANA MARQUEZ</t>
  </si>
  <si>
    <t>TOTAL</t>
  </si>
  <si>
    <t>CARLOS ALBERTO GOMEZ CHACON</t>
  </si>
  <si>
    <t>SECRETARIA PRIVADA</t>
  </si>
  <si>
    <t xml:space="preserve">No </t>
  </si>
  <si>
    <t>0-6</t>
  </si>
  <si>
    <t xml:space="preserve">P </t>
  </si>
  <si>
    <t>Quindío Transparente y Legal</t>
  </si>
  <si>
    <t>Quindío Ejemplar y Legal</t>
  </si>
  <si>
    <t>Realizar en el Departamento y  los doce (12) municipios  del Quindío  procesos de sensibilización, seguimiento  y evaluación en la aplicabilidad de los componentes   del Índice de Transparencia.</t>
  </si>
  <si>
    <t>0305 - 5 - 3 1 5 26 83 17 6 - 20</t>
  </si>
  <si>
    <t>Realización procesos de capacitación,  asistencia técnica, seguimiento  y evaluación en la aplicabilidad de los componentes   del Índice de Transparencia en el Departamento del Quindio</t>
  </si>
  <si>
    <t xml:space="preserve">
Aumentar el índice  transparencia en el departamento del Quindío y los entes territoriales municipales del Quindío,  a través de procesos de capacitación, asistencia técnica, seguimiento y evaluación de los componentes de: diagnóstico   información mínima que debe esta publicada ,registro de activos de la información, información reservada y clasificada,   esquema de publicación de la información ,gestión documental,  solicitudes de acceso a la información,  costos de reproducción  de la información publicada con su respectiva motivación    , con el fin de lograr una mayor eficiencia y eficacia administrativa ,  visibilizar los procesos  y disminuir los riegos de corrupción durante la vigencia 2017 . 
</t>
  </si>
  <si>
    <t>Realizar procesos de capacitación asistencia técnica, seguimiento y evaluación  índice de transparencia  administración departamental e institutos descentralizados ( Promotora de Vivienda, IDTQ  e INDEPORTES)</t>
  </si>
  <si>
    <t xml:space="preserve">Diez análisis histórico , socialización, seguimientos y/o evaluacines      Indice de GOBIERNO ABIERTO IGA  E ÍNDICE DE TRANSPARENCIA Departamento  del Quindío  </t>
  </si>
  <si>
    <t>MARTHA ELENA GIRALDO RAMIREZ - DIRECTORA TECNICA</t>
  </si>
  <si>
    <t xml:space="preserve"> 15/02/2017</t>
  </si>
  <si>
    <t>ALVARO ARIAS YOUNG  SECRETARIO DE PLANEACION DEPARTAMENTAL</t>
  </si>
  <si>
    <t>Cuatro diagnóstico implementación Ley 1712 de 2012 ( sector central y sector descentralizado (promotora de vivienda, INDEPORTES. IDTQ)</t>
  </si>
  <si>
    <t>Diez capacitaciónes  Ley de transparencia  ( ley 1712 de 2012) y socialización diagnóstico secretarias de despacho e institutos descentralizados</t>
  </si>
  <si>
    <t>60 asistencisa técnicas  implementación  componentes ley 1712 de 2012</t>
  </si>
  <si>
    <t>Cuatro seguimientos, evaluaciones y socializaciones  implementación y operatividad componentes indice de transparencia</t>
  </si>
  <si>
    <t>Realizar procesos de capacitación asistencia técnica, seguimiento y evaluación    índice de transparencia   entes territoriales departamentales</t>
  </si>
  <si>
    <t>Diez y sesis análisis histórico y socialización   ÍNDICE DE GOBIERNO ABIERTO IGA  E INDICE DE TRANSPARENCIA Departamento  del Quindío</t>
  </si>
  <si>
    <t>Siete diagnósticos implementación ley 1712 de 2012  municipios del departamento del Quindío</t>
  </si>
  <si>
    <t xml:space="preserve">Cuatro capacitaciones  Ley de Transparencia  (Ley 1712 De 2012) Y socialización diagnóstico  Entes Territoriales Municipales </t>
  </si>
  <si>
    <t xml:space="preserve">Cuatro asistencia técnica  implementación  componentes ley 1712 de 2012 </t>
  </si>
  <si>
    <t xml:space="preserve">Seguimiento y evaluación y socialización  implementación y operatividad componentes índice de transparencia </t>
  </si>
  <si>
    <t xml:space="preserve">Realizar capacitaciones especificos  que  contribuyen al mejoramiento del Indice de Transparencia en los entes Territoriales municipales,  Sector Central y los Institutos Descentralizados del Departamento  del Quindio </t>
  </si>
  <si>
    <t>Capacitación  en Tablas de Retención Documental  ( Varias cesiones)</t>
  </si>
  <si>
    <t xml:space="preserve">Suministro de 255 refrigerios  para el desarrollo de las actividades  tendientes a mejorar el indice de transparencia en los entes territoriales, Sector Central e instituto descentralizados </t>
  </si>
  <si>
    <t xml:space="preserve">Refrigerops </t>
  </si>
  <si>
    <t>Veedurías y Rendición de Cuentas</t>
  </si>
  <si>
    <t xml:space="preserve">Realizar  doce (12) procesos de Rendición Publica de Cuentas Departamentales en entes territoriales municipales. </t>
  </si>
  <si>
    <t>No</t>
  </si>
  <si>
    <t>0305 - 5 - 3 1 5 26 84 17 15 - 20</t>
  </si>
  <si>
    <t xml:space="preserve">Realización procesos de Rendición Publica de Cuentas Departamentales enlos  entes territoriales municipales del Departamento del Quindio </t>
  </si>
  <si>
    <t xml:space="preserve">Aumentar el promedio de participación ciudadana en los procesos de elección popular en el Departamento del Quindío, a travès de  la elaboraciòn del informe  la presentación del informe de Rendición de Cuenta de las ejecutorias de la Admnistración Departamental  vigencia 2016   y la preparación recolección y  consolidación del informe de la vigencia 2017, con el fin de divulgar a la comunidad de los resultados de la ejecutorias generando en la Administraciòn la cultura de la Rendiciòn Pùblica de Cuentas durante la vigencia 2017.
</t>
  </si>
  <si>
    <t xml:space="preserve"> Consolidar la información y estadisticas de las ejecutorias del Plan de Desarrollo de manera articulada a través de la elaboración del informe de gestión periodo 2017 por entes territoriales municipales, ejes estratégicos, programas, subprogramas y metas producto incluido la población beneficiaria y el registro fotográfico de las ejecutorias, informe de gestión Sistema General de Regalías, con el fin de aumentar el promedio de la participación ciudadana en los procesos de elección popular , en el Departamento del Quindío vigencia 2017.  </t>
  </si>
  <si>
    <t>Consolidación informe por estratégias (DESARROLLO SOSTENIBLE,PROSPERIDAD CON EQUIDAD,  INCLUSION SOCIAL,SEGURIDAD HUMANA Y BUEN GOBIERNO</t>
  </si>
  <si>
    <t xml:space="preserve">Recolección, consolidación y elaboración   informe de gestión Sistema General de Regalías   diciembre 31 de   2017  </t>
  </si>
  <si>
    <t>Realizar  Rendición Públcas de Cuentas  ejecutorias de la Administración Departamental vigencia 2016 por ejes estratégicos, buscando aumentar el promedio de la participación ciudadana en los procesos de elección popular en el Departamento del Quindío durante la vigencia 2016</t>
  </si>
  <si>
    <t>Video ejecutorias  administración departamental vigencia 2016 (DESARROLLO SOSTENIBLE,PROSPERIDAD CON EQUIDAD,  INCLUSION SOCIAL,SEGURIDAD HUMANA Y BUEN GOBIERNO</t>
  </si>
  <si>
    <t xml:space="preserve">Diseño y edición periodico </t>
  </si>
  <si>
    <t xml:space="preserve">Sonido  Rendición de Cuentas </t>
  </si>
  <si>
    <t xml:space="preserve">2.400 refrigerios para el proceso de Rendición Pública de Cuentas </t>
  </si>
  <si>
    <t>Poder Ciudadano</t>
  </si>
  <si>
    <t>Quindío si a la participación</t>
  </si>
  <si>
    <t xml:space="preserve">Fortalecer  técnica y logísticamente al  Consejo Territorial de Planeación  Departamental  </t>
  </si>
  <si>
    <t>0305 - 5 - 3 1 5 27 85 16 7 - 20</t>
  </si>
  <si>
    <t>Asistencia al Consejo Territorial de Planeación del Departamento del Quindío.</t>
  </si>
  <si>
    <t xml:space="preserve">Fortalecer competencias de planificación del consejo territorialdel Departamento del Quindio, a través de la participación del Consejo Territorial de Planeación en encuentros Departamentales,Nacionales y Regionales, de una estrategia de comunicaciones e imagen institucional , del diplomado en Ordenamiento Territorial y de la adquisición de equipos digitales y de computo, durante la vigencia 2017.   
</t>
  </si>
  <si>
    <t xml:space="preserve">Fortalecer el Consejo Territorial de Planeación Departamental, a través  del apoyo en la participación de eventos   y/o encuentros Departamentales , regionales y/o nacionales </t>
  </si>
  <si>
    <t>Sesiones itinerantes - Servicio de transporte terrestre ida y vuelta desde su lugar de origen Plaza de Bolívar del Municipio de Armenia, hasta los municipios del Quindío, (Suministro de almuerzos en los doce municipios del Quindío, durante las sesiones itinerantes)</t>
  </si>
  <si>
    <t>Ordinario</t>
  </si>
  <si>
    <t xml:space="preserve"> XI Encuentro CTP, traslados de ida y vuelta desde su lugar de origen Plaza de Bolívar del Municipio de Armenia hasta el Municipio de Circasia, (Suministro de alimentación, alojamiento)</t>
  </si>
  <si>
    <t>XXI Congreso del Sistema Nacional de Planeación, traslado de ida y vuelta en transporte aéreo en las rutas nacionales: ARMENIA- BUCARAMANGA-ARMENIA ( suministro de alimentación en la ciudad sede Desayuno, Almuerzo y Cena)</t>
  </si>
  <si>
    <t xml:space="preserve"> Encuentro Red Nacional de Planeación Local y Presupuesto Participativo(traslados terrestres e internos, alojamiento, alimentación )</t>
  </si>
  <si>
    <t>0305 - 5 - 3 1 5 27 85 16 7 - 88</t>
  </si>
  <si>
    <t>Traslados aéreos, terrestres e internos, alojamiento y alimentación para Consejeros del Sistema Nacional de Planeación en los días que sean acordados por el contratante.</t>
  </si>
  <si>
    <t>Superavit Recurso Ordinario</t>
  </si>
  <si>
    <t xml:space="preserve">Fortalecer el Consejo Territorial de Planeación Departamental, a través   de la estrategia de comunicaciones </t>
  </si>
  <si>
    <t>Comunicación y estrategias instiotucionales, compra equipo de computo y escaner</t>
  </si>
  <si>
    <t>Fortalecer el Consejo Territorial de Planeación Departamental, a través    ESCUELA DE LIDERAZGO Y PLANEACION PARTICIPATIVA AREA DEL ORDENAMIENTO TERRITORIAL</t>
  </si>
  <si>
    <t>Diplomado ESCUELA DE LIDERAZGO Y PLANEACION PARTICIPATIVA AREA DEL ORDENAMIENTO TERRITORIAL</t>
  </si>
  <si>
    <t xml:space="preserve">Fortalecer el Consejo Territorial de Planeación Departamental, a través  impresos y publicaciones </t>
  </si>
  <si>
    <t>Impresos</t>
  </si>
  <si>
    <t>Gestión Territorial</t>
  </si>
  <si>
    <t xml:space="preserve">Los instrumentos  de planificación como  ruta para el cumplimiento de la gestión pública  </t>
  </si>
  <si>
    <t>Diseñar e implementar el Plan de Ordenamiento del Departamento del Quindio.</t>
  </si>
  <si>
    <t>0305 - 5 - 3 1 5 28 87 17 9 - 20</t>
  </si>
  <si>
    <t xml:space="preserve"> Diseño e implementación instrumentos de  planificación para el  ordenamiento  territorial, social y económico del  Departamento del Quindio</t>
  </si>
  <si>
    <t xml:space="preserve">Diseñar un sistema que garantice  la calidad en la información de los esquemas y planes básicos para la toma de decisiones  y organización del territorio  físico espacial en el departamento del Quindío
 </t>
  </si>
  <si>
    <t xml:space="preserve">Diseñar e implementar el Plan de Ordenamiento del Departamento del Quindio( I- Fase)
</t>
  </si>
  <si>
    <t>Fortalecimiento de las Directrices MOD</t>
  </si>
  <si>
    <t>NORBEY VALENCIA ROCA - JEFE OFICINA DE ORDENAMIENTO TERRITORIAL</t>
  </si>
  <si>
    <t>Compilacion, Alimentación y analisis permanente del MOD, producidos Vs MOD</t>
  </si>
  <si>
    <t>Analisis de Información del MOD y articulación con el Acuerdo COT-POD</t>
  </si>
  <si>
    <t xml:space="preserve">Actualizar y fortalecer  las directrices   del Modelo de Ocupación del Territorio   en el Departamento del Quindío </t>
  </si>
  <si>
    <t xml:space="preserve">Actualizar y fortalecer  las directrices   del Modelo de Ocupación del Territorio   en el Departamento del Quindío
</t>
  </si>
  <si>
    <t>Actualización drectrices del MOD</t>
  </si>
  <si>
    <t>Diseñar e implementar Un (1) Sistema de Información geo referenciado para el ordenamiento social  y económico del territorio rural</t>
  </si>
  <si>
    <t>0305 - 5 - 3 1 5 28 87 17 9 - 88</t>
  </si>
  <si>
    <t>Diseñar e implementar un  Sistema de Información geo referenciado para el ordenamiento social  y económico del territorio rural</t>
  </si>
  <si>
    <t>Mantenimiento y Actualizacion permanente de Datos</t>
  </si>
  <si>
    <t xml:space="preserve">Fortalecer el  Sistema de Información Geográfica del Departamento del Quindío  </t>
  </si>
  <si>
    <t xml:space="preserve">Fortalecer el  Sistema de Información Geográfica del Departamento del Quindío </t>
  </si>
  <si>
    <t>fortalecimeinto de la Plataforma SIG Quindio.</t>
  </si>
  <si>
    <t>Adoptar dos (2) mecanismo de integracion regional  y  de asociatividad  entre los municipios.</t>
  </si>
  <si>
    <t xml:space="preserve">Adoptar dos (2) mecanismos de integracion regional  y  de asociatividad  entre los municipios.
</t>
  </si>
  <si>
    <t>Creacion de Modelos de Asociatividad e Integracion entre Municipios con Problematicas y/o Caracteristicas similares</t>
  </si>
  <si>
    <t>Fortalecer Procesos de Integracion entre los Municipios</t>
  </si>
  <si>
    <t>Reorientar el observatorio económico actual, a un enfoque de Desarrollo humano incluyente con variables sociales, económicas y de seguridad humana</t>
  </si>
  <si>
    <t>0305 - 5 - 3 1 5 28 87 17 10 - 20</t>
  </si>
  <si>
    <t>Diseño e implementación del Observatorio de Desarrollo Humano en el departamento del Quindío</t>
  </si>
  <si>
    <t>Aumentar los indices eficacia y eficiencia  de la inversión social en el Departamento del Quindio, a través  del diseño e implementación de la primera fase  del Observatorio de Desarrollo Humano en el Departamento del Quindio ( Diagnóstico y compilación de la información estadística -Elaboración de los lineamientos metodológicos, tecnológicos y presupuestales) ,  durante el periódo administrativo</t>
  </si>
  <si>
    <t xml:space="preserve">Realizar la recolección, el procesamiento y la organización de los datos disponibles para el seguimiento de los indicadores definididos en las metas de resultados, los problemas del departamento y los ODS.
</t>
  </si>
  <si>
    <t>Instrumento para el seguimiento de los 173 problemas identificados para el departamento en relación a los ODS. (Incluye la revisión y depuración de los indicadores y de las fuentes de información; así como su actualización por desagregación geográfica y vital)</t>
  </si>
  <si>
    <t>Instrumento para el seguimiento de las metas de resultado del Plan de Desarrollo en relación a los ODS. (Incluye la revisión y depuración de los indicadores y de las fuentes de información; así como su actualización por desagregación geográfica y vital)</t>
  </si>
  <si>
    <t>Análisis de la información recolectada para la actualización de las metas de resultados, los problemas del departamento y los ODS que complementan el Observatorio de Desarrollo Humano. (1 informe semestral y 1 informe Anual)</t>
  </si>
  <si>
    <t>Dar a conocer de forma dinámica los avances del departamento en materia de Desarrollo Humano para contribuir en el conocimiento de las dinámicas sociales, económicas y humanas presentes.</t>
  </si>
  <si>
    <t>Estructuración y cargue de los datos y reportes que se incluirán en el sistema de información de acuerdo con los formatos definidos  y de los sistemas de georeferenciación</t>
  </si>
  <si>
    <t>Gobierno en Línea</t>
  </si>
  <si>
    <t xml:space="preserve">Asistencia técnica a los 12 municipios del departamento </t>
  </si>
  <si>
    <t>Asistencia en el mejoramiento de la capacidad técnica en materia de datos a los funcionarios del CAD</t>
  </si>
  <si>
    <t>Diseñar e implementar el tablero de control  para el seguimiento y evaluación del Plan de Desarrollo  y   políticas públicas  Departamentales</t>
  </si>
  <si>
    <t>0305 - 5 - 3 1 5 28 87 17 11 - 20</t>
  </si>
  <si>
    <t>Diseño  e implementación del Tablero de Control  para el seguimiento y evalución del Plan de Desarrollo y las Políticas Públicas del  Departamento del Quindio.</t>
  </si>
  <si>
    <t xml:space="preserve">Caracterización, definición de indicadores, rutas críticas, seguimiento, control y evaluación de las metas estratégicas del Plan de Desarrollo " EN DEFENSA DEL BIEN COMÚN"  y las políticas públicas  del Departamento del Quindio  </t>
  </si>
  <si>
    <t xml:space="preserve">Realizar la caracterización,  definición de indicadores y estabecimiento de rutas criticas de las  metas estratégicas  Plan de Desarrollo Departamental y  la política pública de infancia y adolescencia por periodo administrativo 2016-2019, con el fin de fortalecer los procesos de planificación del departamento y mejorar los indices de eficacia y eficiencia de la inversión social   </t>
  </si>
  <si>
    <t>Definición de metas estratégicas por  el gobierno departamental a diciembre 2017</t>
  </si>
  <si>
    <t>ALVARO ARIAS YOUNG  SECRETARIO DE PLANEACION DEPARTAMENTAL
JUAN JOSE JARAMILLO PEREZ - JEFE OFICINA DE PROYECTOS Y COOPERACION INTERNACIONAL</t>
  </si>
  <si>
    <t>Seguimiento, control  y evaluación de metas estratégicas periódo administrativo 2017</t>
  </si>
  <si>
    <t>0305 - 5 - 3 1 5 28 87 17 11 - 88</t>
  </si>
  <si>
    <t xml:space="preserve">Realizar propuesta  metodológica, tecnológica, presupuestal y financiera  para correcta operatividad del seguimiento, control y evaluación del Plan de Desarrollo " EN DEFENSA DEL BIEN COMUN "  Y LAS POLÍTICAS PUBLICAS 2016-2019,  con el fin de fortalecer los procesos de planificación del departamento y mejorar los indices de eficacia y eficiencia de la inversión social   </t>
  </si>
  <si>
    <t>Implementación  del tablero de  control con metodología y tecnología</t>
  </si>
  <si>
    <t xml:space="preserve">Diseñar e implementar la  Fábrica de Proyectos de Inversión en el Departamento del Quindío </t>
  </si>
  <si>
    <t>0305 - 5 - 3 1 5 28 87 17 12 - 20</t>
  </si>
  <si>
    <t xml:space="preserve">  Implementación Sistema de Cooperación Internacional y  de Gestión de proyectos  del Depratamento del Quindío - " Fabrica de Proyectos"</t>
  </si>
  <si>
    <t xml:space="preserve">Aumentar la capacidad instalada en las secretarias sectoriales y entes territoriales para la formulación de proyectos conducentes a la gestión de recursos del orden departamental, nacional e internacional  </t>
  </si>
  <si>
    <t xml:space="preserve">Brindar capacitación y asistencia técnica proyectos Sistema General de Regalias  </t>
  </si>
  <si>
    <t>Capacitación formulación proyectos Sistema General de Regalias  SGR (Matriz  de Marco Lógico ; Metodología General Ajustada  y  requisitos generales para la viabilización  de proyectos)</t>
  </si>
  <si>
    <t>ALVARO ARIAS YOUNG  SECRETARIO DE PLANEACION DEPARTAMENTAL
JUAN JOSE JARAMILLO PEREZ - JEFE OFICINA DE PROYECTOS Y COOPERACION INTERNACIONAL
NORMA CONSUELO MANTILLA QUINTERO - PROFESIONAL UNIVERSITARIO</t>
  </si>
  <si>
    <t>Asistencia Técnica  en  la revisión de proyectos  Metodología General Ajustada MGA,   seguimiento a  trámites de  aprobación  proyectos  de Inversión SGR  y  mesas técnicas ( Secretarias Sectoriales,   Instancias de carácter municipal, departamental, regional  y/o nacional ), rendición de cuentas Sistema General de Regalias SGR, reuniones OCAD  Regional y Departamental.</t>
  </si>
  <si>
    <t xml:space="preserve">Asistencia Técnica  formulación Metodología General Ajustada MGA, gestión de insumos para el cumplimiento de requisitos mínimos,  revisión  de proyectos componente   Económico </t>
  </si>
  <si>
    <t xml:space="preserve">Asistencia Técnica  formulación Metodología General Ajustada MGA, gestión de insumos para el cumplimiento de requisitos mínimos,  revisión  de proyectos componentesocial </t>
  </si>
  <si>
    <t xml:space="preserve">Asistencia Técnica  formulación Metodología General Ajustada MGA, gestión de insumos para el cumplimiento de requisitos mínimos,  revisión  de proyectos componente Ambiental </t>
  </si>
  <si>
    <t>0305 - 5 - 3 1 5 28 87 17 12 - 88</t>
  </si>
  <si>
    <t>Seguimiento y evaluación ejecución  proyectos de inversión Sistema General de Regalias ( mensuales)</t>
  </si>
  <si>
    <t>Superavit Recursos Ordinarios</t>
  </si>
  <si>
    <t xml:space="preserve">Socialización de Informes Consejo de Gobierno </t>
  </si>
  <si>
    <t>Brindar asistencia técnica  en la  FORMULACIÓN DE PROYECTOS PRESUPUESTO GENERAL DE LA NACION Y COOPERACION INTERNACIONAL :  Elaboración  Guia de Cooperación ( Proyectos financiables, Requisitos, Metodologias, contrapartidas etc.  )  y Formulación Proyectos en la Metodologias,  según aplique.</t>
  </si>
  <si>
    <t>Asistencia Técnica  Económica</t>
  </si>
  <si>
    <t xml:space="preserve">Asistencia Técnica   componente social </t>
  </si>
  <si>
    <t xml:space="preserve">Asistencia Técnica componente Ambiental </t>
  </si>
  <si>
    <t xml:space="preserve">Asistencia Tecnica componente  de Ingenieria y/o Arquitectura ( AUTOCAD) </t>
  </si>
  <si>
    <t xml:space="preserve">Asistencia técnica en la formulación, ajuste, seguimiento y  evaluación de proyectos del presupuesto general del departamento </t>
  </si>
  <si>
    <t xml:space="preserve">a) Formulación, ajustes, seguimiento y   evaluación    proyectos de Inversión vigencia   2017 y 2018  . b) Trámites de ejecución y rendición de informes </t>
  </si>
  <si>
    <t xml:space="preserve">Realizacion de estduios de prefactibilidad para lagestión  de recursos de cofinanciación </t>
  </si>
  <si>
    <t xml:space="preserve">Estudios de preinversión  Departamento del Quindio </t>
  </si>
  <si>
    <t xml:space="preserve">Asistencia técnica   proyectos de cooperación a través de la Casa Delegada </t>
  </si>
  <si>
    <t>Asistencia -Casa Delegada</t>
  </si>
  <si>
    <t xml:space="preserve">Actualizar el Sistema Integrado de Gestión Administrativa SIGA del departamento del Quindío </t>
  </si>
  <si>
    <t>0305 - 5 - 3 1 5 28 87 17 13 - 20</t>
  </si>
  <si>
    <t xml:space="preserve">Actualizar y/o  ajustar el Sistema Integrado de Gestión Administrativa SIGA del Departamento del Quindío </t>
  </si>
  <si>
    <t xml:space="preserve"> Aumentar los indices eficacia y eficiencia  de la inversión social en el Departamento del Quindio, a  través la actualización del Sistema Integado de la Gestión Administrativa SIGA ( procesos estratégicos, misionales, de apoyo y evaluación y control) durante la vigencia 2017
 </t>
  </si>
  <si>
    <t xml:space="preserve">
Realizar talleres de capacitación funcionarios secretarias sectoriales  administración departamental   - metodología ajustes  procedimientos  departamento del Quindío
</t>
  </si>
  <si>
    <t>a) Sector Central : Salud (1), Educación (1) , Agricultura - Interior - Turismo, Industria y Comercio (1), Aguas e Infraestructura - Cultura (1)   Control Interno y de Gestión - Control Interno Disciplinario- Representación Judicial  (1), Planeación - Hacienda (1),  Administrativa -  Privada  Juridica y Contratación(1)</t>
  </si>
  <si>
    <t xml:space="preserve">Ordinarios </t>
  </si>
  <si>
    <t>Brindar asistencia técnica en los procesos de    ajuste y actualización procedimientos    Sistema Integrado de Gestión Administrativa</t>
  </si>
  <si>
    <t xml:space="preserve"> 46  Asistencia Procesos Estratégicos  ( Gestión Gerencial y Planificación)</t>
  </si>
  <si>
    <t xml:space="preserve">139 Asistencia Técnica Procesos Misionales (Salud, Educación, Agricultira Desarrollo Rural y Medio Ambiente, Familia, Interior, Agua e Infraestructura, Turismo Industria y Comercio y Cultura) </t>
  </si>
  <si>
    <t>0305 - 5 - 3 1 5 28 87 17 13 - 88</t>
  </si>
  <si>
    <t>(138) Procesos de Apoyo (Hacienda Pública, Gestión Pública, Gestión Administrativa, Representación Judicial, y Defensa Judicial)</t>
  </si>
  <si>
    <t>(323) Rrevisión, consolidación y ajustes  de   procesos  estratégicos, Misionales y de Apoyo</t>
  </si>
  <si>
    <t xml:space="preserve">3350 Fotocopias </t>
  </si>
  <si>
    <t xml:space="preserve">Implementar el Comité  de Planificación  Departamental   </t>
  </si>
  <si>
    <t>0305 - 5 - 3 1 5 28 87 17 14 - 20</t>
  </si>
  <si>
    <t>Asistencia  técnica, seguimiento y evaluación  de la gestión  territorial en los  munipicios del Departamento del  Quindío.</t>
  </si>
  <si>
    <t xml:space="preserve">Aumentar  los índices eficacia y eficiencia  de la inversión social en el departamento del Quindío, a través  de procesos de capacitación, asistencia técnica, seguimiento y evaluación del gestión territorial, durante  la vigencia 2017 . 
</t>
  </si>
  <si>
    <t>Crear, reglamentar e implementar el Comité Departamental de Planificación , con el fin de articular  procesos  que coadyuven al desarrollo económico y social del departamento del Quindio de manera planificada durante la vigencia 2016</t>
  </si>
  <si>
    <t xml:space="preserve">Creación  y reglamentación  y operatividad Comité de Planificación Departamental </t>
  </si>
  <si>
    <t>Implementar en doce (12) municipios del Departamento procesos de capacitación,   asistencia técnica,  seguimiento  y evaluación   de los    Planes  (Básicos y/o esquemas) Ordenamiento   Territorial</t>
  </si>
  <si>
    <t>Realizar capacitaciones, sensibilizaciones,  asistencias técnicas , seguimiento y evaluación  en los doce municipios del departamento, sobre los   instrumentos de planificación de la  gestión territorial : ocupación del espacio público, planes de ordenamiento territorial, sisben, raking integral de desempeño, instrumentos de planificación, políticas públicas y metodología general ajustada, con el fin de aumentar los índices de eficacia y eficiencia de la inversión en el departamento del Quindío durante la vigencia 2016</t>
  </si>
  <si>
    <t xml:space="preserve">Cincuenta capacitaciónes , asistencias técnicsa, seguimientos y evaluaciones Planes Básicos de Ordenamiento Territorial  </t>
  </si>
  <si>
    <t xml:space="preserve">Implementar en doce (12) municipios del Departamento del Quindío  procesos de sensibilización, capacitación, asistencia técnica, seguimiento y evaluación del "Ranking integral de Desempeño"   </t>
  </si>
  <si>
    <t xml:space="preserve">  Cuarenta  capacitaciónes , asistencias técnicas, seguimientos y evaluaciones Ranking Integral de Desempeño </t>
  </si>
  <si>
    <t xml:space="preserve">Implementar en doce (12) municipios del Departamento del Quindío  procesos de sensibilización, capacitación,  asistencia técnica, seguimiento  y evaluación  en la aplicabilidad de los instrumentos de planificación </t>
  </si>
  <si>
    <t>Sesenta   capacitaciónes , asistencias técnicas, seguimientos y evaluaciones   instrumentos de planificación</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</si>
  <si>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</si>
  <si>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Apoyo a la gestión  ( Servicios Profesionales ) Capacitación , Asistencia técnica, seguimiento y evaluación  Sistema de Selección de Benficiarios de Programas Sociales SISBEN </t>
  </si>
  <si>
    <t>0305 - 5 - 3 1 5 28 87 17 14 - 88</t>
  </si>
  <si>
    <t>Apoyo a la gestión  ( Tecnico ) en la relización de las  reuniones mensuales SISBEN    (5)  y procesos de   seguimiento y evaluación  Sistema de Selección de Beneficiarios de Programas Sociales SISBEN  (60) entes territoriales municipales del Departamento del Quindio</t>
  </si>
  <si>
    <t xml:space="preserve">Implementar en doce (12) municipios del Departamento del Quindío procesos de  sensibilización, capacitación, asistencia técnica, seguimiento  y evaluación  en la aplicabilidad   de las políticas públicas </t>
  </si>
  <si>
    <t xml:space="preserve">Cincuenta capacitaciónes , asistencias técnicsa, seguimientos y evaluaciones  Politicas Públicas  </t>
  </si>
  <si>
    <t xml:space="preserve">Implementar en doce (12) municipios del Departamento del Quindío  procesos  de capacitación,  asistencia técnica, seguimiento  y evaluación  en la aplicabilidad   de la Estratificación Socioeconómica </t>
  </si>
  <si>
    <t>Transporte</t>
  </si>
  <si>
    <t xml:space="preserve">Implementar en doce (12) municipios del departamento del Quindío procesos de capacitación  en  la Metodología General Ajustada  MGA </t>
  </si>
  <si>
    <t>Sesenta Capacitaciónes , Asistencia técnicas, seguimientos y evaluaciónes Metodologia General Ajustada</t>
  </si>
  <si>
    <t xml:space="preserve">Realizar procesos  de asistencia técnica, seguimiento y evaluacion  en la incorporación  de  las directrices del  Modelo de Ocupación del Territorio en los doce (12) Municipios </t>
  </si>
  <si>
    <t xml:space="preserve">Sesenta Capacitaciónes , Asistencia técnicas, seguimientos y evaluaciónes  Modelo de Ocupación del Territorio en los doce municipios </t>
  </si>
  <si>
    <t xml:space="preserve">ALVARO ARIAS YOUNG </t>
  </si>
  <si>
    <t xml:space="preserve">SECRETARIO DE PLANEACION DEPARTAMENTAL </t>
  </si>
  <si>
    <t xml:space="preserve">SEGUIMIENTO  PLAN DE ACCIÓN  VIGENCIA 2017 </t>
  </si>
  <si>
    <t>SECRETARIA DE PLANEACION</t>
  </si>
  <si>
    <t>O5</t>
  </si>
  <si>
    <t xml:space="preserve"> 1 de 1</t>
  </si>
  <si>
    <t>META FISICA 
PROGRAMADA</t>
  </si>
  <si>
    <t>60 Y MAS</t>
  </si>
  <si>
    <t>PROSPERIDAD CON EQUIDAD</t>
  </si>
  <si>
    <t>.</t>
  </si>
  <si>
    <t>Quindío rural, inteligente, competitivo y empresarial</t>
  </si>
  <si>
    <t>Quindío Prospero y productivo</t>
  </si>
  <si>
    <t xml:space="preserve">Crear (1) y fortalecer (3) rutas competitivas </t>
  </si>
  <si>
    <t>0311 - 5 - 3 1 2 2 8 13 51 - 20 
0311 - 5 - 3 1 2 2 8 13 51 - 88</t>
  </si>
  <si>
    <t>051</t>
  </si>
  <si>
    <t>Apoyo al mejoramiento de la competitividad a iniciativas  productivas en el  Departamento del Quindío</t>
  </si>
  <si>
    <t>Mejoramiento de  los  niveles de competitividad e innovación en  las empresas , a través de fortalecimiento de los cluster y  rutas competitivas  en el Departamento del Quindio.</t>
  </si>
  <si>
    <t xml:space="preserve">Implementar metodología para la creación de una ruta competitiva y apoyar el fortalecimeinto de las rutas existentes </t>
  </si>
  <si>
    <t>20
88</t>
  </si>
  <si>
    <t>ORDINARIO
SUPERAVIT RECURSO ORDINARIO</t>
  </si>
  <si>
    <t>CLAUDIA LORENA ARIAS AGUDELO 
JORGE IVÁN ECHEVERRI CORREA
JUAN DAVID PACHÓN MORALES</t>
  </si>
  <si>
    <t xml:space="preserve">JUAN DAVID PACHÓN MORALES                                 
Secretario de Turismo, Industria y Comercio (e).
</t>
  </si>
  <si>
    <t>Conformar e implementar (3) tres clúster priorizados en el Plan de Competitividad</t>
  </si>
  <si>
    <t>Implementar la metodologia para el desarrollo de las iniciativas  cluster y desarrollar su primera fase</t>
  </si>
  <si>
    <t xml:space="preserve">Diseño, formulación y puesta en marcha del Centro  para el desarrollo y el  fortalecimiento de la investigación, tecnología,  Ciencia e Innovación .    </t>
  </si>
  <si>
    <t>0311 - 5 - 3 1 2 2 8 13 52 - 20
0311 - 5 - 3 1 2 2 8 13 52 - 88</t>
  </si>
  <si>
    <t>052</t>
  </si>
  <si>
    <t>Fortalecimiento de  la   competitividad  a través de la  gestión de la innovación  y la tecnocología en el Departamento del Quindio</t>
  </si>
  <si>
    <t xml:space="preserve">Mejoramiento de las capacidades de la región para la gestión estratégica de la innovación en el departamento del Quindío. </t>
  </si>
  <si>
    <t xml:space="preserve"> Diseño, formulación y puesta en marcha del Centro  para el desarrollo y el  fortalecimiento de la investigación, tecnología,  Ciencia e Innovación </t>
  </si>
  <si>
    <t xml:space="preserve">Realizar el diseño  del centro para el desarrollo y el  fortalecimiento de la investigación, tecnología,  Ciencia e Innovación </t>
  </si>
  <si>
    <t>72.224</t>
  </si>
  <si>
    <t>27.477</t>
  </si>
  <si>
    <t>86.843</t>
  </si>
  <si>
    <t>236.429</t>
  </si>
  <si>
    <t>81.384</t>
  </si>
  <si>
    <t>CLAUDIA LORENA ARIAS AGUDELO 
JORGE IVÁN ECHEVERRI CORREA
JUAN DAVID PACHÓN MORALES</t>
  </si>
  <si>
    <t>JUAN DAVID PACHÓN MORALES                                 
Secretario de Turismo, Industria y Comercio (e).</t>
  </si>
  <si>
    <t xml:space="preserve">Realizar la  formulación  del centro para el desarrollo y el  fortalecimiento de la investigación, tecnología,  Ciencia e Innovación </t>
  </si>
  <si>
    <t xml:space="preserve">Apoyar la formulación del proyecto: Red de conocimiento de agro negocios del departamento </t>
  </si>
  <si>
    <t xml:space="preserve">Apoyo a la formulacion del proyecto: red de conocimiento de agronegocios del departamento y su fortalecimiento a traves de un proyecto de I+D+I
</t>
  </si>
  <si>
    <t>Apoyar las actividades requeridas para la formulación y ejecución del proyecto Red de Conocimeinto de Agronegocios.</t>
  </si>
  <si>
    <t xml:space="preserve">Diseñar y fortalecer un proyecto de I+D+I </t>
  </si>
  <si>
    <t>Presentar, gestionar, hacer seguimiento y coordinar las actividades correspondientes al desarrollo de un  proyecto de i+d+i.</t>
  </si>
  <si>
    <t>Hacia el Emprendimiento, Empresarismo, asociatividad y generación de empleo en el Departamento del Quindío</t>
  </si>
  <si>
    <t>Apoyar a doce (12) unidades de emprendimiento para jóvenes emprendedores.</t>
  </si>
  <si>
    <t>0311 - 5 - 3 1 2 2 9 13 53 - 20
0311 - 5 - 3 1 2 2 9 13 53 - 88</t>
  </si>
  <si>
    <t>053</t>
  </si>
  <si>
    <t>Apoyo al emprendimiento, empresarismo, asociatividad y generación de empleo en el departamento del Quindio</t>
  </si>
  <si>
    <t>Mejoramiento de los niveles de emprendimiento, emprenderismo y asociatividad en el departamento del Quindio</t>
  </si>
  <si>
    <t xml:space="preserve">Apoyar con recursos financieros  u otros el fortalecimiento del emprendimiento, empresarismo y asociatividad en el Departamento del Quindio
</t>
  </si>
  <si>
    <t>Apoyar cuatro unidades de emprendimiento de jovenes emprendedores mediante consolidacion de unidades de emprendimiento, capacitación y aporte de capital semilla.</t>
  </si>
  <si>
    <t>CLAUDIA LORENA ARIAS AGUDELO 
JORGE IVÁN ECHEVERRI CORREA</t>
  </si>
  <si>
    <t>Suminsitro de refrigerios y alimentación para apoyar las actividades y eventos realizados en los procesos de emprendimiento, con jovenes emprendedores y poblacion con enfoque diferencial</t>
  </si>
  <si>
    <t xml:space="preserve">Diseñar un ecosistema Regional de Emprendimiento y Asociatividad  </t>
  </si>
  <si>
    <t xml:space="preserve">Apoyar la existencia de un ecosistema  regional de emprendimiento en el Departamento del Quindio, a través de la elaboración de una propopuesta de alianzas estrátegicas  
</t>
  </si>
  <si>
    <t>Elaborar y coordinar la ejecucion  del plan de accion del ecosistema con los actores involucrados.</t>
  </si>
  <si>
    <t>Apoyar   doce (12) Unidades de emprendimiento de grupos poblacionales con enfoque diferencial.</t>
  </si>
  <si>
    <t>Apoyar cuatro unidades de emprendimiento de población con enfoque diferencial mediante consolidacion de unidades de emprendimiento, capacitación y aporte de capital semilla.</t>
  </si>
  <si>
    <t>Implementar un programa de gesiton financiera para el desarrollo de emprendimiento, empresarismo y asociatividad</t>
  </si>
  <si>
    <t>Fortalecimiento convenio con Cofincafé</t>
  </si>
  <si>
    <t>Quindío Sin Fronteras</t>
  </si>
  <si>
    <t>Fortalecer  doce (12) empresas en procesos internos y externos para la apertura a mercados regionales, nacionales e internacionales</t>
  </si>
  <si>
    <t>0311 - 5 - 3 1 2 2 10 13 56 - 20
0311 - 5 - 3 1 2 2 10 13 56 - 88</t>
  </si>
  <si>
    <t>056</t>
  </si>
  <si>
    <t xml:space="preserve">Fortalecimiento del sector empresarial  hacia mercados globales en el Departamento del Quindio .   </t>
  </si>
  <si>
    <t xml:space="preserve">Mejoramiento del potencial exportador de empresas con capacidad para su conexión a mercados gobales </t>
  </si>
  <si>
    <t>Mejoramiento en la generación de competencias y habilidades en las empresas  del departamento del Quindío</t>
  </si>
  <si>
    <t>Apoyo  al fortalecimiento de las empresas  en procesos internos y/o externos para apertura a mercados regionales, nacionales e internacionales</t>
  </si>
  <si>
    <t>Constituir e implementar una agencia de inversión empresarial</t>
  </si>
  <si>
    <t>Fortalecimiento de mecanismos de inversion y de herramientas tecnologicas de servicios logisticos en el sector empresarial para su conexión a mercados globales</t>
  </si>
  <si>
    <t xml:space="preserve">Puesta en marcha y consolidación de la agencia de inversión empresarial  </t>
  </si>
  <si>
    <t>Diseñar la  plataforma de servicios logísticos nacionales e internacionales tendiente a lograr del departamento un centro de articulación de occidente</t>
  </si>
  <si>
    <t>Apoyar  el  diseño y puesta en marcha de la plataforma de servicios logisticos nacionales e internacionales</t>
  </si>
  <si>
    <t>QUINDIO POTENCIA TURISTICA DE NATURALEZA Y DIVERSION</t>
  </si>
  <si>
    <t xml:space="preserve">Fortalecimiento de la oferta de productos y atractivos turísticos </t>
  </si>
  <si>
    <t>Diseñar, crear y/o fortalecer 15 Productos turísticos para ser ofertados</t>
  </si>
  <si>
    <t>0311 - 5 - 3 1 2 3 11 13 59 - 20
0311 - 5 - 3 1 2 3 11 13 59 - 88</t>
  </si>
  <si>
    <t>059</t>
  </si>
  <si>
    <t>Fortalecimiento de la oferta de prestadores de servicos, productos y atractivos turísticos en el Departamento del Quindío.</t>
  </si>
  <si>
    <t xml:space="preserve">Mejoramiento del posicionamiento del departamento del Quindío como destino turistico en Colombia. </t>
  </si>
  <si>
    <t xml:space="preserve">Mejorar  el nivel de fortalecimiento y diseño de  nuevos  productos turisticos de naturaleza  en el departamento del Quindio
</t>
  </si>
  <si>
    <t>Diseñar, crear y/o fortalecer 5 Productos turísticos para ser ofertados</t>
  </si>
  <si>
    <t xml:space="preserve">JUAN DAVID PACHÓN MORALES
JOHANNA ALZATE SERNA </t>
  </si>
  <si>
    <t>Elaborar e implementar  un Plan de Calidad Turística del Destino</t>
  </si>
  <si>
    <t>Actualización y ejecución del Plan de Calidad Turistica</t>
  </si>
  <si>
    <t>Mejoramiento de la competitividad del Quindío como destino turístico</t>
  </si>
  <si>
    <t>Gestionar y ejecutar (3) proyectos para mejorar la competitividad del Quindío como destino turístico</t>
  </si>
  <si>
    <t>0311 - 5 - 3 1 2 3 12 13 60 - 20
0311 - 5 - 3 1 2 3 12 13 60 - 88</t>
  </si>
  <si>
    <t>060</t>
  </si>
  <si>
    <t>Apoyo a la competitividad  como destino turístico en el Departamento del Quindío.</t>
  </si>
  <si>
    <t xml:space="preserve">Mejorar el nivel de competitividad de las empresas prestadoras de servicios turisticos en el departamento del Quindio </t>
  </si>
  <si>
    <t>Mejoramiento del nivel de gestion de recursos para proyectos de competitividad del destino turistico</t>
  </si>
  <si>
    <t>Apoyo al diseño de la conformación de los cluster de Turismo de Naturaleza, MICE y Salud</t>
  </si>
  <si>
    <t>Apoyo a la ejecución del Plan Decenal de Turismo</t>
  </si>
  <si>
    <t xml:space="preserve">Fortalecimiento del programa Club de Calidad  "Haciendas del Café" </t>
  </si>
  <si>
    <t>Apoyo para la capacitación a prestadores de servicios turisticos</t>
  </si>
  <si>
    <t>Acciones de trabajo contra Informalidad, Prevención del ESCNNA y de Turismo Responsable</t>
  </si>
  <si>
    <t>Promoción nacional e internacional del departamento como destino turístico</t>
  </si>
  <si>
    <t>Construcción del Plan de Mercadeo Turístico</t>
  </si>
  <si>
    <t>0311 - 5 - 3 1 2 3 13 13 62 - 20
0311 - 5 - 3 1 2 3 13 13 62 - 88
0311 - 5 - 3 1 2 3 13 13 62 - 52
0311 - 5 - 3 1 2 3 13 13 62 - 94</t>
  </si>
  <si>
    <t>062</t>
  </si>
  <si>
    <t>Apoyo a la promoción nacional e internacional como destino  turístico del Departamento del Quindío.</t>
  </si>
  <si>
    <t>Mejoramiento del nivel de impacto de las acciones de "Promocion del destino turistico del departamento del Quindio"</t>
  </si>
  <si>
    <t>Incrementar el nivel de impacto de las acciones de promocion de los productos turisticos</t>
  </si>
  <si>
    <t>Ejecucion del Plan de Mercadeo para la  Promoción del departamento como destino turístico.</t>
  </si>
  <si>
    <t>20
52
88
94</t>
  </si>
  <si>
    <t xml:space="preserve">*RECURSO ORDINARIO
*IMPUESTO AL REGISTRO TURISMO Y CULTURA 4%
*SUPERAVIT RECURSO ORDINARIO
*SUPERAVIT IMPUESTO AL REGISTRO TURISMO 4%
</t>
  </si>
  <si>
    <t xml:space="preserve">JUAN DAVID PACHÓN MORALES                                 </t>
  </si>
  <si>
    <t>Secretario de Turismo, Industria y Comercio (E).</t>
  </si>
  <si>
    <t xml:space="preserve">F-PLA-07  </t>
  </si>
  <si>
    <t>SECRETARIA DE TURISMO, INDUSTRIA Y COMERCIO</t>
  </si>
  <si>
    <t>SECRETARIA DE FAMILIA</t>
  </si>
  <si>
    <t>PLAN DE DESARROLLO DEPARTAMENTAL  SECRETARIA DE FAMILIA - 2017</t>
  </si>
  <si>
    <t>INCLUSION SOCIAL</t>
  </si>
  <si>
    <t>Atención Integral a la Primera Infancia</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</si>
  <si>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</si>
  <si>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</si>
  <si>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</si>
  <si>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0316 - 5 - 3 1 3 16 56 14 102 - 20</t>
  </si>
  <si>
    <t>Implementación de un modelo de atenciòn integral a niños y niñas en entornos protectores en el Departamento del Quindìo</t>
  </si>
  <si>
    <t>Promover la atención integral  de los niños, niñas, madres gestantes,  sus familias y cuidadores</t>
  </si>
  <si>
    <t xml:space="preserve">Incrementar los indices de apoyo y acompañamiento en el desarrollo infantil en  ambientes familiares y grupales,  alimentación adecuada y seguimiento al desarrollo.
</t>
  </si>
  <si>
    <t xml:space="preserve">Apoyar acciones que conlleven a garantizar la atención integral a la primera infancia, así como promover factores protectores  en las familias con niños y niñas en primera infancia </t>
  </si>
  <si>
    <t>NATALIA ALVAREZ RUALES, Jefe de Familia</t>
  </si>
  <si>
    <t>LILIANA JARAMILLO CARDENAS
 SECRETARIA DE FAMILIA</t>
  </si>
  <si>
    <t>Realización de eventos y actividades con los NNA para el desarrollo del programa</t>
  </si>
  <si>
    <t>Apoyar la creación y/o implementación de Rutas integrales de Atención a la primera infancia.</t>
  </si>
  <si>
    <t>Numero de rutas integrales de atención  a al a primera infancia implementadas y/o creadas</t>
  </si>
  <si>
    <t xml:space="preserve">Mejorar el acompañamiento en el desarrollo gestacional y  complemento nutricional, pautas de crianza y desarrollo infantil
</t>
  </si>
  <si>
    <t>Creación y puesta en marcha  de un programa de atención integral a la primera infancia que contenga las rutas integrales de atención</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</si>
  <si>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</si>
  <si>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</si>
  <si>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</si>
  <si>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</si>
  <si>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0.11</t>
  </si>
  <si>
    <t>0316 - 5 - 3 1 3 17 58 14 103 - 20</t>
  </si>
  <si>
    <t xml:space="preserve"> Formulación e implementación de  la politica pública  de la familia en el departamento del Quindio</t>
  </si>
  <si>
    <t>Promover los derechos de los integrantes de la familia, como núcleo fundamental de la sociedad Quindiana, alrededor de ambientes de protección, autocuidado y atención integral forjando seres al servicios de la sociedad</t>
  </si>
  <si>
    <t>Aumentar espacios de atención, formación y reflexión, orientados al fortalecimiento de los entornos familiares, sociales y educativos.</t>
  </si>
  <si>
    <t>Cumplimiento de la fase preliminar de formulacion de la politica puiblica de  familia</t>
  </si>
  <si>
    <t xml:space="preserve">Alto grado de tolerancia ante la diversidad de pensamientos y comportamientos al interior de las familias </t>
  </si>
  <si>
    <t xml:space="preserve">Apoyo con la realización de los planes de acción y
Caracterización en pro de la construcción de la política
publica de familia
</t>
  </si>
  <si>
    <t xml:space="preserve">Quindío departamento de derechos  de niñas, niños y adolescentes </t>
  </si>
  <si>
    <t>Implementar la política pública de primera infancia, infancia y adolescencia</t>
  </si>
  <si>
    <t>Política publica de primera infancia, infancia y adolescencia implementada</t>
  </si>
  <si>
    <t>0.10</t>
  </si>
  <si>
    <t>0316 - 5 - 3 1 3 1760 14 109 - 20</t>
  </si>
  <si>
    <t>Implementación de la  política de primera infancia, infancia y adolescencia en el Departamento del Quindio</t>
  </si>
  <si>
    <t>Eficiencia en la articulacion Interinstitucional que garantice un seguimiento efectivo del cumplimiento dfel plan de accion de la politica publica de infancia y adolescencia</t>
  </si>
  <si>
    <t xml:space="preserve">Seguimiento, monitoreo y evaluación de la implementación   de la   política publica que garantice los derechos de los niños, niñas y adolescentes del depto. Del Quindío </t>
  </si>
  <si>
    <t>Apoyo logístico celebración y eventos relacionados con la niñez y la adolescencia del depto</t>
  </si>
  <si>
    <t>Implementar  una estrategia de prevención y atención de embarazos y segundos embarazos a temprana edad.</t>
  </si>
  <si>
    <t>Estrategia de prevención  y atención de embarazos a temprana edad implementada</t>
  </si>
  <si>
    <t xml:space="preserve">Disminuir los factores de vulneracion de los derechos de niños, niñas y adolescentes (maltrato, abuso,abandono, explotación sexual) </t>
  </si>
  <si>
    <t xml:space="preserve">Implementar una  estrategia  de prevención y atención de la erradicación del abuso, explotación sexual comercial, trabajo infantil y peores formas de trabajo, y actividades delictivas. </t>
  </si>
  <si>
    <t>Estrategia  de prevención y atención de la erradicación del abuso implementada</t>
  </si>
  <si>
    <t>Formular estrategias de prevencion de y atención en la erradicacion del abuso, explotación sexual, comercial, actividdades delecitivas</t>
  </si>
  <si>
    <t xml:space="preserve">Garantizar los derechos de los niños, niñas y adolescentes y el restablecimiento de ellos en el depto. Del Quindío
</t>
  </si>
  <si>
    <t xml:space="preserve"> "Sí para ti" atención integral a adolescentes y jóvenes </t>
  </si>
  <si>
    <t>Revisar, ajustar e implementar la política pública de juventud del departamento</t>
  </si>
  <si>
    <t>Política pública de juventud revisada, ajustada e implementada</t>
  </si>
  <si>
    <t>0.49</t>
  </si>
  <si>
    <t>0316 - 5 - 3 1 3 17 60 14 110 - 20</t>
  </si>
  <si>
    <t>Desarrollar de acciones encaminadas a la atención integral  de los adolescentes y jóvenes del Departamento del Quindio</t>
  </si>
  <si>
    <t xml:space="preserve">Revisar, ajustar e implementar la política pública de jóvenes del departamento en sus 5 ejes estratégicos: arquitectura institucional, atención integral, seguimiento, evaluación y control, generación del conocimiento, y movilización y participación </t>
  </si>
  <si>
    <t xml:space="preserve">Creación  y reglamentación del Comité Departamental de implementación de la política pública de juventud </t>
  </si>
  <si>
    <t>Gloria Cristina Zuleta Rincon, Directora de Desarrollo Humano y Familia</t>
  </si>
  <si>
    <t>Implementar  dos (2) estrategias de prevención para adolescentes y jóvenes en riesgo social y/o vinculados a la Ley de responsabilidad  penal</t>
  </si>
  <si>
    <t>Número  de estrategias  de prevención  para adolescentes y jóvenes implementadas</t>
  </si>
  <si>
    <t xml:space="preserve">Apoyo en la generación de estrategias de articulación y gestión para la atención integral de los jóvenes, incluyendo los sectores y actores </t>
  </si>
  <si>
    <t>Desarrollar e implementar una estrategia de prevención del consumo de sustancias psico activas  (SPA)  dirigida a adolescentes y jóvenes del departamento.</t>
  </si>
  <si>
    <t>Estrategia   de  prevención del consumo de sustancias psico activas  (SPA) , implementada.</t>
  </si>
  <si>
    <t>0.15</t>
  </si>
  <si>
    <t>Articulación  interinstitucional e intersectorial y  personal competente para generar procesos de intervención social, a los jóvenes del depto.</t>
  </si>
  <si>
    <t>Realización de activades y eventos que beneficien  a  los adolescentes  y  jóvenes</t>
  </si>
  <si>
    <t>"Capacidad sin limites"</t>
  </si>
  <si>
    <t>Revisar, ajustar  e implementar   la política pública departamental de discapacidad  "Capacidad sin limites",</t>
  </si>
  <si>
    <t>Política pública departamental de discapacidad  revisada, ajustada  e implementada.</t>
  </si>
  <si>
    <t>0.46</t>
  </si>
  <si>
    <t>0316 - 5 - 3 1 3 17 61 14 114 - 20</t>
  </si>
  <si>
    <t>Actualización e implementación  de   la política pública departamental de discapacidad  "Capacidad sin limites" en el Quindio</t>
  </si>
  <si>
    <t xml:space="preserve">Realizar acciones para  el  seguimiento al Plan de Acción de los CMD – Ejes de la Política Publica
</t>
  </si>
  <si>
    <t>Adquisicion de bienes y servicios: Logistica Operativa</t>
  </si>
  <si>
    <t>LUZ MARINA MARTINEZ OSSA, Directora de Adulto Mayor y Discapacidad</t>
  </si>
  <si>
    <t>Ajustes y actualización  a la Política Publica de Discapacidad</t>
  </si>
  <si>
    <t>Elaboración de material didactico para la divulgacion de la politica publica</t>
  </si>
  <si>
    <t>Procesos de  fortalecimiento en la cultura organizacional  del sector público y privado</t>
  </si>
  <si>
    <t>Inclusión social, laboral, educativa  y representatividad de las personas con discapacidad</t>
  </si>
  <si>
    <t>Garantia de Participación en la Vida Política y Pública.</t>
  </si>
  <si>
    <t>Procesos de sensibilización y concientización en torno a la discapacidad</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</si>
  <si>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</si>
  <si>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</si>
  <si>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</si>
  <si>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</si>
  <si>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0.02</t>
  </si>
  <si>
    <t>0316 - 5 - 3 1 3 18 62 14 117 - 20</t>
  </si>
  <si>
    <t xml:space="preserve">Diseño e implementación  de la estratégica para la atención de la  población  en vulnerabiliada extrema  en el Departamento del Quindio  </t>
  </si>
  <si>
    <t xml:space="preserve">Sensibilizar y fortalecer a la población vulnerable asentada en el departamento del Quindío (mujeres, indígenas, afrodescendientes, migrantes y población LGTBI), promoviendo el cumplimiento de los derechos y  garantizando condiciones de vida digna </t>
  </si>
  <si>
    <t xml:space="preserve">Una estrategia integral  necesariamente  articulada en red que asegure contar con los recursos suficientes mediante una efectiva sinergia y coordinación entre instituciones públicas y privadas </t>
  </si>
  <si>
    <t>Diseño  de una estrategia  para la atención de la población en situación de vulnerabilidad extrema del departamento. (Habitantes de calle, trabajo sexual,  reincidencia delictiva, drogadicción, bandas delincuenciales, entre otras</t>
  </si>
  <si>
    <t>ELSA ADRIANA SANCHEZ CAÑAS, Directora de Poblaciones</t>
  </si>
  <si>
    <t>Realizar un acercamiento con las instituciones involucradas en la problemática de habitabilidad en la calle, como estrategia de sensibilización para la inclusión social</t>
  </si>
  <si>
    <t>Apoyar  con  programas específicos, dirigido  a grupos  que viven en entornos de alto riesgo: Extrema pobreza, desarraigo social,  drogadicción, delincuencia, prostitución, o pertenecen a familias    multiproblemáticas  y de alto riesgo social</t>
  </si>
  <si>
    <t>Apoyar programas específicos, dirigidos a grupos  que viven en entornos de alto riesgo: Extrema pobreza, desarraigo social,  drogadicción, delincuencia, prostitución, o pertenecen a familias    multiproblemáticas  y de las personas privadas de la libertad y otras en alto riesgo social</t>
  </si>
  <si>
    <t>implementar  un  programa  departamental para la atención y acompañamiento a la población migrante  y de repatriación .</t>
  </si>
  <si>
    <t>programa departamental  implementado para la atención y acompañamiento a la población migrante y de repatriación.</t>
  </si>
  <si>
    <t>0.26</t>
  </si>
  <si>
    <t>0316 - 5 - 3 1 3 18 62 14 118 - 20</t>
  </si>
  <si>
    <t xml:space="preserve"> Implementación del programa  para la atención y acompañamiento  del ciudadano migrante  y de repatración en el Departamento del Quindio.</t>
  </si>
  <si>
    <t>Existencia de planes de acompañamiento al ciudadano migrante del depto. del Quindío</t>
  </si>
  <si>
    <t>Realizar  procesos  de capacitación, asistencia técnica, seguimiento y evaluación en cuanto a la garantia de derechos de la población migrante del Departamento</t>
  </si>
  <si>
    <t>Ejecutar un programa de asistencia social y de repatriación de quindianos fallecidos en el exterior</t>
  </si>
  <si>
    <t xml:space="preserve">Pervivencia de los pueblos indígenas en el marco de la Paz </t>
  </si>
  <si>
    <t>Apoyar el plan de vida para el resguardo indígena Dachi Agore Drua del municipio de Calarcá</t>
  </si>
  <si>
    <t>Plan de vida apoyado y fortalecido</t>
  </si>
  <si>
    <t>0316 - 5 - 3 1 3 18 63 14 121 - 20</t>
  </si>
  <si>
    <t>Fortalecimiento resguardo  indígena DACHI AGORE DRUA del municipio de Calarcá del Departamento del Quindío.</t>
  </si>
  <si>
    <t>Apoyar con unidades productivas al plan de vida del Resguardo Indigena</t>
  </si>
  <si>
    <t>Asistencia Social: Procesos de apoyo, gestión, asesoria y acompañamiento al Resguardo Dachi Agore Drua del Departamento para garantizar los derechos fundamentales y Especiales.</t>
  </si>
  <si>
    <t>31/12/0217</t>
  </si>
  <si>
    <t xml:space="preserve">Adquisición de bienes y servicios como: Herramientas,   materiales e insumos para beneficiar a la población indígena DACHI AGORE DRUA
</t>
  </si>
  <si>
    <t>Apoyar   y fortalecer  la elaboración y puesta en marcha  de  planes de vida de los pueblos indígenas asentados en el Departamento del Quindío.</t>
  </si>
  <si>
    <t>Planes de vida apoyados y fortalecidos</t>
  </si>
  <si>
    <t>0.17</t>
  </si>
  <si>
    <t>0316 - 5 - 3 1 3 18 63 14 122 - 20</t>
  </si>
  <si>
    <t xml:space="preserve">Apoyo  a la elaboración y puesta marcha de Planes de Vida  de los cabildos indigenas en el departamento del Quindio  </t>
  </si>
  <si>
    <t>Elaborar un diagnóstico real de las condiciones de vida de las comunidades indígenas del depto</t>
  </si>
  <si>
    <t xml:space="preserve"> Apoyo, acompañamiento y fortalecimiento en cuanto procesos de seguridad alimentaria, saneamiento basico, educación, salud, justicia, gobernabilidad y territorio </t>
  </si>
  <si>
    <t>22/06/0217</t>
  </si>
  <si>
    <t>Apoyo del talento humano para garantizar la atención integral y con enfoque diferencial de las comunidades indigenas asentadas en el Departamento del Quindío</t>
  </si>
  <si>
    <t>Articulación institucional para la atención diferencial de los indígenas del depto</t>
  </si>
  <si>
    <t xml:space="preserve">
Compra de herramientas, materiales, insumos, y Servicio de Transporte, etc. como apoyo para la  puesta en marcha de los planes de vida de los Cabildos Indigenas</t>
  </si>
  <si>
    <t xml:space="preserve">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</si>
  <si>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</si>
  <si>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Programa  articulado interinstitucional para la  atención integral con enfoque diferencial a la población afro descendiente implementado</t>
  </si>
  <si>
    <t>0.14</t>
  </si>
  <si>
    <t>0316 - 5 - 3 1 3 18 64 14 124 - 20</t>
  </si>
  <si>
    <t xml:space="preserve">Implementación de un  programa de atención integral a la población  afrodescendiente en el Departamento del Quindio </t>
  </si>
  <si>
    <t>Implementar un programa articulado interinstitucional para la atencion integral con enfoque disferencial a la poblaicon afro del departamento</t>
  </si>
  <si>
    <t>Capacitaciones dirigidas a comunidades Afros del Departamento</t>
  </si>
  <si>
    <t xml:space="preserve">Apoyo, acompañamiento y fortalecimiento en cuanto procesos de seguridad alimentaria, saneamiento basico, educación, salud y vivienda  </t>
  </si>
  <si>
    <t>Compra de herramientas, materiales, insumos, etc.</t>
  </si>
  <si>
    <t>Sí a la diversidad sexual e identidad de género y su familia.</t>
  </si>
  <si>
    <t>Formular  la política pública departamental de diversidad sexual e identidad de género</t>
  </si>
  <si>
    <t>Política pública formulada e implementada</t>
  </si>
  <si>
    <t>0.28</t>
  </si>
  <si>
    <t>0316 - 5 - 3 1 3 18 65 14 125 - 20</t>
  </si>
  <si>
    <t>Fomulación e implementación de la politca pública  de diversidad sexual en el Departamento del Quindio</t>
  </si>
  <si>
    <t>Establecer políticas claras para la inclusión social de la población LGTBI</t>
  </si>
  <si>
    <t>Cumplimiento de la fase preliminar de formulación de la política pública de  diversidad sexual</t>
  </si>
  <si>
    <t>Celebración de eventos relacionados con la población LGTBI</t>
  </si>
  <si>
    <t>Mujeres constructoras de Familia y de paz.</t>
  </si>
  <si>
    <t>Revisar, ajustar  e  implementar  la política publica de equidad de género para la  mujer del departamento</t>
  </si>
  <si>
    <t>Política pública  de equidad de genero revisada, ajustada e implementada.</t>
  </si>
  <si>
    <t>0.06</t>
  </si>
  <si>
    <t>0316 - 5 - 3 1 3 18 66 14 128 - 20</t>
  </si>
  <si>
    <t>Implementaciòn de la polìtica pùblica de equidad de género para la mujer en el Departamento del Quindìo</t>
  </si>
  <si>
    <t>Cumplimiento de la normatividad jurídica nacional e internacional</t>
  </si>
  <si>
    <t>Campañas de socialización de las normas y las leyes que cobijan a la Mujer</t>
  </si>
  <si>
    <t>DORA BEATRIZ ARBELAEZ, Directora de Equidad y Mujer</t>
  </si>
  <si>
    <t>Conmemoración Día de la No violencia contra la Mujer</t>
  </si>
  <si>
    <t>seguimiento al Plan de Acción de la Política Publica de Equidad de Género para Mujer</t>
  </si>
  <si>
    <t>Fortalecer  la oferta Institucional para las micro, pequeñas y medianas empresas de y para mujeres.</t>
  </si>
  <si>
    <t xml:space="preserve">Implementacion de los planes de acción de la Politica Publica de  Equidad de Género para la mujer
</t>
  </si>
  <si>
    <t>Atención integral al Adulto Mayor</t>
  </si>
  <si>
    <t xml:space="preserve">Quindío para todas las edades </t>
  </si>
  <si>
    <t>Revisar, ajustar  e implementar  la política pública departamental "Un Quindío para todas las edades 2010-2020"</t>
  </si>
  <si>
    <t>Política pública revisada, ajustada  e implementada.</t>
  </si>
  <si>
    <t>0.42</t>
  </si>
  <si>
    <t>0316 - 5 - 3 1 3 19 67 14 129 - 20</t>
  </si>
  <si>
    <t xml:space="preserve">Apoyo y bienestar integral a las personas mayores del Departamento del Quindio </t>
  </si>
  <si>
    <t>Contribuir al cuidado, la independencia y la autonomía de las personas mayor por medio de la gestión integral dl desarrollo, el fortalecimiento en la atención, la formación de capacidades humanas y la promoción de estilos de vida saludables acorde a la política publica de envejecimiento y vejez 2010-2020</t>
  </si>
  <si>
    <t xml:space="preserve">Apoyar la elaboración ,seguimiento y evaluacion de los planes de accion de los municipios y depto de la Politica Publica de envejecimiento y vejez
</t>
  </si>
  <si>
    <t>Ajustes y actualización  a la Política Publica de envejecimiento y vejez: UN QUINDIO PARA TODAS LAS EDADES</t>
  </si>
  <si>
    <t>Realizar procesos de motivación para incentivar el interés por la vida disminuyendo índices  de morbilidad del adulto mayor</t>
  </si>
  <si>
    <t>Celebraciones y eventos donde se resalte la importancia del rol del adulto mayor y su trayectoria de vida en la familia y la sociedad</t>
  </si>
  <si>
    <t>Crear el cabildo de adulto mayor del Departamento y apoyar la creación en once municipios del Quindío</t>
  </si>
  <si>
    <t>Número de Cabildos de Adulto Mayor creados.</t>
  </si>
  <si>
    <t>0.20</t>
  </si>
  <si>
    <t xml:space="preserve">Realizar  acciones que conlleven a la creación del cabildo del adulto mayor en los municipios del departamento del Quindío </t>
  </si>
  <si>
    <t xml:space="preserve">Apoyar 12 Centros de Bienestar del Departamento </t>
  </si>
  <si>
    <t xml:space="preserve">Apoyar 12 centros de bienestar del departamento </t>
  </si>
  <si>
    <t xml:space="preserve">
0316 - 5 - 3 1 3 19 67 14 129 - 06
</t>
  </si>
  <si>
    <t>Apoyar la realización de la entrega del  producido de estampilla pro adulto mayor a los Centros Vida del 70%  y a los CBA    del 30%  correspondiente (Según la LEY 1276 de 2009)
Centros de bienestar del adulto mayor y centros vida (entrega de estampilla pro-adulto mayor)</t>
  </si>
  <si>
    <t>Estampilla Pro Adulto Mayor</t>
  </si>
  <si>
    <t>Estampila pro adulto mayor</t>
  </si>
  <si>
    <t xml:space="preserve">Apoyar 14 Centros Vida del Departamento </t>
  </si>
  <si>
    <t xml:space="preserve">Apoyar 14 centros vida del departamento </t>
  </si>
  <si>
    <t xml:space="preserve">TOTAL: </t>
  </si>
  <si>
    <t>LILIANA JARAMILLO CARDENAS</t>
  </si>
  <si>
    <t>PROYECTO Y ELABORO: DORIS CASTAÑO AGUDELO,
Contratista</t>
  </si>
  <si>
    <t>SECRETARIA REPRESENTACION JUDICIAL</t>
  </si>
  <si>
    <t>Establecer y socializar veinte (20)  políticas desde la cultura de la legalidad y  la prevención de daño antijurídico en  el Departamento.</t>
  </si>
  <si>
    <t>0317 - 5 - 3 1 5 26 83 17 131 - 20</t>
  </si>
  <si>
    <t>I 131</t>
  </si>
  <si>
    <t xml:space="preserve">Formulación, adopción e implementación de políticas de prevención del daño antijurídico en el Departamento del Quindío. </t>
  </si>
  <si>
    <t>Fortalecer los procesos, procedimienros y actuaciones de la administración para el cumplimiento de su misisón institucional</t>
  </si>
  <si>
    <t>Identificar las causas que generan daños antijurídicos en el Departamento.</t>
  </si>
  <si>
    <t>Estudio y análisis de  los procesos que cursan o  hayan cursado contra el departamento para identificar las causas generadoras de daños antijuridicos teniendo en cuenta los tipos de daños por los cuales resulta demandado el Departamento, las deficiencias en las actuaciones .administrativas y el índice de condenas en contra del Departamento</t>
  </si>
  <si>
    <t>DR. DAIRO ENRIQUE VALDERRAMA CASTRO</t>
  </si>
  <si>
    <t>DR. JAMER CHAQUIP GIRALDO MOLINA</t>
  </si>
  <si>
    <t>Diseño de las propuestas dirigidas a la adopción de medidas de indole preventivo y correctivo  que permitan reducir la incidencia de daños antijurídicos en el Departamento.</t>
  </si>
  <si>
    <t>Adoptar e implementar políticas de prevención de daños antijurídicos y socializarlas al interior de la administración departamental, propendiendo por la salvaguarda de los bienes e intereses jurídicos de terceros legalmente protegidos.</t>
  </si>
  <si>
    <t>Proyección y elaboración de actos administrativos para la adopción de las politicas de prevención de daños antijuridicos formuladas para su acatamiento obligatorio por parte de las Secretarías y demás dependencias del Departamento.</t>
  </si>
  <si>
    <t>Socialización de las politicas de prevención de daños antijuridicos en cada una  de las Secretarías y demás dependencias en el Departamento.</t>
  </si>
  <si>
    <t>JAMER CHAQUIP GIRALDO MOLINA</t>
  </si>
  <si>
    <t>Secretaría de Representación Judicial y Defensa</t>
  </si>
  <si>
    <t xml:space="preserve">F-PLA-07   </t>
  </si>
  <si>
    <t>INSTITUTO DEPARTAMENTAL DE TRANSITO DEL QUINDIO</t>
  </si>
  <si>
    <t>p</t>
  </si>
  <si>
    <t>SEGURIDAD HUMANA</t>
  </si>
  <si>
    <t>Seguridad humana como dinamizador de la vida, dignidad y libertad en el Quindio</t>
  </si>
  <si>
    <t>Fortalecimiento de la Seguridad vial en el Departamento</t>
  </si>
  <si>
    <t>Implementar  programas para contribuir en la reducciòn de la accidentalidad en las vías del departamento del Quindìo.</t>
  </si>
  <si>
    <t>Fortalecimiento de la seguridad vial  en el Departamento del Quindío</t>
  </si>
  <si>
    <t>Disminuir  el numero de lesiones fatales y graves por accidentes de transito , en la poblacion , a traves de planes y programas institucionales para mejorar las condiciones de vida de la poblacion de los municipios de la jurisdicción del instituto departamental de transito del quindio</t>
  </si>
  <si>
    <t>Disminuir los riesgos de accidentes en las vias mediante la formulación e implementación de planes y programas de seguridad vial para el mejoramiento de las ocndiciones de vida de la población en la jurisdicción del I.D.T.Q</t>
  </si>
  <si>
    <t>Realizar inventario, diagnostico situacional y diseño del programa de señalización vial</t>
  </si>
  <si>
    <t>PROPIOS</t>
  </si>
  <si>
    <t>2</t>
  </si>
  <si>
    <t>RECURSOS PROPIOS</t>
  </si>
  <si>
    <t>FERNANDO BAENA VILLARREAL-DIRECTOR</t>
  </si>
  <si>
    <t>31/03/207</t>
  </si>
  <si>
    <t>Fernado Baena Villareal- Director</t>
  </si>
  <si>
    <t>Implementar el programa orientado a disminución de la accidentalidad en las vias</t>
  </si>
  <si>
    <t xml:space="preserve">Formular e implementar el Plan de Seguridad Vial del Departamento </t>
  </si>
  <si>
    <t>Formulación del Plan de Seguridad Vial</t>
  </si>
  <si>
    <t>13437</t>
  </si>
  <si>
    <t>19816</t>
  </si>
  <si>
    <t>5665</t>
  </si>
  <si>
    <t>17786</t>
  </si>
  <si>
    <t>46467</t>
  </si>
  <si>
    <t>15954</t>
  </si>
  <si>
    <t xml:space="preserve">Apoyar la implementación del programa: Ciclorutas en el departamento del Quindío </t>
  </si>
  <si>
    <t>Generear oportunidadesinstitucionales a través de procesos de gestion orientados a insentivar programas de movilidad sostenible en la jurisdiccion del I.D.T.Q</t>
  </si>
  <si>
    <t>Campañas de difusión y sensibilización a la población del Programa Nacional de ciclorutas</t>
  </si>
  <si>
    <t>FERNANDO BAENA VILLAREAL</t>
  </si>
  <si>
    <t>INSTITUTO DEPARTAMENTAL DE TRANSITO</t>
  </si>
  <si>
    <t>PRESUPUESTO</t>
  </si>
  <si>
    <t xml:space="preserve"> INCLUSION SOCIAL</t>
  </si>
  <si>
    <t>Soberanía, seguridad alimentaria y nutricional</t>
  </si>
  <si>
    <t xml:space="preserve">Fortalecimiento a la vigilancia en  la seguridad alimentaria y nutricional del Quindío. </t>
  </si>
  <si>
    <t xml:space="preserve">Implementar una estrategia que determine de forma oportuna el  número de brotes de enfermedades transmitidas por alimentos (ETA) con agente etiológico identificado en alimentos de mayor consumo.
</t>
  </si>
  <si>
    <t>1803 - 5 - 3 1 3 11 35 2 132 - 61</t>
  </si>
  <si>
    <t>Aprovechamiento biológico y consumo de  alimentos idoneos  en el Departamento del Quindio</t>
  </si>
  <si>
    <t xml:space="preserve">Disminuir o mantener la proporción de niños menores de 5 años en riesgo de desnutrición moderada o severa aguda
</t>
  </si>
  <si>
    <t xml:space="preserve">Fortalecer la estrategia que determine el número de brotes de enfermedades transmitidas por alimentos (ETA) 
</t>
  </si>
  <si>
    <t>Realizar vigilancia sanitaria de alimentos y bebidas en establecimientos y productos en los municipios competencia del departamento del Quindio</t>
  </si>
  <si>
    <t>Fondo Local de Salud - SGP</t>
  </si>
  <si>
    <t>61 - 98</t>
  </si>
  <si>
    <t>Nebio Jairo Londoño</t>
  </si>
  <si>
    <t>CESAR AUGUSTO RINCON ZULUAGA  -   SECRETARIO DE SALUD DEPARTAMENTAL</t>
  </si>
  <si>
    <t xml:space="preserve">Ejecutar el plan decenal de lactancia materna </t>
  </si>
  <si>
    <t xml:space="preserve">Cumplir con  el tiempo de la practica de la lactancia Materna exclusiva
</t>
  </si>
  <si>
    <t>Realizar visitas de asistencia tecnica y seguimietno a la implementacion de  estrategia IAMI de  las IPS publicas del departamento.</t>
  </si>
  <si>
    <t>Realizar levantamiento del indicador la practica de lactancia materna total y exclusiva en los 11 municipios del departamento a traves de PIC.</t>
  </si>
  <si>
    <t>Fortalecer la atención integral  en seis (6) poblaciones vulnerables (etnias)  en menores de cinco años con casos de desnutrición</t>
  </si>
  <si>
    <t xml:space="preserve">Fortalecer la  atencion nutricional en poblaciones indigenas del departamento 
.
</t>
  </si>
  <si>
    <t>Reliazar seguimiento a casos de desnutricion en comunidades indigenas notificados por el SIVIGILA</t>
  </si>
  <si>
    <t>Realizar canalizacion y busqueda activa de casos de desnutricion en los 11 muncipios de competencia departamental.</t>
  </si>
  <si>
    <t xml:space="preserve">Realizar diagnóstico de la situacion nutricional a 6 comunidades indigenas del departamento </t>
  </si>
  <si>
    <t>implementar  ruta de atencion integral de la desnutrición en menores de 5 años en 6 municipios con población indigena.</t>
  </si>
  <si>
    <t>Realizar capacitacion a personal asistencia de las 11 IPS publica  en lineamientos vigentes de la atencion integrada de la desnutricion aguda moderada y severa en menores de 5 años  Resolución  5406/2016.</t>
  </si>
  <si>
    <t>Salud Pública para un Quindío saludable y posible</t>
  </si>
  <si>
    <t>Salud ambiental</t>
  </si>
  <si>
    <t>Formular, aprobar y divulgar  la Política Integral de Salud Ambiental (PISA)</t>
  </si>
  <si>
    <t>1803 - 5 - 3 1 3 12 36 2 133 - 61</t>
  </si>
  <si>
    <t>Control Salud Ambiental Departamento del Quindío.</t>
  </si>
  <si>
    <t>Disminuir  los factores de riesgo sanitarios y ambientales asociados a eventos de interés en salud pública relacionados con la salud ambiental como el aumento de la carga contaminante del agua, entre otros.</t>
  </si>
  <si>
    <t xml:space="preserve">Adoptar e implementar en el departamento de la  Política integral de salud ambiental PISA reglamentada  </t>
  </si>
  <si>
    <t xml:space="preserve">Generar espacios  interesctoriales  para  la  gestión integral de la salud ambiental a travez de las mesas tecnicas del COTSA </t>
  </si>
  <si>
    <t>CESAR AUGUSTO RINCON ZULUAGA - SECRETARIO DE SALUD DEPARTAMENTAL</t>
  </si>
  <si>
    <t xml:space="preserve">Realizar, asesorias y capacitaciones  sobre políticas, normas y procedimientos relacionados con la seguridad higiénico, sanitaria y ambiental en instituciones publicas y privadas en municipios de competencia departamental. </t>
  </si>
  <si>
    <t xml:space="preserve">Generar los mapas de riesgo y vigilancia de la calidad de agua para consumo humano en  los doce (12) municipios del departamento </t>
  </si>
  <si>
    <t>Fortalecer la gestion intersectorial en el cumplimiento de la normatividad relacionada con la elaboracion de mapas de riesgo</t>
  </si>
  <si>
    <t>Realizar levantamiento de 11 mapas de riesgo en el departamento para la vigilancia de la calidad del agua para consumo humano.</t>
  </si>
  <si>
    <t>Realizar autorizaciones sanitarias y certificaciones sanitarias para municipios y prestadores de servicios de acueducto.</t>
  </si>
  <si>
    <t>Sexualidad, derechos sexuales y reproductivos</t>
  </si>
  <si>
    <t>Lograr que ocho (8) municipios del departamento operen el sistema de vigilancia en salud pública de la violencia intrafamiliar.</t>
  </si>
  <si>
    <t>1803 - 5 - 3 1 3 12 37 2 134 - 61</t>
  </si>
  <si>
    <t>Fortalecimiento de acciones de intervención inherentes a los derechos sexuales y reproductivos  en el Departamento del Quindio.</t>
  </si>
  <si>
    <t xml:space="preserve"> Disminuir de los eventos de interés en salud pública relacionados con la salud sexual y reproductiva en especial de la mortalidad materna  </t>
  </si>
  <si>
    <t xml:space="preserve">Garantizar la  atención integral a la población en salud sexual y reproductiva </t>
  </si>
  <si>
    <t>Realizar seguimiento al evento de violencia sexual en poblacion vulnerable; reportados en las diferentes fuentes de información SISPRO a nivel de los 11 municipios</t>
  </si>
  <si>
    <t xml:space="preserve">Realizar asistencia técnica, seguimiento y monitoreo a la gestión del riesgo en salud de las EAPB y ESEs en el abordaje integral de las violencias de genero y violencias sexuales </t>
  </si>
  <si>
    <t xml:space="preserve">Capacitar al sector salud  en la estrategia de abordaje integral de las violencias de genero y violencias sexuales </t>
  </si>
  <si>
    <t>Desarrollar acciones articuladas intersectorialmente en los doce (12) municipios del departamento, con enfoque de derechos en colectivos LGTBI, jóvenes, mujeres gestantes adolescentes</t>
  </si>
  <si>
    <t>Realizar levantamiento del Indicador  de Planificacion Familiar de la  poblacion en edad Fertil  de sexo  Masculino y Femenino.</t>
  </si>
  <si>
    <t>Asistecia tecnica y Seguimiento a las direcciones locales de salud en el proceso de  capacitacion sobre Planificacion Familiar.</t>
  </si>
  <si>
    <t>Implementar una herramienta en coordinacion con las EAPB e IPS para el seguimiento en la adherencia a los programas de planificacion familiar.</t>
  </si>
  <si>
    <t xml:space="preserve">Asistencia tecnica y seguimiento a las direcciones locales de salud y EAPB en el procesos de capacitacion sobre planificacion familiar y adherencia al programa </t>
  </si>
  <si>
    <t>Brindar asistencia técnica, seguimiento y monitoreo a las ESE de primer nivel de atención en la Estrategia Nacional de Servicios de Salud Amigables para Adolescentes y Jóvenes</t>
  </si>
  <si>
    <t>Vincular cuatro mil ochocientos (4.800) mujeres gestantes al programa de control prenatal antes de la semana 12 de edad gestacional.</t>
  </si>
  <si>
    <t>Implementar programa del  control prenatal antes de la semana 12 de la edad gestacional</t>
  </si>
  <si>
    <t xml:space="preserve">Realizar  busqueda activa  y comunitaria  de Mujeres Embarazadas atraves de las I.P.S Lideres comunitarios y E.P.S </t>
  </si>
  <si>
    <t xml:space="preserve">Realizar captacion temprana atravez de la Promocion de la Salud, identificacion del riesgo a mujeres en estado de gestacion y seguimiento. </t>
  </si>
  <si>
    <t>Realizar Diagnostico de la Situacion de Embarazos en Adolescente en edades entre 10 - 19 años</t>
  </si>
  <si>
    <t>Canalizar acciones de promoción de la salud en el desarrollo de la política Nacional de sexualidad, derechos sexuales y reproductivos</t>
  </si>
  <si>
    <t>Realizar asistencia técnica, seguimiento y monitoreo a la gestión del riesgo en salud de los programas regulares, EAPB y ESEs en la  atención a personas que viven con VIH.</t>
  </si>
  <si>
    <t>Realizar seguimiento a los eventos de VIH/SIDA  y HEPATITIS reportados en las diferentes fuentes de información SISPRO a nivel de los 11 municipios.</t>
  </si>
  <si>
    <t>Desarrollar y realizar seguimiento al comité departamental de sexualidad, derechos sexuales y reproductivos (resolucion 533 del 02 junio del 2015)</t>
  </si>
  <si>
    <t>Convivencia social y salud mental</t>
  </si>
  <si>
    <t>Ajustar e implementar  la política de salud mental en los 12 municipios del Departamento, conforme a los lineamientos y desarrollos técnicos definidos por el Ministerio de Salud y Protección Social.</t>
  </si>
  <si>
    <t>1803 - 5 - 3 1 3 12 38 2 135 - 61</t>
  </si>
  <si>
    <t>Fortalecimiento, promoción de la salud y prevención primaria en salud mental en el Departamento del Quindío.</t>
  </si>
  <si>
    <t>Disminuir la morbimortalidad asociada a la salud mental principalmente de la violencia intrafamiliar</t>
  </si>
  <si>
    <t>Implementar los lineamientos  del Ministerio de Salud y Protección Social frente a la ajustes e implementación de política y el plan nacional de salud mental</t>
  </si>
  <si>
    <t>Desarrollar acciones  en caminadas a fortalecer las capacidades del talento humano y las entidades con compencia en convivencia social y salud mental desde Gestion integral de la salud publica  en Promoción de la Conviencia social y la Salud Mental</t>
  </si>
  <si>
    <t xml:space="preserve">CESAR AUGUSTO RINCON ZULUAGA - SECRETARIO DE SALUD DEPARTAMENTAL </t>
  </si>
  <si>
    <t>Adoptar e implementar el modelo de Atención primaria en Salud Mental (APS) en todos los municipios Quindiano</t>
  </si>
  <si>
    <t>Establecer lineamientos de planificación en la Atención primaria en Salud Mental (APS) en todos los municipios Quindiano</t>
  </si>
  <si>
    <t>Realizar monitoreo y seguimiento a los casos notificados en el SIVIGILA en los eventos de interes  en salud publica y de competencia directa de la Dimensión de convivencia social y salud mental, priorizando las poblaciones vulnerables de las Dimension tranversal gestion diferencial de poblaciones vulnerables</t>
  </si>
  <si>
    <t>Desarrollar acciones en caminadas a fortalecer las capacidades del talento humano y las entidades con compencia en convivencia social y salud mental de Gestion integral  en Promoción de la Conviencia social, la Salud Mental y Prevención y Atención integral a problemas y  transtornos mentales y a diferentes formas de violencia</t>
  </si>
  <si>
    <t>Adoptar  e implementar en los doce (12) municipios el plan departamental de la reducción del consumo de sustancias psicoactivas SPA conforme a lineamientos y desarrollos técnicos entorno a la demanda</t>
  </si>
  <si>
    <t>Articular las políticas públicas de reducción de la oferta y reducción de la demanda de sustancias psicoactivas licitas e ilícitas.</t>
  </si>
  <si>
    <t>Desarrollar acciones  de Gestion integral  en Promoción de la Conviencia social, la Salud Mental y Prevención y Atención integral a problemas y  transtornos mentales y a diferentes formas de violencia</t>
  </si>
  <si>
    <t>Asistencia técnica y  seguimiento a la notificación del sistema único de indicadores de centros de atención a la drogadicción (SUICAD).</t>
  </si>
  <si>
    <t>Estilos de vida saludable y condiciones no-transmisibles</t>
  </si>
  <si>
    <t>Implementar la estrategia  denominada "Cuatro por cuatro" para la promoción de la alimentación saludable</t>
  </si>
  <si>
    <t>1803 - 5 - 3 1 3 12 39 2 138 - 61</t>
  </si>
  <si>
    <t xml:space="preserve">Control y vigilancia en las acciones de condiciones no transmisibles y promoción de estilos de vida saludable en el Quindio  </t>
  </si>
  <si>
    <t>Disminuir la carga de la enfermedad asociada a las enfermedades crónicas no trasmisibles</t>
  </si>
  <si>
    <t xml:space="preserve"> Realizar campañas  de promoción y prevención que orienten la adopción de estilos de vida saludable</t>
  </si>
  <si>
    <t>Realizar asistencia a 20 instituciones educativas a la implementación de  la estrategia Tiendas Saludables</t>
  </si>
  <si>
    <t>Realizar visitas de asistencia tecnica y seguimiento a la implementacion de la estrategia 4x4</t>
  </si>
  <si>
    <t>Realizar al 100 % de las 11 instituciones educativas la evaluacion del cumplimiento de la estrategia Tienda Saludable</t>
  </si>
  <si>
    <t>Implementar una estrategia de ambientes libres de humo de tabaco en los  municipios.</t>
  </si>
  <si>
    <t>Articular estrategias interinstitucionales que garanticen la integralidad en la atención de los usuarios</t>
  </si>
  <si>
    <t xml:space="preserve">Realizar asistencia 11 instituciones educativas  a la implementacion de la estrategia 4x4 </t>
  </si>
  <si>
    <t>Realizar capacitacion en lineamientos técnicos para la promoción de modos, condiciones y estilos de vida saludable.</t>
  </si>
  <si>
    <t xml:space="preserve">Realizar al 100 % de las 11 instituciones educativas la evaluacion del cumplimiento de la estrategia 4x4 </t>
  </si>
  <si>
    <t>Implementar una estrategia para mantener la edad de inicio de consumo de tabaco en los adolescentes escolarizados.</t>
  </si>
  <si>
    <t>Adoptar guías y protocolos de atención de las enfermedades crónicas no transmisibles por parte de las EPS e IPS</t>
  </si>
  <si>
    <t>Realizar visitas de asistencia tecnica y seguimiento a la promoción, prevención y el control de las enfermedades no transmisibles, bajo la estrategia de APS</t>
  </si>
  <si>
    <t>Fortalecer el recurso humano del Ente Territoria para responder a la demanda de capacitar a los 20  prestadores de salud de primer nivel</t>
  </si>
  <si>
    <t>Vida saludable y enfermedades transmisibles</t>
  </si>
  <si>
    <t xml:space="preserve">Diseñar y desarrollar planes y/o programas en los doce (12) entes territoriales municipales de promoción y prevención de las enfermedades transmitidas por agua, suelo y alimentos </t>
  </si>
  <si>
    <t>1803 - 5 - 3 1 3 12 40 2 139 - 61</t>
  </si>
  <si>
    <t>Fortalecimiento de las acciones de la prevención y protección en la población infantil en el Departamento del Quindío</t>
  </si>
  <si>
    <t>Reducir la exposición a condiciones y factores de riesgo ambientales, sanitarios y biológicos, de las contingencias y daños producidos por las enfermedades transmisibles</t>
  </si>
  <si>
    <t xml:space="preserve">Fortalecimiento de la red de frío del Programa ampliado de inmunización (PAI).
</t>
  </si>
  <si>
    <t>Realizar promoción del uso de protocolos para enfermedades transmisibles</t>
  </si>
  <si>
    <t>Implementar una estrategia que permita garantizar el adecuado funcionamiento de la red de frío para el almacenamiento  de los biológicos del Programa ampliado de inmunización (PAI).</t>
  </si>
  <si>
    <t xml:space="preserve">Fortalecimiento de los protocolos para la prevenciÓn y control de las enfermedades transmisibles
</t>
  </si>
  <si>
    <t>Realizar acompañamiento a los 12  Municipios  durante la jornadas Nacionales de vacunación.</t>
  </si>
  <si>
    <t>Realizar fortalecimientos de capacidades técnicas en 12 municipios para implementación del PAIWEB y el sistema de garantia de la calidad del plan ampliado de inmunizaciones en el departamento</t>
  </si>
  <si>
    <t>Implementar  la estrategia de gestión integral-enfermedades de transmisión vectorial (EGI ETV) en los 5 municipios hiperendémicos para enfermedades de transmisión vectorial</t>
  </si>
  <si>
    <t xml:space="preserve">Fortalecimiento de estrategia de gestión integral, vectores, cambio climático y zoonosis en el Departamento  del Quindio </t>
  </si>
  <si>
    <t xml:space="preserve">Disminuir el indice de enfermedades trasmision vectorial y zoonosis en la poblacion  
</t>
  </si>
  <si>
    <t xml:space="preserve">Implementar estrategiaspara  la gestión integral para enfermedades de transmisión vectorial (EGI ETV) </t>
  </si>
  <si>
    <t xml:space="preserve">Realizar  actividades de promoción y prevención implementadas para la comunidad y grupos focalizados en dengue, chikungunya y zika con criterios de riesgo epidemiológico. </t>
  </si>
  <si>
    <t>61 - 65 - 96 - 98 - 107 - 108 -111 - 112</t>
  </si>
  <si>
    <t xml:space="preserve">Generar informes de acuerdo a la notificación de casos de etv y zoonosis </t>
  </si>
  <si>
    <t>1803 - 5 - 3 1 3 12 40 2 141 - 111</t>
  </si>
  <si>
    <t>Atender en los11 municipioslos brotes y contingencias por etv y zoonosis</t>
  </si>
  <si>
    <t>Res. 781/15 Prev. y control enfermedades por Vect</t>
  </si>
  <si>
    <t>1803 - 5 - 3 1 3 12 40 2 141 - 118</t>
  </si>
  <si>
    <t>Brindar asistencia técnica frente al desarrollo de la EGI ETV  en municipios hipernedemicos: Calarca, La Tebaida, Quimbaya y Montenegro</t>
  </si>
  <si>
    <t>Res. 1288/2016 Promoción, prevención y control ETV</t>
  </si>
  <si>
    <t>1803 - 5 - 3 1 3 12 40 2 141 - 61</t>
  </si>
  <si>
    <t xml:space="preserve">Notificar a inspección vigilancia y control de prestación de servicios  hallazgos relacionados a la atención de pacientes de  acuerdo a los análisis  de los casos de ETV y zoonosis </t>
  </si>
  <si>
    <t xml:space="preserve">Implementar la estrategia  para ampliar coberturas útiles de vacunación antirrábica en animales (perros y gatos). </t>
  </si>
  <si>
    <t xml:space="preserve"> Fortalecer acciones para aumentar coberturas útiles de vacunación antirrábica en animales (perros y gatos). 
</t>
  </si>
  <si>
    <t>Vigilar que se realice la vacunación canina antirrábica canina y felina en los 11  municipios de competencia departamental</t>
  </si>
  <si>
    <t>Implementar el plan estratégico hacia el fin de la tuberculosis</t>
  </si>
  <si>
    <t xml:space="preserve">Fortalecimiento de la inclusión social para la disminución de riesgos de contraer enfermedades transmisibles  en el Departamento del Quindio </t>
  </si>
  <si>
    <t xml:space="preserve">Aumentar la adeherencia al tratamiento de los pacientes con diagnositico de tuberculosis 
</t>
  </si>
  <si>
    <t xml:space="preserve"> Fortalecimiento de las capacidades del recurso humano</t>
  </si>
  <si>
    <t>Brindar asistencia técnica a los 12 municipios en tuberculosis y lepra</t>
  </si>
  <si>
    <t>61 - 113 - 114</t>
  </si>
  <si>
    <t>Capacitar en el programa de tuberculosis</t>
  </si>
  <si>
    <t>Realizar análisis de casos especiales y de farmacorresistencia del programa de TBC</t>
  </si>
  <si>
    <t>Acompañar la vigilancia de cumplimiento a guías y protocolos de vigilancia en tuberculosis y lepra</t>
  </si>
  <si>
    <t>1803 - 5 - 3 1 3 12 40 2 142 - 113</t>
  </si>
  <si>
    <t>Coordinar acciones para la gestión intersectorial</t>
  </si>
  <si>
    <t>Implementar los nuevos planes estratégicos de tuberculosis y lepra</t>
  </si>
  <si>
    <t>Res.1030/2016 Campaña control lepra QuindÍo</t>
  </si>
  <si>
    <t>1803 - 5 - 3 1 3 12 40 2 142 - 114</t>
  </si>
  <si>
    <t>Realizar actividades de promoción y prevención implementadas para la comunidad y grupos focalizados en tuberculosis y lepra en los 12 municipios del departamento</t>
  </si>
  <si>
    <t>Res.1030/2016 campaña control lepra Quindío</t>
  </si>
  <si>
    <t>1803 - 5 - 3 1 3 12 40 2 142 - 61</t>
  </si>
  <si>
    <t>Realizar mesas técnicas para el compromiso político, protección social y sistemas de apoyo</t>
  </si>
  <si>
    <t>Realizar campañas de prevención y atención integral en afectados por tuberculosis</t>
  </si>
  <si>
    <t>Compra de insumos para preparación de medios y colorantes</t>
  </si>
  <si>
    <t>Prevencion y atencion integral centrada en los afectados por tuberculosis</t>
  </si>
  <si>
    <t>Salud publica en emergencias y desastres</t>
  </si>
  <si>
    <t>Realizar catorce (14) simulacros de atención a emergencias en la Red Pública Hospitalaria</t>
  </si>
  <si>
    <t>1803 - 5 - 3 1 3 12 41 2 143 - 61</t>
  </si>
  <si>
    <t>Prevención en emergencias y desastres de eventos relacionados con la salud pública en el Departamento del  Quindio</t>
  </si>
  <si>
    <t>Coordinar acccuiones para la gestión integral  del riesgo en  situaciones de emergencias y desastres  en las IPS y autoridad sanitaria del departamento</t>
  </si>
  <si>
    <t xml:space="preserve">Actualizar planes de seguridad hospitalaria  en los hospitales de I y II nivel. </t>
  </si>
  <si>
    <t>Realizar estudios tecnicos para 14 simulcros de atencion a emergencias en la red hospitalaria.</t>
  </si>
  <si>
    <t xml:space="preserve">Realizar asistencia técnica en la construcción y ejecución del plan bienal de inversiones, a once (11) Empresas sociales del estado (ESE) del departamento. </t>
  </si>
  <si>
    <t>Realizar 11 visitsa de verificacion de aplicación protocolos y planes de emergecia hospitalaria a las eses publicas del departamento</t>
  </si>
  <si>
    <t>Mejorar el índice de seguridad hospitalaria en once (11) empresas sociales del estado (ESE) del departamento del nivel  I y II.</t>
  </si>
  <si>
    <t xml:space="preserve">Operar el Plan de Emergencias en Salud en el Departamento </t>
  </si>
  <si>
    <t xml:space="preserve">Actualizar y mantener la red de comunicaciones  para  situaciones de emergencias y desastres de la red hospitalaria y de la secretaria departamental de salud </t>
  </si>
  <si>
    <t xml:space="preserve">Actualizar, socializar e implementar  el plan integral  de emergencias de la secretaria desalud depatamental. </t>
  </si>
  <si>
    <t>Capacitar a los hospitales para la integracion de los planes de emergencia hospitalaria con el plan de emergencia de  Secretaria de salud</t>
  </si>
  <si>
    <t>Fortalecer el CRUE Departamental, como autoridad sanitaria, en la regulacion de la referencia y contrarreferencia, implementando los lineamientos RIAS</t>
  </si>
  <si>
    <t>Salud en el entorno laboral</t>
  </si>
  <si>
    <t>Fomentar en 8 municipios un programa de cultura preventiva en el trabajo formal e informal y entornos laborales saludables.</t>
  </si>
  <si>
    <t>1803 - 5 - 3 1 3 12 42 2 145 - 61</t>
  </si>
  <si>
    <t>Prevención vigilancia y control de eventos de origen laboral en el Departamento del Quindío.</t>
  </si>
  <si>
    <t xml:space="preserve">Disminuir los eventos de origen laboral en los trabajadores del sector formal del Departamentodel Quindio 
</t>
  </si>
  <si>
    <t xml:space="preserve">Realizar campañas para el cumplimiento en la aplicacion de los deberes y derechos relacionados en el Sistema General de Riesgos Laborales tanto para empleadores como para trabajadores  </t>
  </si>
  <si>
    <t xml:space="preserve">Visitas a los 12 Municipios  del departamento del Quindio para la identificacion de las Empresas </t>
  </si>
  <si>
    <t>Sensibilizar a los Empleadores para fomentar la afiliación al SGRL a sus empleados conforme a Ley 1562 del 2012 y Decreto 1443  del 2015</t>
  </si>
  <si>
    <t>Visitas  para la Identificacion de trabajdores  informales del sector turismo y artesanal, Comercio, Agricultura y Construccion por medio de informacion del plan local del y el  Comité de Seguridad y Salud en el Trabajo de los 12 municipios del Departamento del Quindio</t>
  </si>
  <si>
    <t>Implementación en las 14 empresas sociales del estado (ESE) departamentales y de primer nivel, el Sistema de Gestión de la Seguridad y Salud en el Trabajo</t>
  </si>
  <si>
    <t xml:space="preserve">Implementar controles de cumplimiento por parte de los empleadores en lo reglamentado en el Sistema general de Riesgos Laborales. </t>
  </si>
  <si>
    <t xml:space="preserve">Identificar por medio de visitas a las instancias Organizativas creadas en los 12 municipios del Departamento del Quindio    </t>
  </si>
  <si>
    <t>Verificar si los Grupos de trabajadores informales los 12 municipios del Departamento del Quindio esten activos</t>
  </si>
  <si>
    <t>Realizar el analisis de la caracterizacion de la poblacion informal abordada en los municipios de competencia Departamental de los sectores de Comercio, Construccion y Agricultura</t>
  </si>
  <si>
    <t>Fortalecimiento de la autoridad sanitaria</t>
  </si>
  <si>
    <t>Consolidar y desarrollar en los 12 municipios del departamento el Sistema de Vigilancia en salud pública (SVSP), integrado al sistema de vigilancia y control sanitario e inspección vigilancia y control de (S.G.S.S.S).</t>
  </si>
  <si>
    <t xml:space="preserve">Fortalecimiento de la autoridad sanitaria en el Departamento del Quindio </t>
  </si>
  <si>
    <t>Consolidar y desarrollar el sistema de vigilancia en salud pública integrado al sistema de vigilancia de control sanitario e inspección, vigilancia y control de S.G.S.S.S.</t>
  </si>
  <si>
    <t xml:space="preserve">  Aumentar la cobertura en acciones de inspeccion vigilancia y control</t>
  </si>
  <si>
    <t>Garantizar la disponibilidad permanente de equipos, elemento e insumos requeridos para el fortalecimiento de la autoridad sanitaria.</t>
  </si>
  <si>
    <t>61 - 63 - 20</t>
  </si>
  <si>
    <t>22/12/207</t>
  </si>
  <si>
    <t xml:space="preserve">Establecer la articulacion de los subsistemas de infiormacíon del sistema de vigilancia en salud publica </t>
  </si>
  <si>
    <t>Implementar  una estrategia oportuna de atención a sujetos de atención,  objetos de procesos de  inspección, vigilancia y control sanitario</t>
  </si>
  <si>
    <t>1803 - 5 - 3 1 3 12 43 2 146 - 61</t>
  </si>
  <si>
    <t xml:space="preserve"> Articular los sistemas de vigilancia relacionados al control sanitario</t>
  </si>
  <si>
    <t>Realizar acciones de inspección, vigilancia y/o control  en  establecimientos de interes sanitario en el departamento del quindio</t>
  </si>
  <si>
    <t>1803 - 5 - 3 1 3 12 43 2 146 - 63</t>
  </si>
  <si>
    <t xml:space="preserve">Realizar  la toma de muestras en sangre en el marco del programa de Vigilancia epidemiologica de plaguicdas VEO. </t>
  </si>
  <si>
    <t>Fondo de Estupefacientes</t>
  </si>
  <si>
    <t xml:space="preserve">Consolidar y desarrollar  el sistema de inspección vigilancia y control (SIVC)  en 150 establecimientos farmacéuticos del departamento. </t>
  </si>
  <si>
    <t>0318 - 5 - 3 1 3 12 43 2 146 - 20</t>
  </si>
  <si>
    <t>Realizar suministro de medicamentos de control especial monopolio del estado</t>
  </si>
  <si>
    <t>Mejoramiento del sistema de información del fondo rotatorio de estupefacientes</t>
  </si>
  <si>
    <t>Analisis y seguimiento  al  comportamiento del evento de intoxicaciones por Farmaco</t>
  </si>
  <si>
    <t xml:space="preserve">Realizar visitas de inspeccion  Vigilancia y Control para constatar las Condiciones Técnicas, Higienico Sanitarias.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</si>
  <si>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</si>
  <si>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</si>
  <si>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Implementación de programas de promoción social en poblaciones  especiales en el Departamento del Quindío.</t>
  </si>
  <si>
    <t>Fortalecer la gestión intersectorial en salud de los grupos con alta vulnerabilidad</t>
  </si>
  <si>
    <t>Garantizar el acceso en la prestación de los servicios de salud</t>
  </si>
  <si>
    <t>Seguimiento a la atencion en salud con enfoque diferencial a las 11 IPS publicas del departamento</t>
  </si>
  <si>
    <t>61 - 20 - 88</t>
  </si>
  <si>
    <t>Articulacion de los sistemas referentes a visualizar las poblaciones para la afiliacion al S.G.S.S.S</t>
  </si>
  <si>
    <t>Participacion interinstitucional en la oferta de servicios en salud</t>
  </si>
  <si>
    <t>Implementar el  Programa de atención psicosocial y salud integral a víctimas del conflicto armado.</t>
  </si>
  <si>
    <t xml:space="preserve">Implementar programas de participación social que garanticen los derechos de los grupos vulnerables </t>
  </si>
  <si>
    <t>Realizar capacitaciones en deberes y derechos de las poblaciones vulnerables</t>
  </si>
  <si>
    <t>Realizar asistencia tecnica a las direcciones locales de salud en gestion integral a las poblaciones vulnerables</t>
  </si>
  <si>
    <t>1803 - 5 - 3 1 3 12 44 2 148 - 61</t>
  </si>
  <si>
    <t>Diagnostico de necesidades en salud de las poblaciones vulnerables</t>
  </si>
  <si>
    <t>Fortalecimiento de  la estrategia AIEPI en los 12 municipios del Departamento</t>
  </si>
  <si>
    <t>0318 - 5 - 3 1 3 12 44 2 148 - 20</t>
  </si>
  <si>
    <t>Consolidar los programas de atención a la primera infancia</t>
  </si>
  <si>
    <t>Realizar capacitaciones en deberes y derechos de la poblacion infantil</t>
  </si>
  <si>
    <t>Realizar asistencia tecnica a las direcciones locales de salud en gestion integral a las poblaciones de primera y segunda infancia</t>
  </si>
  <si>
    <t>Realizar la verificación del estado de la estrategia IAMI en los 12 municipios del departamento</t>
  </si>
  <si>
    <t>Realizar la verificación del estado de la estrategia AIEPI en los 12 municipios del departamento</t>
  </si>
  <si>
    <t>Realizar la verificación del estado de la estrategia PAI en los 12 municipios del departamento</t>
  </si>
  <si>
    <t>Realizar verificación de cumplimiento  de la Resolución 1070 de 2014</t>
  </si>
  <si>
    <t>Brindar asistencia tecnica a los 12 municipios en la elaboración del plan poara la articulación de las estrategias IAMI, AEPI, PAI</t>
  </si>
  <si>
    <t>Fortalecer en los doce (12) municipios del departamento los  comités municipales de discapacidad</t>
  </si>
  <si>
    <t>Fortalecer atención integral a poblaciones vulnerables</t>
  </si>
  <si>
    <t>Actualizacion del registro de discapacidad en el Departamento del Quindio</t>
  </si>
  <si>
    <t>Realizar mesas de trabajo intersectoriales encaminadas al fortalecimiento en la atencion integral a poblaciones vulnerables</t>
  </si>
  <si>
    <t>Plan de intervenciones colectivas en el modelo de APS</t>
  </si>
  <si>
    <t>Evaluar en  once (11)   empresas sociales del estado (ESE)  Municipales la implementación del Plan de intervenciones colectivas (PIC).</t>
  </si>
  <si>
    <t>1803 - 5 - 3 1 3 12 45 2 150 - 61</t>
  </si>
  <si>
    <t>Asistencia atención a las personas y prioridades en salud pública en el  Departamento del Quindío.</t>
  </si>
  <si>
    <t>Disminuir la morbimortalidad asociada  a la carga de la enfermedad por los determinantes sociales fortaleciendo  las acciones de complementariedad  a los municipios</t>
  </si>
  <si>
    <t>Mejorar los procesos de implementación de las actividades colectivas</t>
  </si>
  <si>
    <t>Realizar acciones de vacunacion canina y felina</t>
  </si>
  <si>
    <t>Realizar el censo  de caninos y felinos</t>
  </si>
  <si>
    <t xml:space="preserve">Realizar acciones, intervenciones y procedimientos colectivos </t>
  </si>
  <si>
    <t xml:space="preserve">Adecuadas herramientas intersectoriales de educación comunitaria que fortalezcan los entornos saludables  </t>
  </si>
  <si>
    <t>Ejecutar las acciones de la estrategia COMBI en municipios hiperendémicos para enfermedades vectoriales</t>
  </si>
  <si>
    <t>Auditoria a 8  planes de mejoramiento instaurados con la red pública ejecutora del Plan de Intervenciones Colectivas.</t>
  </si>
  <si>
    <t>Planes de mejoramiento instaurados  de Intervenciones Colectivas.</t>
  </si>
  <si>
    <t>Realizar auditoria a 8  planes de mejoramiento de Intervenciones Colectivas.</t>
  </si>
  <si>
    <t>Vigilancia en salud publica y del laboratorio departamental.</t>
  </si>
  <si>
    <t xml:space="preserve">Realizar  la vigilancia sanitaria a 300 establecimientos de consumo (Aguas, Alimentos y Bebidas Alcohólicas) </t>
  </si>
  <si>
    <t>1803 - 5 - 3 1 3 12 46 2 151 - 61</t>
  </si>
  <si>
    <t xml:space="preserve">Fortalecimiento de las actividades de vigilancia y control del laboratorio de salud pública en el Departamento del Quindio </t>
  </si>
  <si>
    <t xml:space="preserve">Mejorar la capacidad analítica del LSP Departamental  para dar respuesta  a las necesidades del Sistema de Vigilancia en Salud Pública
</t>
  </si>
  <si>
    <t>Garantizar equipos e insumos medios y reactivos para la realización  de los análisis normados</t>
  </si>
  <si>
    <t xml:space="preserve">Compra de reactivos, insumos y medios </t>
  </si>
  <si>
    <t>Compra de equipos de laboratorio</t>
  </si>
  <si>
    <t xml:space="preserve">Optimizar los procesos contractuales desde el LSP y  la DTS
</t>
  </si>
  <si>
    <t xml:space="preserve">Fortalecer el recurso humano de la unidad de vigilancia de interes en salud publica </t>
  </si>
  <si>
    <t>Fortalecer el recurso humano de la unidad de vigilancia del ambiente del consumo y factores de riesgo</t>
  </si>
  <si>
    <t>Adecuar infraestructura que de cumplimiento para el buen  funcionamiento del LSP</t>
  </si>
  <si>
    <t>Fortalecer la infrastructura para el desarrollo de las actividades de laboratorio</t>
  </si>
  <si>
    <t>crear diez (10) y fortalecer noventa (90) Comités de Vigilancia 
Epidemiológica  Comunitaria 
(COVECOM) municipales.</t>
  </si>
  <si>
    <t>1803 - 5 - 3 1 3 12 46 2 152 - 61</t>
  </si>
  <si>
    <t>Fortalecimiento del sistema de vigilancia en salud pública en el Departamento del Quindío.</t>
  </si>
  <si>
    <t>Aumentar los índices de cumplimiento en los indicadores de calidad, cobertura y  oportunidad del sistema de vigilancia en salud publica departamental</t>
  </si>
  <si>
    <t>Aumentar la participación comunitaria en acciones ineherentes al sistema de vigilancia en salud publica.</t>
  </si>
  <si>
    <t>Actualizacion de mapa social por cada uno de los COVECOM para la priorizacion de la gestion interinstitucional</t>
  </si>
  <si>
    <t>Activación y Mantenimiento de 100 COVECOM en 11  municipios del Departamento</t>
  </si>
  <si>
    <t>Consolidar y analisar la notificación comunitaria de 11 municipios del Departamento del Quindío</t>
  </si>
  <si>
    <t>Sostener 83 Unidades Primarias Generadoras de Datos (UPGD) que integran el sistema de Vigilancia en Salud Publica</t>
  </si>
  <si>
    <t xml:space="preserve">Fortalecer  la capacidad instalada en los niveles institucionales y municipales frente al desarrollo de los procesos de Vigilancia en Salud Pública </t>
  </si>
  <si>
    <t>Desarrollo del  plan de asesoria y asistencia técnica dirigido a municipios e institucionnes de la red notificadora departamental  para la adherencia a protocolos de vigilancia en salud pública de los eventos de interes.</t>
  </si>
  <si>
    <t>capacitacion al personal operario del SIVIGILA en los 12 municipios del departamento</t>
  </si>
  <si>
    <t>Apoyo en los procesos de ajuste y depuracion de la informacion de interes en salud publica en los 12 municipios del departamento.</t>
  </si>
  <si>
    <t>Desarrollo de la busqueda activa institucional en los 12 municipios del departamento.</t>
  </si>
  <si>
    <t>Realizar seguimiento al proceso de gestión del riesgo individual, frente a las acciones de protección específica y deteccion temprana desde el reporte del anexo tecnico de la resolucion 4505 de 2012 y el cumplimiento de la resolución 412 del 2000</t>
  </si>
  <si>
    <t>Universalidad  del aseguramiento en salud para un bien común</t>
  </si>
  <si>
    <t>Garantizar  la promoción de la afiliación al sistema de seguridad social</t>
  </si>
  <si>
    <t>Fortalecer en los 12 municipios del departamento  los procesos de identificación de la población no sisbenizada y no afiliada.</t>
  </si>
  <si>
    <t>1801 - 5 - 3 1 3 13 47 2 153 - 72</t>
  </si>
  <si>
    <t>Subsidio afiliación al régimen subsidiado del Sistema General de Seguridad Social en Salud en el Departamento del Quindío.</t>
  </si>
  <si>
    <t xml:space="preserve">Mejorar  la cobertura  universal en  aseguramiento  al sistema de atención integral y suficiencia de recursos para la población del Departamento del Quindío
</t>
  </si>
  <si>
    <t xml:space="preserve"> Mejorar los procesos de identificación de la población no sisbenizada y no afiliada.
</t>
  </si>
  <si>
    <t>Mejorar los procesos de identificación de la población no sisbenizada y no afiliada.</t>
  </si>
  <si>
    <t>Rentas cedidas subcuenta otros gastos en salud</t>
  </si>
  <si>
    <t>72 - 64 - 71</t>
  </si>
  <si>
    <t xml:space="preserve">Héctor Mario Taborda </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</si>
  <si>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</si>
  <si>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</si>
  <si>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1801 - 5 - 3 1 3 13 48 2 153 - 64</t>
  </si>
  <si>
    <t xml:space="preserve"> Gestionar  recursos para cofinanciación de la afialicon  mpo y lugares de afiliación
</t>
  </si>
  <si>
    <t>Ley 1393</t>
  </si>
  <si>
    <t>1801 - 5 - 3 1 3 13 48 2 153 - 71</t>
  </si>
  <si>
    <t>Rentas cedidas subcuenta régimen subsidiado</t>
  </si>
  <si>
    <t>Asistencia técnica  a los actores del sistema en el proceso de aseguramiento de la población</t>
  </si>
  <si>
    <t>Brindar asistencia técnica a 12 Municipios del departamento,  en los procesos del régimen subsidiado</t>
  </si>
  <si>
    <t>1801 - 5 - 3 1 3 13 49 2 153 - 72</t>
  </si>
  <si>
    <t xml:space="preserve"> Aumentar la asistencia técnica a 12 Municipios del departamento,  en los procesos del régimen subsidiado</t>
  </si>
  <si>
    <t>Realizar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</si>
  <si>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</si>
  <si>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</si>
  <si>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</si>
  <si>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1802 - 5 - 3 1 3 14 50 2 154 - 110</t>
  </si>
  <si>
    <t>Población no afiliada al Sistema General de Seguridad Social en Salud en el Departamento del Quindio</t>
  </si>
  <si>
    <t>Garantizar la atención en salud a la población pobre no asegurada y/o víctima del conflicto armado en un rango de afiliación 51.57 según Resolución 3778 de 2011. en  e l departamento del Quindío</t>
  </si>
  <si>
    <t>Mejorar  los procesos de vigilancia y control para el acceso de los afiliados a la red de servicios de salud.</t>
  </si>
  <si>
    <t>vigilancia y control para el acceso de los afiliados a la red de servicios de salud</t>
  </si>
  <si>
    <t>Resolución 971/2016 programa inimputables</t>
  </si>
  <si>
    <t>100 - 102 - 105 - 110 - 115 - 125 - 58 - 59 -60 - 65 - 96 -97 - 98 - 91</t>
  </si>
  <si>
    <t>1802 - 5 - 3 1 3 14 50 2 154 - 58</t>
  </si>
  <si>
    <t>Rentas cedidas secretaria .de salud</t>
  </si>
  <si>
    <t>Mantener la contratación con la red pública y privada (15)  para la atención de la población no afiliada.</t>
  </si>
  <si>
    <t>1802 - 5 - 3 1 3 14 50 2 154 - 59</t>
  </si>
  <si>
    <t xml:space="preserve">Fortalecer la contratación para la atención de la población no afiliada </t>
  </si>
  <si>
    <t xml:space="preserve">Fortalecer la tención de la población no afiliada </t>
  </si>
  <si>
    <t>SGP salud prestación servicios C.S.F</t>
  </si>
  <si>
    <t>Realizar asistencia técnica en la construcción y ejecución del plan bienal de inversiones, a catorce (14) Empresas sociales del estado (ESE) del departamento.</t>
  </si>
  <si>
    <t>1802 - 5 - 3 1 3 14 50 2 154 - 60</t>
  </si>
  <si>
    <t>Fortalecier la construcción del Plan Bienal en las 14 Empresas sociales del estado (ESE)del departamento.</t>
  </si>
  <si>
    <t>construcción del Plan Bienal en las 14 Empresas sociales del estado (ESE)del departamento.</t>
  </si>
  <si>
    <t>SGP salud aportes patronales S.S.F</t>
  </si>
  <si>
    <t>0318 - 5 - 3 1 3 14 50 2 154 - 35</t>
  </si>
  <si>
    <t>Recurso destinado del Monopolio</t>
  </si>
  <si>
    <t>Fortalecimiento de la  gestión de la entidad territorial municipal</t>
  </si>
  <si>
    <t>Realizar asistencia Técnica  en los 12 municipios, en la capacidad de gestión en salud</t>
  </si>
  <si>
    <t>1802 - 5 - 3 1 3 14 51 2 155 - 72</t>
  </si>
  <si>
    <t xml:space="preserve">Asistencia técnica para el fortalecimiento de la gestión de las entidades territoriales del Departamento del Quindio </t>
  </si>
  <si>
    <t xml:space="preserve">Apoyar los proceso de articulacion y competencias territoriarles en el SGSS
</t>
  </si>
  <si>
    <t xml:space="preserve"> Fortalecer los procesos de financiacion a los municpios para ejercer procesos de afiliacion y atencion al SGSS</t>
  </si>
  <si>
    <t>Apoyo tecnico en los procesos de financiacion a los municpios para ejercer procesos de afiliacion y atencion al SGSS</t>
  </si>
  <si>
    <t>Capacitar en los procesos de gestion tecnica en salud.</t>
  </si>
  <si>
    <t>Realizar procesos de verificacion a los12 Municipios del Departamento en los reportes de gestion financiera.</t>
  </si>
  <si>
    <t>Brindar apoyo en la gestión administrativa y financiera a los municipios del departamento</t>
  </si>
  <si>
    <t>Garantizar red de servicios en eventos de emergencias</t>
  </si>
  <si>
    <t xml:space="preserve">Ajustar los 14 planes de emergencia de las instituciones prestadoras de salud de todo el Departamento.  </t>
  </si>
  <si>
    <t>1802 - 5 - 3 1 3 14 52 2 156 - 72</t>
  </si>
  <si>
    <t>Servicio de salud en alerta en el Departamento del Quindío</t>
  </si>
  <si>
    <t>Fortalecer mediante capacitaciones y planes de trabajo  la actualización y articulación de los planes hospitalarios con el plan de emergencia departamental de acuerdo a la ley 1523 de 2012.</t>
  </si>
  <si>
    <t xml:space="preserve"> Fortalecer el compromiso y conocimiento de la norma  para la preparacion en casos de emergencias parte de las ESES del Departametno y los entes desentralizados</t>
  </si>
  <si>
    <t>Apoyo en el proceso de implementacion del desarrollo en simulacros de atencion a emergencias en la red publica</t>
  </si>
  <si>
    <t>Apoyo en procesos de atencion en emergencias de la red publica</t>
  </si>
  <si>
    <t>Ajustar un (1) Plan de Emergencias en Salud Departamental.</t>
  </si>
  <si>
    <t xml:space="preserve">Articular  la red hospitalaria del Departamento
</t>
  </si>
  <si>
    <t>Convenio interadministrativo para el desarrollo de un plan de Emergancias de salud departamental</t>
  </si>
  <si>
    <t>Atender en los 12 municipios  del departamento, los eventos de emergencia y urgencias, y el sistema de referencia y contra referencia  de la población  no afiliada.</t>
  </si>
  <si>
    <t xml:space="preserve">Fortalecimiento de la red de urgencias y emergencias en el Departamento del Quindio </t>
  </si>
  <si>
    <t>Fortalecimiento  en la integración de  la red hospitalaria  del departamento del  Quindío. Mediante la modernización del CRUE en el departamento del Quindío</t>
  </si>
  <si>
    <t xml:space="preserve">Centralizar por medio del centro de regulación de urgencias y emergencias las atenciones que se puedan suscitar en el departamento </t>
  </si>
  <si>
    <t>seguimiento, evaluacion y gestion de los procesos tecnicos Y administrativos de funcionamiento del CRUE</t>
  </si>
  <si>
    <t>72 - 20 -88</t>
  </si>
  <si>
    <t>1802 - 5 - 3 1 3 14 52 2 157 - 72</t>
  </si>
  <si>
    <t>regular y coordinar la prestacion de servicios de urgencias y emergencias en salud en el departamento</t>
  </si>
  <si>
    <t xml:space="preserve">realizar asistencia tecnica a los prestadores de servicios de salud </t>
  </si>
  <si>
    <t>Realizar adecuaciones fisicas a las Instalaciones designadas para el funcionamiento del CRUE</t>
  </si>
  <si>
    <t>Adquicion de Equipos de Computo para funcionamiento operativo del CRUE</t>
  </si>
  <si>
    <t>0318 - 5 - 3 1 3 14 52 2 157 - 20</t>
  </si>
  <si>
    <t>Mejorar y dotar el CRUE para su correcto funcionamiento en el Departamento del Quindio.</t>
  </si>
  <si>
    <t>Estandarizar e implementar  los formatos de reporte entre los actores involucrados</t>
  </si>
  <si>
    <t xml:space="preserve">reporte de informacion en tiempo real sobre la capacidad de resolutiva del servicio en salud </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</si>
  <si>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</si>
  <si>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</si>
  <si>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1802 - 5 - 3 1 3 14 53 2 158 - 72</t>
  </si>
  <si>
    <t>158 Apoyo al proceso del sistema obligatorio de garantía de calidad a los prestadores de salud en el Departamento del Quindio.</t>
  </si>
  <si>
    <t xml:space="preserve">Asegurar la implementacion y seguimiento del  PAMEC y cumplimiento de la totalidad de los estandeares de Habilitacion de acuerdo al nivel de complejidad.
</t>
  </si>
  <si>
    <t>Fortalecer los procesos de implementacion, auditoria y seguimiento.</t>
  </si>
  <si>
    <t>Reformular el PAMEC de la Direccion Territorial de acuerdo a lo establecido en la Resolución 3960 de 2008.</t>
  </si>
  <si>
    <t xml:space="preserve">Asegurar la totalidad de los estandares establecidos en el sistema de habilitacion 
</t>
  </si>
  <si>
    <t xml:space="preserve">Realizar asistencia técnica para levantar el diagnóstico del estado de avance del programa PAMEC en la IPS públicas del Departamento. </t>
  </si>
  <si>
    <t>Realizar capacitación del recurso humano de las IPS públicas en el establecimiento de planes de mejora.</t>
  </si>
  <si>
    <t xml:space="preserve">Garantizar eficiencia en el establecimiento de los indicadores de seguimiento a riesgo 
</t>
  </si>
  <si>
    <t>Seguimiento y evaluación al cumplimiento DE los planes de mejoramiento y estandarización de procesos  de habilitación de las EAPB.</t>
  </si>
  <si>
    <t>Realizar visitas de verificación de los requisitos de habilitación a 150 prestadores de servicios de salud.</t>
  </si>
  <si>
    <t xml:space="preserve">Realizar visitas de verificación de los requisitos de habilitación </t>
  </si>
  <si>
    <t>verificación  a 150 prestadores de servicios de salud.</t>
  </si>
  <si>
    <t>Fortalecimiento financiero de la red de servicios publica</t>
  </si>
  <si>
    <t>Evaluar semestralmente los indicadores de monitoreo del sistema de catorce (14) ESE´s del nivel I, II y III</t>
  </si>
  <si>
    <t>1802 - 5 - 3 1 3 14 54 2 159 - 72</t>
  </si>
  <si>
    <t>Fortalecimiento de la red de prestación de servicios pública  del Departamento del Quindío</t>
  </si>
  <si>
    <t xml:space="preserve">Apoyar el  seguimiento al proceso de reporte, vigilancia y control en el manejo de los recursos de salud en el Departamento del Quindio
</t>
  </si>
  <si>
    <t>Fortalecer los procesos financieros  del sector salud en el departamento del Quindío</t>
  </si>
  <si>
    <t>Seguimiento y apoyo al proceso de ejecucion y saneamiento a los aportes patronales de las IPS publicas</t>
  </si>
  <si>
    <t>Seguimiento y apoyo al proceso financiero de las IPS publicas</t>
  </si>
  <si>
    <t>Apoyar 2 programas  de saneamiento fiscal y financiero a las IPS categorizadas en riesgo por el Ministerio de Salud</t>
  </si>
  <si>
    <t xml:space="preserve">Realizar los  procesos adecuados para la auditoria en el flujo de recursos de las IPS 
</t>
  </si>
  <si>
    <t>Seguimiento trimestral a los programas de saneamiento fiscal y financiero</t>
  </si>
  <si>
    <t>Gestión Posible</t>
  </si>
  <si>
    <t>Apoyo y Fortalecimiento Institucional</t>
  </si>
  <si>
    <t>Evaluar los municipios de Armenia y Calarcá que se encuentran  certificados en salud</t>
  </si>
  <si>
    <t>1804 - 5 - 3 1 3 15 55 2 160 - 72</t>
  </si>
  <si>
    <t>Apoyo Operativo a la inversión social en salud en el Departamento del Quindio</t>
  </si>
  <si>
    <t xml:space="preserve">Incrementar el porcentaje de apoyo de la dirección estratégica en los procesos administrativos y misionales de la secretaria de salud
</t>
  </si>
  <si>
    <t>Evaluar los municipios certificados en salud</t>
  </si>
  <si>
    <t xml:space="preserve">realizar visitas para evaluacion de la capacidad de gestion y renovacion de la certificacion como municipios desentralizados en salud  </t>
  </si>
  <si>
    <t>Cecília Ines Jaramillo</t>
  </si>
  <si>
    <t>Lograr que los procesos misionales y estratégicos de la Secretaría de Salud, que así lo requieran cuente con el apoyo y gestión de la Dirección Estratégica.</t>
  </si>
  <si>
    <t>Fortaleza en la planificacion, seguimiento y evaluacion de objetivos de S.D.S</t>
  </si>
  <si>
    <t>Realizar actividades de planeacion para la S.D.S aplicando los lineamientos normativos vigentes</t>
  </si>
  <si>
    <t>Realizar seguimiento a los diferentes instrumentos de planificacion de la S.D.S</t>
  </si>
  <si>
    <t>Definir mecanismos para la gestion de la informacion en la S.D.S</t>
  </si>
  <si>
    <t xml:space="preserve">Garantizar eficiencia en el establecimiento de los indicadores de seguimiento a riesgo </t>
  </si>
  <si>
    <t>Establecer mecanismos eficientes de respuesta al usuario</t>
  </si>
  <si>
    <t>Evaluar la oportunidad de las respuestas a los organismos de control</t>
  </si>
  <si>
    <t>Verificación, seguimiento y control trimestral a la ejecución presupuestal de los recursos del Sector Salud</t>
  </si>
  <si>
    <t>control trimestral a la ejecución presupuestal de los recursos del Sector Salud</t>
  </si>
  <si>
    <t>Verificación a la ejecución presupuestal de los recursos del Sector Salud</t>
  </si>
  <si>
    <t xml:space="preserve">CESAR AUGUSTO RINCON ZULUAGA </t>
  </si>
  <si>
    <t>SECRETARIA DE SALUD DEPARTAMENTAL</t>
  </si>
  <si>
    <t xml:space="preserve">Gestionar recursos para cofinanciación de la afialicon  MPO y lugares de afiliación
</t>
  </si>
  <si>
    <t>SEGUIMIENTO PLAN DE ACCIÓN
SECRETARIA SALUD
A MARZO 31 DE 2017</t>
  </si>
  <si>
    <t>SEGUIMIENTO PLAN DE ACCIÓN
SECRETARIA DEL INTERIOR
A MARZO 31 DE 2017</t>
  </si>
  <si>
    <t>REINSERCION</t>
  </si>
  <si>
    <t>SEGURIDAD HUMANA COMO DINAMIZADOR DE LA VIDA, DIGNIDAD Y LIBERTAD EN EL QUINDÍO</t>
  </si>
  <si>
    <t>SEGURIDAD CIUDADANA PARA PREVENCIÓN Y CONTROL DEL DELITO</t>
  </si>
  <si>
    <t>Apoyar la implementación de seis (6) programas de resocialización  en establecimientos carcelarios  del Departamento (sustento legal 1709 de 2014)</t>
  </si>
  <si>
    <t xml:space="preserve">0309 - 5 - 3 1 4 23 75 18 28 - 20
0309 - 5 - 3 1 4 23 75 18 28 - 42
0309 - 5 - 3 1 4 23 75 18 28 - 88
0309 - 5 - 3 1 4 23 75 18 28 - 92
</t>
  </si>
  <si>
    <t>028</t>
  </si>
  <si>
    <t>Construcción integral de la seguridad humana en el Departamento del Quindío</t>
  </si>
  <si>
    <t xml:space="preserve">Redicir la tasa de homicidios en el Quindío
Reducir casos de hurto a residencias,comercio y personas.
</t>
  </si>
  <si>
    <t xml:space="preserve">1. Obtención de resultados en las estrategias implementadas en la prevención y mitigación del delito
2. Garantías para el ejercicio  de la libertad en todos sus ambitos
3. Incremento de  cobertura en instrumentos operativos y logísticos para la atención y prevención del de delito que afectan a la comunidad.
</t>
  </si>
  <si>
    <t>Apoyo para iniciativas,actividades y/o proyectos productivos</t>
  </si>
  <si>
    <t>Juliana Hernandez Henao
Directora de Seguridad Y Convivencia</t>
  </si>
  <si>
    <t>Fortalecer 10 programas de prevención y superación del Sistema de responsabilidad penal para adolescentes</t>
  </si>
  <si>
    <t>Apoyo para iniciativas,actividades y/o proyectos productivos dirigido a la población de infancia y adolescencia</t>
  </si>
  <si>
    <t>Apoyar la construcción, refacción o adecuación de  seis (6) estaciones de policía y/o guarniciones militares y/o instituciones carcelarias</t>
  </si>
  <si>
    <t>Procesos de consultoria como requisito para interventorias, diseños, estudios de factibilidad, ambientales entre otros</t>
  </si>
  <si>
    <t>Contrucción de obras para los organismos de seguridad</t>
  </si>
  <si>
    <t>Intervención de obras menores en bienes  de los organismos de seguridad</t>
  </si>
  <si>
    <t xml:space="preserve">Adquisición de materiales de obra  para mantenimiento y/o reparación de infraestructura física para establecimientos penitenciaros y/o carcelarios </t>
  </si>
  <si>
    <t>Dotar cinco (5) organismos de seguridad de del departamento con elementos tecnológicos y logísticos que faciliten su operatividad y capacidad de respuesta</t>
  </si>
  <si>
    <t>Cofinanciación para proyectos de movilidad y/o tecnología</t>
  </si>
  <si>
    <t>Suministro de combustible</t>
  </si>
  <si>
    <t>Arrendamientos de oficinas para organismos de seguridad</t>
  </si>
  <si>
    <t xml:space="preserve">Adecuación de tecnología en salas de organismos de seguridad </t>
  </si>
  <si>
    <t>Suministro de alimentación</t>
  </si>
  <si>
    <t xml:space="preserve">Prestación de servicios de mantenimiento   a bienes de los organismos de seguridad </t>
  </si>
  <si>
    <t xml:space="preserve">Adquisición de equipos tecnólogicos especializados </t>
  </si>
  <si>
    <t>Adquisición de bienes muebles necesarios para el funcionamiento de la diferentes iniciativas o programas de los oraganismos de seguridad del departamento</t>
  </si>
  <si>
    <t>Fondo de Seguridad 5%</t>
  </si>
  <si>
    <t>Juliana Hernandez Henao</t>
  </si>
  <si>
    <t>Adquisición de bienes inmuebles necesarios para el funcionamiento de la diferentes iniciativas o programas de los oraganismos de seguridad del departamento</t>
  </si>
  <si>
    <t>Superavit Fondo de Seguridad</t>
  </si>
  <si>
    <t>Directora de Seguridad Y Convivencia</t>
  </si>
  <si>
    <t>Procesos de consultoria como requisito para adquisiciónes,interventorias, diagnósticos,diseños,estudios de factibilidad entre otros</t>
  </si>
  <si>
    <t>Programas de prevención del delito y fortalecimeinto institucional para los organismos de seguridad del departamento</t>
  </si>
  <si>
    <t>Servicios de apoyo para llevar a cabo procesos procontractuales y seguimientos contractuales</t>
  </si>
  <si>
    <t>Servicios de apoyo en procesos tecnológicos de seguridad en el departamento</t>
  </si>
  <si>
    <t>Servicios de apoyo en estudios financieros y ecónomicos de los diferentes procesos para los organismos de seguridad</t>
  </si>
  <si>
    <t>Procesos tecnicos para llevar a cabo iniciativas,programas y/o proyectos de los organismos de seguridad</t>
  </si>
  <si>
    <t>Apoyar 3 observatorios locales del delito</t>
  </si>
  <si>
    <t xml:space="preserve">Análisis, integración y/o conformación de los observatorios oficiales del departamento </t>
  </si>
  <si>
    <t>Estructuración del observatorio departamental del delito</t>
  </si>
  <si>
    <t xml:space="preserve">Apoyo a los observatorios existentes </t>
  </si>
  <si>
    <t xml:space="preserve">Equipos tecnologicos y/o transferencia de la misma </t>
  </si>
  <si>
    <t>Dotación y creación del observatorio departamental</t>
  </si>
  <si>
    <t>CONVIVENCIA, JUSTICIA Y CULTURA DE PAZ</t>
  </si>
  <si>
    <t>Apoyar la implementación de treinta y seis (36) programas de prevención del delito y mediación de conflictos en comunidades focalizadas del departamento</t>
  </si>
  <si>
    <t xml:space="preserve">No. </t>
  </si>
  <si>
    <t>0309 - 5 - 3 1 4 23 76 18 29 - 20</t>
  </si>
  <si>
    <t>029</t>
  </si>
  <si>
    <t xml:space="preserve">Apoyo a la convivencia, justicia y cultura de paz en el Departamento del Quindío </t>
  </si>
  <si>
    <t xml:space="preserve">Reducir la tasa de homicidios en el Quindío.
</t>
  </si>
  <si>
    <t xml:space="preserve">1. Articulación en los diferentes programas de las entidades estatales en materia de convivencia. 
2.. Identificación de las necesidades reales en las comunidades focalizadas   
3.Reglamentación actualizada en materia de seguridad y orden público
</t>
  </si>
  <si>
    <t xml:space="preserve">Intervenciones psicosociales, y/o de formación productiva integrales en los 11 barrios focalizados </t>
  </si>
  <si>
    <t xml:space="preserve">20
42                                             </t>
  </si>
  <si>
    <t>Logística, refrigerios,transporte y/o combustible</t>
  </si>
  <si>
    <t>Atencion integral de Barrios con situacion critica de convivencia en los 12 Municipios  del Departamento</t>
  </si>
  <si>
    <t>0309 - 5 - 3 1 4 23 76 18 29 - 42</t>
  </si>
  <si>
    <t xml:space="preserve">Intervenciones Psicosociales y/o de formación productiva integrales en los cinco municipios focalizados </t>
  </si>
  <si>
    <t xml:space="preserve">Obra y/o Materiales  para intervenciones en areas focalizadas </t>
  </si>
  <si>
    <t>Implementación de progrmas ludicos,culturales y/o deportivos  para población vulnerable en areas focalizadas</t>
  </si>
  <si>
    <t xml:space="preserve">Generación y/o apoyo a programas de intervención social o de seguridad </t>
  </si>
  <si>
    <t>Recurso ordinario</t>
  </si>
  <si>
    <t>Fondos de seguridad 5%</t>
  </si>
  <si>
    <t>Actualizar el código departamental de Policía</t>
  </si>
  <si>
    <t>Análisis, estructuración, actualización y socialización del nuevo código de policia</t>
  </si>
  <si>
    <t>Actualizar e implementar el Plan Integral de Seguridad y Convivencia Ciudadana (PISCC)</t>
  </si>
  <si>
    <t>Seguimiento y ejecución de los objetivos del PISCC</t>
  </si>
  <si>
    <t>CONSTRUCCION DE PAZ Y RECONCILIACION EN EL QUINDÍO</t>
  </si>
  <si>
    <t>PLAN DE ACCIÓN TERRITORIAL PARA LAS VICTIMAS DEL CONFLICTO</t>
  </si>
  <si>
    <t xml:space="preserve">Apoyar la articulación para la atención integral de las víctimas del conflicto por enfoque diferencial en  los 12 municipios del departamento
</t>
  </si>
  <si>
    <t>0309 - 5 - 3 1 4 24 78 14 30 - 20
0309 - 5 - 3 1 4 24 78 14 30 - 88</t>
  </si>
  <si>
    <t>030</t>
  </si>
  <si>
    <t>Implementación del plan de acción territorial para la prevención, protección, asistencia, atención, y reparación integral en el Departamento del Quindío</t>
  </si>
  <si>
    <t xml:space="preserve">Incremento del porcentaje de cumplimiento de ley  1448 de 2011 atención a víctimas, que garantice  el goce efectivo de derechos
</t>
  </si>
  <si>
    <t xml:space="preserve">1.Entidades territoriales con asignación presupuestal por necesidad identificada 
2.Procesos de paz en ejecución  para el fin del conflicto 
3.Articulación institucional.
</t>
  </si>
  <si>
    <t xml:space="preserve">Capacitación a las mesas de participación de victimas en los 12 municipios en el tema de formulacion de proyectos </t>
  </si>
  <si>
    <t xml:space="preserve">20 
88                                                                                    </t>
  </si>
  <si>
    <t>Diego Fernando Escandon y/o Maria Alejandra Berrio Jaramillo
Dirección de DDHH Y Atención a Víctimas</t>
  </si>
  <si>
    <t>Brindar asistencia y capacitacion a las organizacionnes de mujeres, LGTBI, adulto  mayor y personas con discapacidad, en coordinacion con los PAT territoriales en temas relacionados con la ley 1448 de 2011</t>
  </si>
  <si>
    <t>Procesos de articulación asistencia y atención a los municipios y su población víctima Sesiones de Comites y Subcomites</t>
  </si>
  <si>
    <t xml:space="preserve">Capacitación a las mesas de participación de victimas en los 12 municipios en el tema de protocolo - Resolucion 0388 de 2013
</t>
  </si>
  <si>
    <t>Apoyo a proyectos productivos población víctima</t>
  </si>
  <si>
    <t>Logística y/o refrigerios</t>
  </si>
  <si>
    <t>Apoyar  la atención humanitaria inmediata a la población víctima del conflicto en los 12 municipios</t>
  </si>
  <si>
    <t xml:space="preserve">Adecuación predio reubicación definitiva, cumplimiento fallo de tutela Embera Chamí Quimbaya
</t>
  </si>
  <si>
    <t>Apoyo en los procesos de concurrencia, complementariedad y subsidiaridad en las  ayudas  humanitarias inmediatas de acuerdo a lo consagrado en la ley 1448 de 2011 en los 12 municipios del departamento</t>
  </si>
  <si>
    <t xml:space="preserve">Fortalecer el Comité departamental de justicia transicional y la mesa de participación efectiva de las víctimas del conflicto </t>
  </si>
  <si>
    <t xml:space="preserve">Sesiones comité ejecutivo y ética mesa de victimas </t>
  </si>
  <si>
    <t>Superavit recurso ordinario</t>
  </si>
  <si>
    <t>Sesiones plenario mesa de victimas</t>
  </si>
  <si>
    <t xml:space="preserve">Sesiones Comité Justicia Transicional garantias </t>
  </si>
  <si>
    <t xml:space="preserve">Apoyar la construcción y la actualización de los Planes de Acción Territorial de victimas PAT municipales y  el PAT departamental </t>
  </si>
  <si>
    <t xml:space="preserve">Procesos de apoyo para la implementación de la ley de víctimas (1448 de 2011) y sus decretos reglamentarios 
(Capacitación) </t>
  </si>
  <si>
    <t xml:space="preserve">Brindar asistencia y capacitacion en las actualizaciones de los PAT municipales de manera armonica con el PAT departamental. </t>
  </si>
  <si>
    <t xml:space="preserve">
Diseñar e implementar el sistema de información para la prevención, atención, asistencia y reparación integral a las víctimas del conflicto armado interno </t>
  </si>
  <si>
    <t>Levantamiento información,organización y articulación de la misma.</t>
  </si>
  <si>
    <t xml:space="preserve">Capacitaciones en Alcaldías sobre el sistema de información para la prevencion, asistencia y reparacion integral </t>
  </si>
  <si>
    <t xml:space="preserve">Desarrollo del software  del sistema de información para la prevención, atención, asistencia y reparación integral a las víctimas del conflicto armado interno </t>
  </si>
  <si>
    <t>07/20/2017</t>
  </si>
  <si>
    <t>Apoyo a procesos de caracterización de los municipios</t>
  </si>
  <si>
    <t>PROTECCIÓN Y GARANTÍAS DE NO REPETICIÓN</t>
  </si>
  <si>
    <t>Implementar el plan integral de prevención a las violaciones de  Derechos Humanos DDHH e infracciones  al Derecho Internacional Humanitario DIH</t>
  </si>
  <si>
    <t>0309 - 5 - 3 1 4 24 79 14 32 - 20</t>
  </si>
  <si>
    <t>032</t>
  </si>
  <si>
    <t>Implementación del Plan Integral de prevención de vulneraciones de los Derechos Humanos DDHH e infracciones  al Derecho Internacional Humanitario DIH en el departamento del Quindio</t>
  </si>
  <si>
    <t xml:space="preserve">Promoción de sociedades pacíficas e inclusivas para el desarrollo sostenible,facilitar el acceso a la justicia para todos y crear instituciones eficace, responsables e inclusivas a toodos los niveles (ODS 16). 
</t>
  </si>
  <si>
    <t xml:space="preserve">1.Empleo y control social en las zonas de influencia del comercio de estupefacientes 
2.Control de las organizaciónes y  grupos delicuenciales por la influencia de organizaciones de otras regiones  al margen de la ley
3.Complementar las acciones municipales de manera integral. 
</t>
  </si>
  <si>
    <t>Actualización del plan integral de prevención de vulneración de DDHH  (un documento)</t>
  </si>
  <si>
    <t xml:space="preserve">Realizar jornadas de capacitación para la  prevencion y sensibilizacion de los Derechos Humanos en colegios publicos </t>
  </si>
  <si>
    <t xml:space="preserve">Apoyar en los doce (12) municipios la articulación institucional para la prevención a las violaciones DDHH  e infracciones al DIH </t>
  </si>
  <si>
    <t>Foro de Derechos Humanos</t>
  </si>
  <si>
    <t>Diseñar e implementar jornadas de prevencion a las violaciones de DDHH e infracciones al DIH  en los 12 municipios del Departamento con la Campaña Quindio Al Derecho</t>
  </si>
  <si>
    <t>Campañas de prevencion con instituciones tales como Policia y Alcaldías en los 12 municipios del Departamento</t>
  </si>
  <si>
    <t>Actualizar e Implementar el plan lucha contra la trata de personas</t>
  </si>
  <si>
    <t xml:space="preserve">Diseñar e implementar jornadas de capacitacion del delito de trata de personas  en los 12 municipios del Departamento </t>
  </si>
  <si>
    <t xml:space="preserve">Realizar jornadas de prevencion y sensibilizacion del delito de trata de personas en colegios publicos </t>
  </si>
  <si>
    <t>Realizar jornadas de prevencion y sensibilizacion del delito de trata de personas en terminal aerea y terrestre</t>
  </si>
  <si>
    <t>Realizar jornadas de prevencion y sensibilizacion del delito de trata de personas en puestos de control migratorio, centros facilitadores, universidades del Departamento, casas de lenocinio e instituciones publicas y privadas del Departamento</t>
  </si>
  <si>
    <t xml:space="preserve">Crear sistema de información de trata de personas que permita unificar la información de los casos remitidos </t>
  </si>
  <si>
    <t>PREPARADOS PARA LA PAZ</t>
  </si>
  <si>
    <t>Implementar plan de acción de Derechos Humanos articulado interinstitucionalmente, de  protección de los Derechos Humanos DDHH y la Paz en los doce (12) municipios del departamento</t>
  </si>
  <si>
    <t>0309 - 5 - 3 1 4 24 80 14 34 - 20</t>
  </si>
  <si>
    <t>034</t>
  </si>
  <si>
    <t>Construcción de la Paz Territorial en el Departamento del Quindio</t>
  </si>
  <si>
    <t xml:space="preserve">Promoción de sociedades pacíficas e inclusivas para el desarrollo sostenible,facilitar el acceso a la justicia para todos y crear instituciones eficaces, responsables e inclusivas a toodos los niveles (ODS 16). 
</t>
  </si>
  <si>
    <t xml:space="preserve">1. Factores generadores  de expresión de valores,actidudes,tradiciones y patrones de comporatmiento de respeto a la vida,los DDHH y la libertad de expresón 
2. Creación de una cultura en DDHH e igualdad y no discriminación 
</t>
  </si>
  <si>
    <t>Formulación  del plan de DDHH (un documento por municipio)</t>
  </si>
  <si>
    <t>15/062017</t>
  </si>
  <si>
    <t xml:space="preserve">Actualización  del Plan de DDHH </t>
  </si>
  <si>
    <t xml:space="preserve">Apoyar y articular en los doce (12) municipios  del departamento las actuaciones institucionales en procura de la garantía de la construcción de paz </t>
  </si>
  <si>
    <t xml:space="preserve">Estrategía de paz como dinamizador del respeto y no vulneración de los DDHH </t>
  </si>
  <si>
    <t>Foro DDHH</t>
  </si>
  <si>
    <t>Festival de paz- Semana por la paz (Murales Colombia en Paz)</t>
  </si>
  <si>
    <t>Apoyo para la Politica de Reintegrados</t>
  </si>
  <si>
    <t>EL QUINDIO DEPARTAMENTO RESILIENTE</t>
  </si>
  <si>
    <t>QUINDIO PROTEGIENDO EL FUTURO</t>
  </si>
  <si>
    <t xml:space="preserve">Realizar catorce (14) estudios de riesgo y análisis de vulnerabilidad en  los municipios del departamento </t>
  </si>
  <si>
    <t>0309 - 5 - 3 1 4 25 81 12 36 - 20
0309 - 5 - 3 1 4 25 81 12 36 - 88</t>
  </si>
  <si>
    <t>036</t>
  </si>
  <si>
    <t xml:space="preserve">Administración del  riesgo mediante el conocimiento, la reducción y el manejo del desastre  en el Departamento del Quindio. </t>
  </si>
  <si>
    <t xml:space="preserve">Lograr que las ciudadaes y los asentamientos humanos sean inclusivos,resilientes y sostenibles (ODS-objetivo 11)
</t>
  </si>
  <si>
    <t xml:space="preserve">1. Conocimiento de los riesgos en el departamento.
2. Diseñar modelos de reducción del riesgo en el departamento.
3. Fortalecer las instituciones  para el adecuado manejo de los desastres.  
</t>
  </si>
  <si>
    <t xml:space="preserve">Realizar estudios de riesgo y análisis de vulnerabilidad en  los municipios del departamento </t>
  </si>
  <si>
    <t>Recurso ordinario
Superavit recurso ordinario</t>
  </si>
  <si>
    <t>Faber Mosquera Álvarez 
Director UDEGERD</t>
  </si>
  <si>
    <t>Suninistro de combustible</t>
  </si>
  <si>
    <t xml:space="preserve">Apoyar a ciento cincuenta (150) instituciones educativas del departamento en la formulación de Planes Escolares de Gestión del Riesgo (PGERD) </t>
  </si>
  <si>
    <t>Conocimiento manejo y reducción del riesgo en el departamento</t>
  </si>
  <si>
    <t>Fortalecimiento institucional para la formulación de los planes</t>
  </si>
  <si>
    <t>Logistica para operación</t>
  </si>
  <si>
    <t>Apoyar a los doce (12) municipios del departamento en procesos de educación a las comunidades frente a la prevención y preparación para las emergencias por fenómenos de origen natural y/o antrópico no intencional</t>
  </si>
  <si>
    <t>Apoyo en formacion y capacitación de gestión del riesgo</t>
  </si>
  <si>
    <t>Fortalecimiento instituciones de socorro</t>
  </si>
  <si>
    <t>Adquisición tecnologia (Dron)</t>
  </si>
  <si>
    <t>Material didáctico</t>
  </si>
  <si>
    <t xml:space="preserve">Elementos de protección personal </t>
  </si>
  <si>
    <t>Organización de foros, talleres, eventos, y/o actividades</t>
  </si>
  <si>
    <t xml:space="preserve">Realizar 10 intervenciones en  áreas vulnerables del departamento </t>
  </si>
  <si>
    <t>Leventamiento de informacion relacionada con la  geología en areas vulnerables</t>
  </si>
  <si>
    <t>Intervenciones, obras de ingeniería y/o análisis vulnerabilidad</t>
  </si>
  <si>
    <t xml:space="preserve">Fortalecer el comité departamental de gestión del riesgo de desastres </t>
  </si>
  <si>
    <t>Mantenimiento red de comunicaciones</t>
  </si>
  <si>
    <t>Procesos de atención a PQRS y servicios demandados por la comunidad</t>
  </si>
  <si>
    <t xml:space="preserve">Actualización y desarrollo de  tecnologías en gestión del riesgo </t>
  </si>
  <si>
    <t>Formación y capacitación en el manejo del riesgo</t>
  </si>
  <si>
    <t>Servicios y atención  de manejo de riesgos</t>
  </si>
  <si>
    <t xml:space="preserve">Fortalecimiento  a las unidades bomberiles </t>
  </si>
  <si>
    <t>Fondo de Gestión del Riesgo</t>
  </si>
  <si>
    <t>FORTALECIMIENTO INSTITUCIONAL PARA LA GESTIÓN DEL RIESGO DE DESASTRES COMO UNA ESTRATEGIA DE DESARROLLO</t>
  </si>
  <si>
    <t>Poner en funcionamiento operativo la sala de crisis del Departamento</t>
  </si>
  <si>
    <t>0309 - 5 - 3 1 4 25 82 12 38 - 20</t>
  </si>
  <si>
    <t>038</t>
  </si>
  <si>
    <t>Apoyo institucional en la gestión del riesgo  en el Departamento del Quindio</t>
  </si>
  <si>
    <t xml:space="preserve">1. Cumplimiento de los protocolos para la preparación y manejo de la emergencia.
2. Destinación de recursos en el ambito local para la atención de las emergencias.
</t>
  </si>
  <si>
    <t xml:space="preserve"> Adquisición de equipos de comunicaciones </t>
  </si>
  <si>
    <t>Mantenimiento equipos</t>
  </si>
  <si>
    <t>Articulación y coordinación para el manejo de desastres</t>
  </si>
  <si>
    <t>Fortalecer  la dotación de la bodega estratégica de la Unidad Departamental de la Gestión del Riesgo de Desastres UDEGER</t>
  </si>
  <si>
    <t>Suministro de ayudas  Humanitarias</t>
  </si>
  <si>
    <t>PODER CIUDADANO</t>
  </si>
  <si>
    <t>QUINDIO SI A LA PARTICIPACIÓN</t>
  </si>
  <si>
    <t>Desarrollar estrategias tendientes a promover la participación ciudadana en el departamento</t>
  </si>
  <si>
    <t>0309 - 5 - 3 1 5 27 85 16 39 - 20
0309 - 5 - 3 1 5 27 85 16 39 - 88</t>
  </si>
  <si>
    <t>039</t>
  </si>
  <si>
    <t>Construcción de la participación ciudadana y control social en el Departamento del Quindio</t>
  </si>
  <si>
    <t xml:space="preserve">Elevar el promedio de la participación de la ciudadania en los procesos de elección popular del cuatrenio.
</t>
  </si>
  <si>
    <t xml:space="preserve">1.  Implementación y difusión  en las entidades territoriales de los canalaes  y medios para la participación de los ciudadanos.
Fortalecimeinto en la estructuración de políticas, programas ,legislación, proyectos sociales y desarrollo comunitario.
2. Convicción de la comunidad  en los programas encaminados a brindar el acercamiento a las instituciones públicas
3.  Fortalecimeinto en la estructuración de políticas, programas ,legislación, proyectos sociales y desarrollo comunitario.
</t>
  </si>
  <si>
    <t>Servicios como apoyo a estrategias de participación</t>
  </si>
  <si>
    <t>Juliana Hérnandez Henao Dirección de  Seguridad y Convivencia 
Sandra Patricia Gaviria y Johan Manuel Guevara Arcila  Profesionales Universitarios</t>
  </si>
  <si>
    <t xml:space="preserve">Juliana Hérnandez Henao Dirección de  Seguridad y Convivencia </t>
  </si>
  <si>
    <t xml:space="preserve">Celebración de la semana de participación </t>
  </si>
  <si>
    <t xml:space="preserve">Logística y/o refrigerios </t>
  </si>
  <si>
    <t>Material y piezas promocionales como estrategías de participación</t>
  </si>
  <si>
    <t xml:space="preserve">Apoyo a estrategías y/o programas de promoción y fortalecimiento de la participación ciudadana </t>
  </si>
  <si>
    <t>Creación y puesta en funcionamiento  del Consejo departamental de participación Ciudadana</t>
  </si>
  <si>
    <t>Servicios de apoyo al funcionamiento y operatividad del consejo de participación ciudadana</t>
  </si>
  <si>
    <t>Servicios especializados en formulación de políticas públicas</t>
  </si>
  <si>
    <t>Servicios como apoyo a la participación</t>
  </si>
  <si>
    <t>Material pedagogíco y/o promocional relacionado con el consejo de participación</t>
  </si>
  <si>
    <t>Apoyo a iniciativas y promoción de la participación ciudadana</t>
  </si>
  <si>
    <t>Prestación de servicio de transporte</t>
  </si>
  <si>
    <t>Formular e implementar la política pública departamental de libertad religiosa en desarrollo  del árticulo 244 de la ley  1753 "por medio de la cual  se expide  el Plan Nacional de Desarrollo 2014-2018 TODOS POR UN NUIEVO PAÍS"</t>
  </si>
  <si>
    <t>Servicios como apoyo a la implementación de politíca pública de libertad religiosa</t>
  </si>
  <si>
    <t xml:space="preserve">Materíal pedagógico y/o promocional </t>
  </si>
  <si>
    <t xml:space="preserve">Comunales comprometidos con el desarrollo </t>
  </si>
  <si>
    <t xml:space="preserve">Fortalecer  organismos comunales en los  12 municipios del departamento en el mejoramiento organizacional y participativo </t>
  </si>
  <si>
    <t>0309 - 5 - 3 1 5 27 86 16 40 - 20
0309 - 5 - 3 1 5 27 86 16 40 - 88</t>
  </si>
  <si>
    <t>040</t>
  </si>
  <si>
    <t xml:space="preserve">Desarrollo de los Organismos Comunales en el Departamento del Quindio </t>
  </si>
  <si>
    <t xml:space="preserve">Consolidar mecanismos  de integración  regional y municipal 
</t>
  </si>
  <si>
    <t xml:space="preserve">1.  Fortalecer la estructuración deprogramas de capacitación en legislación, proyectos sociales y desarrollo comunitario.
2. Mejoramiento en  los procesos de inspección, vigilancia y control realizados a los organismos comunales.
</t>
  </si>
  <si>
    <t>Servicios como apoyo al fortalecimiento a lo organismos  comunales</t>
  </si>
  <si>
    <t>Recurso Ordinario
Superavit Recurso Ordinario</t>
  </si>
  <si>
    <t>Juliana Hérnandez Henao Dirección de  Seguridad y Convivencia 
Sandra Patricia Gaviria Profesional Universitaria</t>
  </si>
  <si>
    <t>Celebración dia comunal</t>
  </si>
  <si>
    <t>Coofinanciación para organización de los juegos comunales</t>
  </si>
  <si>
    <t>Apoyo a eventos de capacitación comunal</t>
  </si>
  <si>
    <t>Apoyo para fortalecimietno de programas intitucionales de los organismos comunales</t>
  </si>
  <si>
    <t>VEEDURIAS Y RENDICIÓN DE CUENTAS</t>
  </si>
  <si>
    <t>Implementar un (1) programa de fortalecimiento de las veedurías ciudadanas del departamento</t>
  </si>
  <si>
    <t>No,</t>
  </si>
  <si>
    <t>0309 - 5 - 3 1 5 26 84 16 42 - 20</t>
  </si>
  <si>
    <t>042</t>
  </si>
  <si>
    <t xml:space="preserve">Fortalecimiento de las veedurias ciudadanas en el Departamento del Quindio </t>
  </si>
  <si>
    <t xml:space="preserve">Consolidar mecanismos  de integración  regional y municipal 
</t>
  </si>
  <si>
    <t xml:space="preserve">1.  Conocimiento de la legislación que permite el ejercicio  del control social 
2.  Difusión masiva sobre  el ejercicio del control social 
</t>
  </si>
  <si>
    <t>Servicio como apoyo a las estrategías de fortalecimiento a las veedurias ciudadanas</t>
  </si>
  <si>
    <t xml:space="preserve">Suministro de logística  y/o refrigerios </t>
  </si>
  <si>
    <t>Organización de eventos, foros, actividades entre otros  para la promoción y el fortalecimiento del control social y las veedurias ciudadanas</t>
  </si>
  <si>
    <t xml:space="preserve">Difusión en medios masivos  de comunicación (radio impresos entre otros) para la promoción y el fortalecimiento del control social y las  veedurias ciudadanas  </t>
  </si>
  <si>
    <t>Prestación de servicios de transporte</t>
  </si>
  <si>
    <t>SEGUIMIENTO PLAN DE ACCIÓN 
INDEPORTES
A MARZO 31 DE 2017</t>
  </si>
  <si>
    <t>octubre de 2016</t>
  </si>
  <si>
    <t>CICLO VITAL</t>
  </si>
  <si>
    <t>ESTRATEGIA</t>
  </si>
  <si>
    <t>PROGRAMA</t>
  </si>
  <si>
    <t>SUBPROGRAMA</t>
  </si>
  <si>
    <t>META PRODUCTO PLAN DE DESARROLLO</t>
  </si>
  <si>
    <t>META FISICA 2017</t>
  </si>
  <si>
    <t xml:space="preserve">NOMBRE DEL PROYECTO </t>
  </si>
  <si>
    <t>VALOR PROYECTO</t>
  </si>
  <si>
    <t>Apoyo al deporte asociado</t>
  </si>
  <si>
    <t xml:space="preserve"> Ligas deportivas del departamento del Quindío</t>
  </si>
  <si>
    <t xml:space="preserve">Apoyar  y fortalecer veintitrés (23) ligas deportivas   </t>
  </si>
  <si>
    <t>Numero</t>
  </si>
  <si>
    <t xml:space="preserve">2234468202-4
</t>
  </si>
  <si>
    <t>Apoyo al deporte asociado en el Departamento del Quindio</t>
  </si>
  <si>
    <t xml:space="preserve">Incrementar los niveles de desarrollo en el deporte formativo y competitivo del departamento del quindio </t>
  </si>
  <si>
    <t>Fortalecer los procesos con deportistas de altos logros</t>
  </si>
  <si>
    <t xml:space="preserve">Realizar acompañamiento y asesorìa a las ligas y clubes del departamento </t>
  </si>
  <si>
    <t>Recursos Ordinarios</t>
  </si>
  <si>
    <t>RECURSO ORDINARIO
IVA LICORES</t>
  </si>
  <si>
    <t>SANDRA YELITZA CASTELBLANCO CELIS</t>
  </si>
  <si>
    <t>OLGA LUCIA FERNANDEZ CARDENAS</t>
  </si>
  <si>
    <t>2234468202-3</t>
  </si>
  <si>
    <t>IVA de Licores Cedido 30% Deporte</t>
  </si>
  <si>
    <t>Apoyo a las ligas en los eventos deportivos de carácter federal</t>
  </si>
  <si>
    <t>apoyar  a veinte  (20) deportistas en nivel de talento, de proyección y de altos logros con el programa de incentivos económicos a deportistas.</t>
  </si>
  <si>
    <t>2234468203-3</t>
  </si>
  <si>
    <t>Apoyo a deportistas de alto logros y reserva deportiva</t>
  </si>
  <si>
    <t>Apoyo a eventos deportivos</t>
  </si>
  <si>
    <t>Apoyar trece (13)  ligas en   los eventos deportivos de carácter federado  nacional y departamental.</t>
  </si>
  <si>
    <t>2234469204-4
2234469204-9</t>
  </si>
  <si>
    <t xml:space="preserve">Apoyo  logistico a las 13 ligas estrategicas </t>
  </si>
  <si>
    <t xml:space="preserve">Recursos Ordinarios
</t>
  </si>
  <si>
    <t xml:space="preserve">RECURSOS ORDINARIOS
</t>
  </si>
  <si>
    <t>Rendimientos financieros</t>
  </si>
  <si>
    <t xml:space="preserve"> Juegos intercolegiados </t>
  </si>
  <si>
    <t>Desarrollar cuatro (4) juegos Intercolegiados  en sus diferentes fases.</t>
  </si>
  <si>
    <t xml:space="preserve">2234470205-4
</t>
  </si>
  <si>
    <t>Apoyo a los juegos intercolegiados en el Deparrtamento del Quindìo</t>
  </si>
  <si>
    <t>Generar espacios de  competencia para las instituciones educativas, aumentando así el porcentaje de utilización de escenarios deportivos y disminuyendo los índices de sedentarismo</t>
  </si>
  <si>
    <t>Fortalecer programas y actividades deportivas</t>
  </si>
  <si>
    <t xml:space="preserve">Acompañamiento a la fase departamental y nacional de los juegos intercolegiados </t>
  </si>
  <si>
    <t>RECURSOS ORDINARIOS</t>
  </si>
  <si>
    <t>GLORIA INES HERRERA FRANCO</t>
  </si>
  <si>
    <t>2234470205-7</t>
  </si>
  <si>
    <t xml:space="preserve">
Coldeportes</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</si>
  <si>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</si>
  <si>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</si>
  <si>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2234471206-3
2234471206-7</t>
  </si>
  <si>
    <t>Apoyo al Deporte formativo, deporte social comunitario y juegos  tradicionales en el Departamento del Quindío</t>
  </si>
  <si>
    <t>Generar espacios recreo-deportivos,  aumentando el porcentaje de utilización de escenarios deportivos y disminuyendo los índices de consumo de estupefaciente</t>
  </si>
  <si>
    <t>Fortalecer los espacios recreodeportivos</t>
  </si>
  <si>
    <t>Brindar asesoria a los doce municipios del departamente</t>
  </si>
  <si>
    <t>Nuevo iva de licores cedido 30% deporte</t>
  </si>
  <si>
    <t>IVA LICORES</t>
  </si>
  <si>
    <t>Coldeportes</t>
  </si>
  <si>
    <t>Desarrollar  4 eventos de deporte social y comunitario.</t>
  </si>
  <si>
    <t>2234471207-4
2234471207-7</t>
  </si>
  <si>
    <t>Realizacion de eventos deportivos en el departamento</t>
  </si>
  <si>
    <t>Apoyar  técnicamente un 1  evento de  Juegos Comunales en la fase Departamental</t>
  </si>
  <si>
    <t>2234471208-4</t>
  </si>
  <si>
    <t xml:space="preserve"> Si Recreación y actividad física para ti</t>
  </si>
  <si>
    <t>Recreación,  para el Bien Común</t>
  </si>
  <si>
    <t>Apoyar de forma articulada el desarrollo del programa (1) "Campamentos Juveniles"</t>
  </si>
  <si>
    <t>2234572209-4
2234572209-7
2234572210-4
2234572210-7
2234572211-7</t>
  </si>
  <si>
    <t xml:space="preserve"> Apoyo a la Recreación,  para el Bien Común en el Departamento del Quindío</t>
  </si>
  <si>
    <t>Disminuir los indices de consumo de estupefacientes en los municipios del departamento a través  del desarrollo de espacios recreodeportivos</t>
  </si>
  <si>
    <t>Fortalecer una cultura recreo-deportiva en la poblacion</t>
  </si>
  <si>
    <t>Brindar apoyo tecnico y logistico a campamentos juveniles</t>
  </si>
  <si>
    <t>4
7</t>
  </si>
  <si>
    <t>MANUEL ANTONIO RODRIGUEZ QUINTERO</t>
  </si>
  <si>
    <t>Apoyar de forma articulada el programa nuevo comienzo "Otro Motivo para Vivir" (1).</t>
  </si>
  <si>
    <t>Apoyo logistico y tecnico al adulto mayor</t>
  </si>
  <si>
    <t>Crear y desarrollar una estrategia para articular la actividad recreativa social comunitaria desde la primera infancia hasta las personas mayores.</t>
  </si>
  <si>
    <t>Apoyo logistico tecnico</t>
  </si>
  <si>
    <t xml:space="preserve"> Actividad física, hábitos y estilos de vida saludables</t>
  </si>
  <si>
    <t xml:space="preserve">implementar un (1) programa que permita ejecutar proyectos  de actividad física para la promoción de hábitos y estilos de vida saludables </t>
  </si>
  <si>
    <t>2234573212-4
2234573212-7</t>
  </si>
  <si>
    <t>Apoyo a la actividad fisica, salud y productiva en el Departamento</t>
  </si>
  <si>
    <t>Disminuir los  índices en el consumo de estupefacientes  y sedentarismo en los municipios del departamento a traves de programa de actividad fisica y habitos saludables</t>
  </si>
  <si>
    <t>Fomentar estilos de vida saludable y actividad fisica</t>
  </si>
  <si>
    <t>Capacitaciones en actividad fisica</t>
  </si>
  <si>
    <t xml:space="preserve">Recurso ordinario
</t>
  </si>
  <si>
    <t>OLGA LUCIA FERNANDEZ CARDENASÇ</t>
  </si>
  <si>
    <t>Deporte, recreación, actividad fisica en los municipios del departamento del Quindío</t>
  </si>
  <si>
    <t xml:space="preserve"> Implementación y apoyo a los proyectos deportivos, recreativos y de actividad fisica en los municipios del Departamento del Quindío</t>
  </si>
  <si>
    <t>Apoyar doce (12) municipios en proyectos deportivos, recreactivos y de actividad fisica</t>
  </si>
  <si>
    <t>22346741-2</t>
  </si>
  <si>
    <t>Apoyo a proyectos deportivos, recreativos y de actividad fisica, en el Departamento del Quindìo</t>
  </si>
  <si>
    <t>Disminuir los índices en el consumo de estupefacientes en los municipios del departamento</t>
  </si>
  <si>
    <t>Fortalecer la articulacion interinstitucional</t>
  </si>
  <si>
    <t>Brindar acompañamiento tecnico a los municipios</t>
  </si>
  <si>
    <t>Otros Iva Telefonía Móvil</t>
  </si>
  <si>
    <t>Gerente</t>
  </si>
  <si>
    <t>SEGUIMIENTO PLAN DE ACCIÓN 
SECRETARIA DE AGUAS E INFRAESTRUCTURA
A MARZO 31 DE 2017</t>
  </si>
  <si>
    <t xml:space="preserve">1. </t>
  </si>
  <si>
    <t>DESARROLLO SOSTENIBLE</t>
  </si>
  <si>
    <t>1.</t>
  </si>
  <si>
    <t xml:space="preserve">QUINDIO TERRITORIO VITAL </t>
  </si>
  <si>
    <t xml:space="preserve">2. </t>
  </si>
  <si>
    <t xml:space="preserve">MANEJO INTEGRAL DEL AGUA Y SANEAMIENTO BÁSICO </t>
  </si>
  <si>
    <t>Formular y ejecutar veinte (20) proyectos de infraestructura de agua potable y saneamiento básico</t>
  </si>
  <si>
    <t xml:space="preserve">N° de proyectos formulados y/o ejecutados </t>
  </si>
  <si>
    <t>0308 - 5 - 3 1 1 1 2 3 22 - 04 / 0308 - 5 - 3 1 1 1 2 3 22 - 27</t>
  </si>
  <si>
    <t>Apoyo en atenciones prioritarias en Agua Potable y/o Saneamiento Básico en el Departamento del Quindío</t>
  </si>
  <si>
    <t xml:space="preserve">Generar proyectos para atender la poblacion vulnerable en sus necesidades basicas de </t>
  </si>
  <si>
    <t>Generar intervenciones prioritaria para la adecuacion y optimizacion de sistemas de APSB.</t>
  </si>
  <si>
    <t>Apoyo en atenciones prioritarias en Saneamiento Básico en el Departamento del Quindío</t>
  </si>
  <si>
    <t>EPD</t>
  </si>
  <si>
    <t>SGP AGUA POTABLE</t>
  </si>
  <si>
    <t>ALVARO JOSE JIMENEZ TORRES/ MARY CIELO SOLER CHACON.</t>
  </si>
  <si>
    <t>SUPERAVIT SGP AGUA POTABLE</t>
  </si>
  <si>
    <t>Formular proyectos para ejecutar diferentes proyectos con el fin de brindar un buen servicio de Agua potable y Saneamiento basico</t>
  </si>
  <si>
    <t>Reposición y Optimización de Acueducto y Alcalntarillado de la Calle 16 Carreras 6 y  8 Municipio de Quimbaya Quindio</t>
  </si>
  <si>
    <t>SUPERAVIT ESTAMPILLA PRODESARROLLO</t>
  </si>
  <si>
    <t>Mejoramiento y Optimización puesta en marcha planta de tratamiento de agua potable acueducto Barragan La Coca</t>
  </si>
  <si>
    <t>SUPERAVIT ESTAMPILLA PRODESARROLLO - ESTAMPILLA PRODESARROLLO</t>
  </si>
  <si>
    <t>Construción y mejoramiento de la infraestructura de agua potable y saneamiento básico del Departamento del Quindio.</t>
  </si>
  <si>
    <t>Infraestructura eficiente para la prestación del servicio de agua potable y saneamiento basico</t>
  </si>
  <si>
    <t>Realizar estudios y diseños enfocados a las necesidades en cuanto a la construccion y mejoramiento de la infraestructura de agua potable y saneamiento basico</t>
  </si>
  <si>
    <t>Proyectos AAA Ejecutados</t>
  </si>
  <si>
    <t>SGP AGUA POTABLE SSF27</t>
  </si>
  <si>
    <t xml:space="preserve">Formular,priorizar, viabilizar y ejecutar proyectos de infraestructura de Agua Potable y Saneamiento Basico </t>
  </si>
  <si>
    <t>ESTAMPILLA PRODESARROLLO</t>
  </si>
  <si>
    <t>GESTOR PAP-PDA</t>
  </si>
  <si>
    <t>02/23/2017</t>
  </si>
  <si>
    <t>04/23/2017</t>
  </si>
  <si>
    <t>Apoyar  veinte (20) proyectos de agua potable y saneamiento básico de acuerdo al plan de acompañamiento social</t>
  </si>
  <si>
    <t xml:space="preserve">N° de proyectos apoyados </t>
  </si>
  <si>
    <t>Ejecución del plan de acompañamiento social a los proyectos y obras de infraestructura de agua potable y saneamiento básico en el Departamento del Quindío</t>
  </si>
  <si>
    <t>Ejecutar el plan de aseguramiento social para los proyectos de agua potable y saneamiento básico Aguas del Departamento del Quindío</t>
  </si>
  <si>
    <t>Seguimiento a la socializacion de proyectos de Agua potable y Saneamiento Basico - Diseño de estrategias de participacion de la comunidad en los proyectos de agua potable y saneamiento basico</t>
  </si>
  <si>
    <t>Campanas de Socializacion</t>
  </si>
  <si>
    <t>Actualizar e implementar el plan ambiental para el sector de agua potable y saneamiento básico</t>
  </si>
  <si>
    <t>Un plan Ambiental Implementado y en Ejecución</t>
  </si>
  <si>
    <t>0308 - 5 - 3 1 1 1 2 3 26 - 27</t>
  </si>
  <si>
    <t>Actualización e implementación del  Plan Ambiental para el sector de agua potable y saneamiento básico en el Departamento del Quindío</t>
  </si>
  <si>
    <t>Ejecutar el Plan Ambiental para el sector agua potable y saneamiento básico deacuerdo al decreto 1077 de 2015 para la vigencia 2016 - 2019</t>
  </si>
  <si>
    <t>Preveer las fuentes de financiación de ley asociadas a est componente de los entes territoriales y la Corporación Autónoma Regional del Quindío, las Empresas Prestadoras de servicios públicos, exenciones tributarias, recursos de cooperación internacional, mecanismos de crédito y financiación, recursos de banca multilateral, entre otros - Definir el cumplimiento de los mínimos ambientales para los proyectos de acueducto, alcantarillado y aseo en el Plan ambiental para el sector de agua potable y saneamiento básico - Concertar obras e inversines entre el departamento, el gestor y la Corporación Autónoma Regional del Quindío on base en el diagnóstico del sector, la priorización de proyectos y las inversiones disponibles.</t>
  </si>
  <si>
    <t>Actualizacion e implementacion del Plan Ambiental para el Sector de Agua Potable y Saneamiento Basico.</t>
  </si>
  <si>
    <t>Ejecutar tres (3) proyectos para el aseguramiento de la prestación de los servicios públicos de agua potable y saneamiento básico urbano y rural</t>
  </si>
  <si>
    <t xml:space="preserve">N° de proyectos ejecutados para el aseguramiento de la prestación de servicios </t>
  </si>
  <si>
    <t>Ejecución del plan de aseguramiento de la prestación de los servicios públicos de agua potable y saneamiento básico urbano y rural en el Departamento del Quindío</t>
  </si>
  <si>
    <t xml:space="preserve">Ejecución del Plan de asegurameinto de la prestación de servicios públicos de agua potable y saneamiento básico urbano y rural en el departamento del Quindío </t>
  </si>
  <si>
    <t xml:space="preserve">Promover esquemas empresariales sostenibles en el corto, mediano y largo plazo </t>
  </si>
  <si>
    <t xml:space="preserve">Un plan de Aseguramiento de la prestación de servicios actualizado y en ejecución (INVERSIÓN) </t>
  </si>
  <si>
    <t xml:space="preserve">Contratar el grupo gestor del PAP-PDA Quindío  </t>
  </si>
  <si>
    <t>Contratar al grupo gestor del PAP-PDA Quindío (INVERSIÓN)</t>
  </si>
  <si>
    <t>Formular e implementar dos (2) proyectos para la gestión del riesgo del sector de agua potable y saneamiento básico. </t>
  </si>
  <si>
    <t xml:space="preserve">N° de proyectos ejecutados </t>
  </si>
  <si>
    <t>0308 - 5 - 3 1 1 1 2 3 27 - 27</t>
  </si>
  <si>
    <t>Formulación y ejecución de proyectos para la gestión del riesgo del sector de agua potable y saneamiento básico en el Departamento del Quindio.</t>
  </si>
  <si>
    <t>Formular y Ejecutar proyectos encaminados a la Gestion del Riesgo del Sector de Agua Potable y Saneamiento Basico en el  Departamento del Quindio durante la vigencia 2016.</t>
  </si>
  <si>
    <t xml:space="preserve">Planificar  adecuada mente los procesos para la mitigación de riesgos en la prestación del servicio de  ,agua potable y saneamiento básico a través del estudio de la gestión del riesgo y de la elaborción de un mapa de  zonificación del riesgo en el Departamento del Quindio  durante la vigencia  2016. </t>
  </si>
  <si>
    <t>Destinar  recursos de inversion en planes mantenimiento  con su correspondiente priorizacion a través de la estructuración priorizada de inversión por fases para la gestión del riesgo en el sector de agua potable y saneamiento básico e el Departamento del Quindío durante la vigencia 2016-</t>
  </si>
  <si>
    <t>ESTRUCTURACIÓN PRIORIZADA DE INVERSION POR FASES PARA LA GESTION DEL RIESGO EN EL SECTOR DE AGUA POTABLE Y SANEAMIENTO BÁSICO</t>
  </si>
  <si>
    <t>ELABORACIÓN DE UN MAPA DE ZONIFICACION DE RIESGO PARA EL SECTOR DE AGUA POTABLE Y SANEAMIENTO BÁSICO</t>
  </si>
  <si>
    <t xml:space="preserve">PROSPERIDAD CON EQUIDAD </t>
  </si>
  <si>
    <t xml:space="preserve">4. </t>
  </si>
  <si>
    <t>INFRAESTRUCTURA SOSTENIBLE PARA LA PAZ</t>
  </si>
  <si>
    <t>14.</t>
  </si>
  <si>
    <t>MEJORA DE LA INFRAESTRUCTURA VIAL DEL DEPARTAMENTO DEL QUINDIO</t>
  </si>
  <si>
    <t>Mantener, mejorar y/o rehabilitar ciento treinta (130) km de vías del Departamento para la implementación del Plan Vial Departamental.</t>
  </si>
  <si>
    <t>Km de vías del departamento mantenidas, mejoradas y/o rehabilitadas</t>
  </si>
  <si>
    <t xml:space="preserve">  0308 - 5 - 312 1 4919 - 23   0308-5 -312414919- 88  0308-53 112414919- 89</t>
  </si>
  <si>
    <t>MANTENER, MEJORAR, REHABILITAR Y/O ATENDER LAS VIAS Y SUS EMERGENCIAS, EN CUMPLIMIENTO DEL PLAN VIAL DEL DEPARTAMENTO DEL QUINDIO</t>
  </si>
  <si>
    <t>MANTENER, MEJORAR Y/O REHABILITAR LA INFRAESTRUCTURA VIAL DEL DEPARTAMENTO DEL QUINDÍO.</t>
  </si>
  <si>
    <t xml:space="preserve">Atender oportunamente y con calidad la infraestructura vial del departamento con mantenimiento y rehabilitación </t>
  </si>
  <si>
    <t>Adquisicion de Bienes y Servicios</t>
  </si>
  <si>
    <t>9. Transporte</t>
  </si>
  <si>
    <t>SOBRETASA ACPM (23) SUPERAVIT RECURSO ORDINARIO (88) SUPERAVIT SOBRETASA ACPM (89)</t>
  </si>
  <si>
    <t>SOBRETASA ACPM- SUPERAVIT SOBRETASA ACPM - SUPERAVIT RECURSO ORDINARIO.</t>
  </si>
  <si>
    <t>MARY CIELO SOLER CHACON</t>
  </si>
  <si>
    <t>02/15/2017</t>
  </si>
  <si>
    <t>0216/2017</t>
  </si>
  <si>
    <t>0616/2017</t>
  </si>
  <si>
    <t>05/16/2017</t>
  </si>
  <si>
    <t>Componente Tecnico</t>
  </si>
  <si>
    <t>MARY CIELO SOLER - PAULO CESAR RODRIGUEZ</t>
  </si>
  <si>
    <t>01/15/2017</t>
  </si>
  <si>
    <t>01/25/2017</t>
  </si>
  <si>
    <t>06/25/2017</t>
  </si>
  <si>
    <t>Obra Fisica</t>
  </si>
  <si>
    <t>03/15/2017</t>
  </si>
  <si>
    <t>Estudios</t>
  </si>
  <si>
    <t>04/15/2017</t>
  </si>
  <si>
    <t>Apoyar la atención de emergencias viales en los doce (12) Municipios del Departamento del Quindío.</t>
  </si>
  <si>
    <t>Numero de municipios con emergencias viales apoyados</t>
  </si>
  <si>
    <t>Atender oportuna y eficientemente las emergencias presentadas en el departamento del Quindìo</t>
  </si>
  <si>
    <t>Adqusicion de Bienes y Servicios</t>
  </si>
  <si>
    <t>Apoyo Institucional</t>
  </si>
  <si>
    <t>JOSE ORLANDO GUTIERREZ-MARY CIELO SOLER</t>
  </si>
  <si>
    <t>06/15/2017</t>
  </si>
  <si>
    <t xml:space="preserve">Realizar ocho (8) estudios y/o diseños para el mantenimiento, mejoramiento y/o rehabilitación de la infraestructura vial del departamento para la implementación del Plan Vial </t>
  </si>
  <si>
    <t>No.de Estudios y/o disenos realizados.</t>
  </si>
  <si>
    <t xml:space="preserve">Ejecutar actividades y procesos que permitan realizar control, seguimiento y veeduría ciudadan a los proyectos de agua potable y saneamiento básico. </t>
  </si>
  <si>
    <t>PROCESO SE DECLARO DESIERTO, EN ETAPA PRECONTRACTUAL EN EL MOMENTO.</t>
  </si>
  <si>
    <t>Ingenieria y Administracion</t>
  </si>
  <si>
    <t>01/302017</t>
  </si>
  <si>
    <t xml:space="preserve">15. </t>
  </si>
  <si>
    <t>MEJORA DE LA INFRAESTRUCTURA SOCIAL DEL DEPARTAMENTO DEL QUINDIO</t>
  </si>
  <si>
    <t>Mantener, mejorar y/o rehabilitar la Infraestructura de cuarenta y ocho (48) instituciones educativas en el departamento del Quindío.</t>
  </si>
  <si>
    <t>Numero de instituciones educativas mantenidas, mejoradas y/o rehabilitadas</t>
  </si>
  <si>
    <t>0308 - 5 - 3 12 4 15 15 21 - 04  0308 - 5 - 3 12 4 15 15 21 - 82</t>
  </si>
  <si>
    <t>REALIZAR ACCIONES ENCAMINADAS A MEJORAR LA INFRAESTRUCTURA SOCIAL, QUE PERMITA LA PRESTACIÓN DE SERVICIOS CON CALIDAD Y OPORTUNIDAD PARA AFRONTAR LA DESACELERACIÓN ECONÓMICA Y ALCANZAR EL RENACIMIENTO ECONÓMICO DEL DEPARTAMENTO DEL QUINDÍO.</t>
  </si>
  <si>
    <t>Mantener en buen estado la infraestructura y asequible la infraestructura social del departamento del Quindío</t>
  </si>
  <si>
    <t>15. Equipamiento</t>
  </si>
  <si>
    <t>EPD (04) RECURSO ORDINARIO (20) SUPERAVIT CAE LA PRIMAVERA (128)  SUPERAVIT EPD (82) SUPERAVIT RECURSO ORDINARIO (88)</t>
  </si>
  <si>
    <t>ESTAMPILLA PRODESARROLLO-SUPERAVIT ESTAMPILLA PRODESARROLLO</t>
  </si>
  <si>
    <t>BOLSA CAMIONETAS CON ADMINISTRATIVA EN FASE PRE-CONTRACTUAL</t>
  </si>
  <si>
    <t>MARY CIELO SOLER - YESICA RIOS- CARLOR HUGO LIZARAZO</t>
  </si>
  <si>
    <t>CARLOS HUGO LIZARAZO- JUAN MANUEL VALENCIA</t>
  </si>
  <si>
    <t>05/15/2017</t>
  </si>
  <si>
    <t>Apoyar la construcción, mejoramiento y/o rehabilitación de cuatro (4) obras de infraestructura de salud del departamento del Quindío</t>
  </si>
  <si>
    <t>Numero de instituciones de salud mejoradas y/o apoyadas</t>
  </si>
  <si>
    <t xml:space="preserve"> 0308 - 5 - 3 12 4 15 15 21 - 20</t>
  </si>
  <si>
    <t>EN FASE PRECONTRACTUAL</t>
  </si>
  <si>
    <t>Apoyar la construcción, mejoramiento y/o  rehabilitación de la infraestructura de doce (12) escenarios deportivos y/o recreativos en el departamento del Quindío</t>
  </si>
  <si>
    <t>Número de escenarios deportivo o recreativo  apoyado</t>
  </si>
  <si>
    <t>02/14/2017</t>
  </si>
  <si>
    <t>06/14/2017</t>
  </si>
  <si>
    <t>Asistencia Tecnica</t>
  </si>
  <si>
    <t>0/01/2017</t>
  </si>
  <si>
    <t>MARY CIELO SOLER</t>
  </si>
  <si>
    <t>02/20/2017</t>
  </si>
  <si>
    <t>05/20/2017</t>
  </si>
  <si>
    <t>05/31/2017</t>
  </si>
  <si>
    <t>Apoyar la construcción, el mantenimiento, el mejoramiento y/o la rehabilitación de la infraestructura de cuatro (4) equipamientos públicos y colectivos del Departamento del Quindío.</t>
  </si>
  <si>
    <t>Número de  equipamientos públcos  y colectivos rehabilitados</t>
  </si>
  <si>
    <t>Apoyar la construcción, el mantenimiento, el mejoramiento y/o la rehabilitación de cuatro (4) obras físicas de infraestructura de bienestar social, de seguridad y de justicia del Departamento del Quindío.</t>
  </si>
  <si>
    <t>Numero de obras físicas de infraestructura social apoyadas</t>
  </si>
  <si>
    <t xml:space="preserve"> 0308 - 5 - 3 12 4 15 15 21 - 20     0308 - 5 - 3 12 4 15 15 21 - 128    0308 - 5 - 3 12 4 15 15 21 - 88</t>
  </si>
  <si>
    <t>YESICA RIOS</t>
  </si>
  <si>
    <t>RECURSO ORDINARIO-SUPERAVIT RECURSO ORDINARIO</t>
  </si>
  <si>
    <t>JUAN MANUEL VALENCIA</t>
  </si>
  <si>
    <t>Apoyar la construcción, el mantenimiento, el mejoramiento y/o la rehabilitación de dos (2) obras físicas de infraestructura  Institucional o de edificios públicos del Departamento del Quindío.</t>
  </si>
  <si>
    <t>Numero de edificios públicos e infraestructura institucional apoyados</t>
  </si>
  <si>
    <t>Apoyar la construcción y  el mejoramiento de mil (1000) viviendas urbana y rural priorizada en el departamento del Quindío.</t>
  </si>
  <si>
    <t>Número de viviendas apoyadas</t>
  </si>
  <si>
    <t xml:space="preserve">Desarrollar tres (3) ejercicios de presupuesto participativo con la ciudadanía, para la priorización de recursos de infraestructura física en el Departamento </t>
  </si>
  <si>
    <t>Numero de ejercicios de presupuesto participativo realizados.</t>
  </si>
  <si>
    <t>SECRETARIA (E) DE  AGUAS E INFRAESTRUCTURA</t>
  </si>
  <si>
    <t>GOBERNACION DEL QUINDIO</t>
  </si>
  <si>
    <t>SEGUIMIENTO PLAN DE ACCIÓN 
SECRETARIA DE EDUCACION
A MARZO 31 DE 2017</t>
  </si>
  <si>
    <t>E(COMPROMISOS)</t>
  </si>
  <si>
    <t>E(OBLIGACIONES)</t>
  </si>
  <si>
    <t>Cobertura Educativa</t>
  </si>
  <si>
    <t>Acceso y Pemanencia</t>
  </si>
  <si>
    <t>Implementar un (1) plan, programa y/o proyecto para el acceso de niños, niñas y jóvenes en las instituciones educativas</t>
  </si>
  <si>
    <t>Número</t>
  </si>
  <si>
    <t>0314 - 5 - 3 1 3 5 16 1 84 - 20     0314 - 5 - 3 1 3 5 16 1 84 - 35     
0314-5-313516184-88
0314-5-313516184-134</t>
  </si>
  <si>
    <t xml:space="preserve">Fortalecimiento de las estrategias para el acceso,  permanencia y seguridad  de los niños, niñas y jóvenes en el  sistema  educativo del Departamento del Quindio. </t>
  </si>
  <si>
    <t xml:space="preserve"> Bajar  los indices de deserciòn escolar en el Deprtamento del Quindío</t>
  </si>
  <si>
    <t xml:space="preserve"> Garantizar el adecuado manteniniento en las Instituciones  y Sedes Educativas
</t>
  </si>
  <si>
    <t>Licitación - Vigilancia y Aseo</t>
  </si>
  <si>
    <t>Recurso Monopolio</t>
  </si>
  <si>
    <t>ANA LUISA RUIZ TEJADA</t>
  </si>
  <si>
    <t>1/02/207</t>
  </si>
  <si>
    <t>20/07/207</t>
  </si>
  <si>
    <t>ALVARO ARIAS VELASQUEZ, SECRETARIO DE EDUCACIÓN</t>
  </si>
  <si>
    <t>Extracción Minera</t>
  </si>
  <si>
    <t>Implementar el Programa de Alimentación Escolar (PAE) en el departamento del Quindío</t>
  </si>
  <si>
    <t>1404 - 5 - 3 1 3 5 16 1 84 - 81
0314 - 5 - 3 1 3 5 16 1 84 - 20     0314 - 5 - 3 1 3 5 16 1 84 - 35    
1404-5-313516184-137
0314-5-313516184-91 
1404-5-313516184-80</t>
  </si>
  <si>
    <t xml:space="preserve">Implementar un programa de alimentacion escolar para las Instituciones educativas del departamento del Quindio, con el fin de  disminuir los indices de deserciòn escolar  durante la vigencia 2017
</t>
  </si>
  <si>
    <t>Contratción Programa de Alimentación Escolar PAE</t>
  </si>
  <si>
    <t>Recurso Fondo de Educación PAE</t>
  </si>
  <si>
    <t>Rendimientos Financieros</t>
  </si>
  <si>
    <t>x</t>
  </si>
  <si>
    <t>Contratación Equipo PAE</t>
  </si>
  <si>
    <t>Implementar el programa de transporte escolar en el departamento del Quindio</t>
  </si>
  <si>
    <t xml:space="preserve">  0314 - 5 - 3 1 3 5 16 1 84 - 35</t>
  </si>
  <si>
    <t>Garantizar el transporte escolar a los niños, niñas, jóvenes y adolescentes de la zona rural de los 11 municipios no certificados del Departamento del Quindío para disminuir las distancias de desplazamiento y garantizar el acceso al sistema educ</t>
  </si>
  <si>
    <t>Transferencia de recursos 
Municipios Transporte</t>
  </si>
  <si>
    <t>21/03/207</t>
  </si>
  <si>
    <t>Educación inclusiva con acceso y permanencia para poblaciones vulnerables - diferenciales</t>
  </si>
  <si>
    <t>Atender cuatro mil quinientos (4.500)  personas de la población adulta del departamento (jóvenes y adultos, madres cabeza de hogar)</t>
  </si>
  <si>
    <t>0314-5-313517186-20
1404-5-313517186-25</t>
  </si>
  <si>
    <t>Implementación de estrategias de inclusión para garantizar la atención educativa a población vulnerable en el  Departamento del  Quindío.</t>
  </si>
  <si>
    <t>Aumentar la cobertura en el sistema educativo de poblacion adulta en  el departamento del quindio.</t>
  </si>
  <si>
    <t xml:space="preserve">Matriculatón
</t>
  </si>
  <si>
    <t>Diseñar e implementar una estrategia que permita disminuir la tasa de analfabetismo en los municipios del Departamento del Quindío</t>
  </si>
  <si>
    <t>Disminuir el indice de analfabetismo en el departamento del quindio.</t>
  </si>
  <si>
    <t>Atender cuatrocientos noventa (490) personas de la población étnica (Afro descendientes e indígenas)  en el sistema educativo en los diferentes niveles.</t>
  </si>
  <si>
    <t>Aumentar poblacion atendida en el sistema educativo de etcnias, afrodescendiente  e indigenas en el departamento del quindio.</t>
  </si>
  <si>
    <t>Conferencia-Taller Docentes en temas ETNO-EDUCACION</t>
  </si>
  <si>
    <t xml:space="preserve">
Encuentro Cultural de EtnoEducación
</t>
  </si>
  <si>
    <t>Matriculatón</t>
  </si>
  <si>
    <t xml:space="preserve">Atender dos mil quinientos setenta estudiantes (2570) en condición de población  victima del conflicto, residentes en el departamento del Quindío </t>
  </si>
  <si>
    <t>Aumentar atencion en el sistema educativo a  la poblacion victima del conflicto identificada en el departamento del Quindio.</t>
  </si>
  <si>
    <t>Atender  cuatrocientos cincuenta y cinco (455)  menores y/o adultos  que se encuentran en riesgo social    en conflicto con la ley penal,  iletrados, habitantes de frontera y/o menores  trabajadores.</t>
  </si>
  <si>
    <t>Bajar los indice de atencion en el sistema educativo de menores y/o adultos con situaciones penales, iletrados, menores trabajadores y habitante de fontera, en el deprtamentodel Quindio.</t>
  </si>
  <si>
    <t>Diseñar e implementar un plan para la caracterización y atención de la población en condiciones especiales y excepcionales del departa</t>
  </si>
  <si>
    <t>Elaborar plan de caractierizacion para la poblacion con nee y excepcionales, en el departamento del Quindio.</t>
  </si>
  <si>
    <t>SGP EDUCACIÓN</t>
  </si>
  <si>
    <t>CLARA INES BUITRAGO GUTIERREZ</t>
  </si>
  <si>
    <t>Contratación Interpretes de Señas</t>
  </si>
  <si>
    <t>Contratción Módelos Linguisticos</t>
  </si>
  <si>
    <t>Tercerización del Proceso</t>
  </si>
  <si>
    <t>Funcionamiento y prestación del servicio educativo de las instituciones educativas</t>
  </si>
  <si>
    <t>Sostener dos mil doscientos treinta y dos (2.232) docentes, directivos docentes y administrativos viabilizados por el ministerio de educación nacional vinculados a la secretaria de educación departamental</t>
  </si>
  <si>
    <t>1402-5-3135181
1403-5-3135181</t>
  </si>
  <si>
    <t>Aplicación funcionamiento y prestación del servicio educativo de las instituciones educativas</t>
  </si>
  <si>
    <t xml:space="preserve">Mejorar los niveles de eficiencia y eficacia en los procesos administrativos para la 
presentacion de los informes y/o reportes que garanticen la viabilidad ante el ministerio de educacion nacional de la planta docente, directivos docentes y administrativos de las institucinoes educativas oficiales del departamento del Quindío
</t>
  </si>
  <si>
    <t>Generar estrategias que garantice la sostenibilidad de la planta docente, directivos docentes y administratvos viabilizados por el ministerio de educación nacional vinculados a la secretaría de educación departamental</t>
  </si>
  <si>
    <t>Pago de la Planta Docente, gastos generales, transferencias</t>
  </si>
  <si>
    <t>SGP</t>
  </si>
  <si>
    <t>LEONARDO MORALES
ALVARO BETANCOURT</t>
  </si>
  <si>
    <t>Calidad Educativa</t>
  </si>
  <si>
    <t>Calidad Educativa para la Paz</t>
  </si>
  <si>
    <t xml:space="preserve">Mejorar el  índice sintético de calidad educativa (ISCE) en el nivel de básica primaria,  por encima del promedio nacional, en treinta  y seis  (36)  Instituciones Educativas oficiales </t>
  </si>
  <si>
    <t xml:space="preserve">Implementación de  estrategias para el mejoramiento continuo del indice sintetico de calidad educativa en los niveles de básica primaria, básica secundaria y nivel de media en el Departamento del Quindio 
</t>
  </si>
  <si>
    <t xml:space="preserve">iImplementa ción de estrategiasrpara el mejoramiento del  ndice sintetico de calidad educativa en los niveles de básica primaria, básica secundaria y nivel de media en el Departamento del Quindio </t>
  </si>
  <si>
    <t xml:space="preserve">Brindar acompañamiento a docentes de instituciones educativas del departamento del quindío con tutores del programa todos a  aprender </t>
  </si>
  <si>
    <t>Capacitación y Lógistica</t>
  </si>
  <si>
    <t>Capacitar a mil doscientos (1.200) docentes en estrategias para el mejoramiento del ISCE en el Departamento del Quindío</t>
  </si>
  <si>
    <t>0314-5-313619189-35
0314-5-313619189-91</t>
  </si>
  <si>
    <t>Capacitar a docentes en estrategias para el mejoramiento del Indice Sintético de Calidad Educativa en el Departamento del Quindío</t>
  </si>
  <si>
    <t>Capacitación y Lógistica
 (• Talleres MEN
• Red de coordinadores
• Refrigerios
• Almuerzos
• Material impreso
• Textos matemáticas y lenguaje
• Prensa escuela)</t>
  </si>
  <si>
    <t>0314-5-313619189-35</t>
  </si>
  <si>
    <t>MARIA EUGENIA RIVERA
HORACIO ECHEVERRY</t>
  </si>
  <si>
    <t xml:space="preserve">22/03/207
</t>
  </si>
  <si>
    <t>21/08/2017
6/04/2017</t>
  </si>
  <si>
    <t>Beneficiar a ochenta (80) docentes  con becas de posgrado</t>
  </si>
  <si>
    <t>0314-5-313619189-20</t>
  </si>
  <si>
    <t>Beneficiar a docentes de instituciones educativas del departamento del Quindío con becas de posgrado</t>
  </si>
  <si>
    <t>Seguimiento a Docentes Becas para la excelencia</t>
  </si>
  <si>
    <t xml:space="preserve">Apoyar quince (15) instituciones educativas participando en el programa todo a aprender </t>
  </si>
  <si>
    <t xml:space="preserve">Gestionar con el Ministerio de Educación nacional para la focalización  de nuevas instituciones educativas del departamento del quindío con el programa todos a aprender  </t>
  </si>
  <si>
    <t>Formación Taller PTA</t>
  </si>
  <si>
    <t>Brindar acompañamiento a doscientos treinta (230) docentes con  tutores PTA</t>
  </si>
  <si>
    <t>1404-5-313619189-80</t>
  </si>
  <si>
    <t xml:space="preserve">Brindar acompañamiento a docentes de instituciones educativas del departamento del quindío con tutores del programa todos a  aprender  </t>
  </si>
  <si>
    <t>Beneficiar a 4.700  estudiantes con el  Programas Todos  a Aprender</t>
  </si>
  <si>
    <t>Beneficiar a estudiantes de instituciones Educativas del departamento del quindío con el  Programa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</si>
  <si>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</si>
  <si>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</si>
  <si>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</si>
  <si>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</si>
  <si>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0314-5-313620190-20
0314-5313620190-91
1404-5-313620190-80</t>
  </si>
  <si>
    <t>Mejoramiento de ambientes escolares y  fortalecimiento de modelos educativos articuladores de la ciencia, los lenguajes, las artes y el deporte en el Departamento del Quindio</t>
  </si>
  <si>
    <t>Mejorar las condiciones de Infraestructura y de elementos  pedagógicos para la implementación de la jornada única y ambientes escolares para la Paz</t>
  </si>
  <si>
    <t>Fortalecer los comités de convivencia escolar en las 54 IE</t>
  </si>
  <si>
    <t>Contratación Profesionales Convivencia Escolar</t>
  </si>
  <si>
    <t>Depuración Encuesta 
"Convivencia Escolar"</t>
  </si>
  <si>
    <t>Aplicación de la Encuesta Convivencia Escolar NODO 1</t>
  </si>
  <si>
    <t>Aplicación de la Encuesta Convivencia Escolar NODO 2</t>
  </si>
  <si>
    <t>Aplicación de la Encuesta Convivencia Escolar NODO 3</t>
  </si>
  <si>
    <t>Aplicación de la Encuesta Convivencia Escolar NODO 4</t>
  </si>
  <si>
    <t>Reunión Comité Departamental de Convivencia Escolar</t>
  </si>
  <si>
    <t>Diseñar y ejecutar treinta (30)  proyectos educativos institucionales resignificados en el contexto de la paz y la jornada única</t>
  </si>
  <si>
    <t xml:space="preserve"> Resignificar los proyectos educativos institucionales en el contexto de la paz y la jornada única</t>
  </si>
  <si>
    <t>Acompañamiento a los Directores Docentes en el proceso de Resignificación de los PEI-Jornada Unica-Ingles-Directoras de Núcleo</t>
  </si>
  <si>
    <t>Diseñar e implementar la estrategia "escuela de padres" en treinta (30) instituciones educativa</t>
  </si>
  <si>
    <t>Diseñar e implementar la estrategia Escuela de Padres</t>
  </si>
  <si>
    <t>Reunión con Directores Docentes, Orientadores escolares con RED-PAZ seguimiento a las Instituciones vinculadas.</t>
  </si>
  <si>
    <t>Conformar y dotar   grupos culturales y artísticos en treinta (30)  instituciones educativas con  protagonismo en cada uno de los municipios</t>
  </si>
  <si>
    <t>Conformacion degrupos culturales artísticos en instituciones educativas</t>
  </si>
  <si>
    <t xml:space="preserve"> Compra de Instrumentos Músicales para conformar Grupos Artísticos</t>
  </si>
  <si>
    <t>Implementar el proyecto PRAE en treinta y seis (36)  instituciones educativas del departamento</t>
  </si>
  <si>
    <t>Implementarcion y fortalefcimiento del proyecto PRAE en instituciones educativas del Quindio</t>
  </si>
  <si>
    <t>Contratación Profesional - PRAES</t>
  </si>
  <si>
    <t>Realizar eventos académicos, investigativos y culturales, liderados por la Secretaría de Educación Departamental para el fortalecimiento de la calidad educativa, la convivencia, la paz, la formación ciudadana y pensamiento ambiental</t>
  </si>
  <si>
    <t>Apoyo a grupos culturales y artisticos de las Instituciones EducativasConformar y dotar grupos culturales artísticos en instituciones educativas</t>
  </si>
  <si>
    <t>Encuentro Cultural de Étnoeducación</t>
  </si>
  <si>
    <t>Recursos Monopolio</t>
  </si>
  <si>
    <t>Feria Concetar TIC</t>
  </si>
  <si>
    <t>Festival de Literatura y Escritura
NODO 1: Salento, Filandia y Circasia
NODO 2: Quimbaya, La Tebaida y Montenegro</t>
  </si>
  <si>
    <t>Festival de Literatura y Escritura
NODO 3: Génova, Buenavista y Córdoba, Pijao
NODO 4: Calarcá</t>
  </si>
  <si>
    <t>Festival  de Literatura y Escritura</t>
  </si>
  <si>
    <t xml:space="preserve">Implementar el  programa de  jornada única con el acceso y permanencia de veinte mil (20.000) estudiantes </t>
  </si>
  <si>
    <t>Implementacion  y Fortalecimiento de jornada única</t>
  </si>
  <si>
    <t>Inicio clases Jornada Unica
Reunión rectores Jornada Única</t>
  </si>
  <si>
    <t xml:space="preserve">Mantener, adecuar y/o construir la infraestructura ciento treinta (130) sedes de las instituciones educativas  </t>
  </si>
  <si>
    <t>Mejorar y rehabiliar la Infraestructura de Sedes Educativas del Quindìo</t>
  </si>
  <si>
    <t>Inicio Procesos de Tranferencia de Recursos para Pequeñas Intervenciones</t>
  </si>
  <si>
    <t>Dotación de implementos de mitigación, prevención y atención del riesgo, para el fortalecimiento del Plan Escolar de Gestión del Riesgo (PEGER) como parte del Proyecto Ambiental Escolar (PRAE)</t>
  </si>
  <si>
    <t xml:space="preserve">Dotar cincuenta y cuatro (54) instituciones educativas con material didáctico, mobiliario escolar y/o infraestructura tecnológica  </t>
  </si>
  <si>
    <t>Dotacion  de material didáctico, mobiliario escolar y/o infraestructura tecnológica</t>
  </si>
  <si>
    <t>Dotar Instituciones Educativas de Material Didàctico, Mobiliario Escolar  y/o Infraestructura Tecnològica</t>
  </si>
  <si>
    <t>Recrso Monopolio</t>
  </si>
  <si>
    <t>Implementar la jornada complementaria y/o unica que articule arte,deporte y cultura, en seis (6) municipios declarados en el sistema de alertas tempranas de la defensoría del pueblo</t>
  </si>
  <si>
    <t>Articulacion de la jornada complementaria y/o única con el arte el deporte y la cultura en los municipio declarados en el sistema de alertas tempranas de la defensoria del pueblo.</t>
  </si>
  <si>
    <t>Convenio Comfenalco</t>
  </si>
  <si>
    <t>Plan Departamental del Lectura y Escritura</t>
  </si>
  <si>
    <t xml:space="preserve">Implementar el programa "pásate a la biblioteca"  en treinta y seis (36)  instituciones educativas </t>
  </si>
  <si>
    <t>Implementación de  estrategias educativas en  lectura y escritura en las instituciones educativas en el Departamento del Quindío.</t>
  </si>
  <si>
    <t xml:space="preserve">Implementación de  estrategias para  el desarrollo de competencias  y habilidades en lectura y escritura de los docentes y estudiantes de las insituciones educativas del  Departamento del Quindio
</t>
  </si>
  <si>
    <t>Implementar el programa "pasate a la Biblioteca  en instituciones educativas del departamento del Quindio</t>
  </si>
  <si>
    <t>Contratacxión profesionales EN Literatuta y Escritura</t>
  </si>
  <si>
    <t xml:space="preserve">Dotar ciento cuarenta (140) sedes educativas con la colección semilla </t>
  </si>
  <si>
    <t>0314-5-313621191-20</t>
  </si>
  <si>
    <t xml:space="preserve"> Dotar sedes educativas del Departamento del Quindío con la colección semilla</t>
  </si>
  <si>
    <t>Inicio Proceso de Compra Colección Semilla</t>
  </si>
  <si>
    <t>Apoyar los  procesos de capacitación  de quinientos (500) docentes del departamento</t>
  </si>
  <si>
    <t>1404-5-313621191-25</t>
  </si>
  <si>
    <t>Apoyar los  procesos de capacitación  de docentes de instituciones educativas del departamento del quindío en estrategias de lectura y escritur</t>
  </si>
  <si>
    <t>Contratacion Personal - Profesionales en:
-  Inglés
- Español y Literatura
- Convivencia Escolar 
- PRAES</t>
  </si>
  <si>
    <t xml:space="preserve">Realizar seis (6)  festivales o encuentros de literatura y escritura el departamento </t>
  </si>
  <si>
    <t>Realizar festivales o encuentros de literatura y escritura dirigidos a estudiantes y docentes de instituciones educativas del  departamento del Quindío</t>
  </si>
  <si>
    <t>Festival de Literatura y Escritura
NODO 1: Salento, Filandia y Circasia
NODO 2: Quimbaya, La Tebaida y Montenegro
NODO 3: Génova, Buenavista y Córdoba, Pijao
NODO 4: Calarcá</t>
  </si>
  <si>
    <t>Funcionamiento de las Instituciones Educativas</t>
  </si>
  <si>
    <t xml:space="preserve">Contar con cincuenta y dos (52) instituciones educativas con  mayor eficiencia en la gestión de sus procesos y proyectos  ante la entidad  territorial y la Secretaria de Educación Departamental.
</t>
  </si>
  <si>
    <t>0314-5-313622193-35</t>
  </si>
  <si>
    <t>Mejoramiento de estrategias que permitan una mayor eficiencia en la gestion de procesos y proyectos de las instituciones educativas del Departamento del Quindio.</t>
  </si>
  <si>
    <t xml:space="preserve"> asistir tecnicamente a las instituciones educativas del departamento para mejorar los proceos administrativos para el manejo de los fondos educativos.</t>
  </si>
  <si>
    <t>debida ejecucion de los recursos de los fondos educativos</t>
  </si>
  <si>
    <t>Pertinencia e Innovación</t>
  </si>
  <si>
    <t>Quindío Bilingüe</t>
  </si>
  <si>
    <t>Apoyar cincuenta y cinco (55) docentes licenciados en lenguas modernas formados en ingles con  dominio B2</t>
  </si>
  <si>
    <t>0314 - 5 - 3 1 3 7 23 1 94 - 35</t>
  </si>
  <si>
    <t>Implementación de estrategias para el mejoramiento de las competencias en lengua extranjera en estudiantes y docentes de las instituciones educativas del Departamento del Quindío</t>
  </si>
  <si>
    <t>Aumentar el nivel de competencia en inglés de docentes y Directivos Docentes</t>
  </si>
  <si>
    <t>Aumentar la cualificación de los docentes de inglés en aspectos linguísticos y metodológicos</t>
  </si>
  <si>
    <t>Iniciar Proceso de Contratación Colombo Americano</t>
  </si>
  <si>
    <t>Cualificar la formación de ciento cincuenta (150) docentes de preescolar y básica primaria en inglés con dominio A2 y B1 y metodología para la enseñanza</t>
  </si>
  <si>
    <t>Capacitar docentes de  preescolar y básica primaria con dominio A2 y B1 en inglés</t>
  </si>
  <si>
    <t>Inciar Proceso de Contratación Colombo Americano</t>
  </si>
  <si>
    <t>Iniciar el proceso de bilinguismo  en niños  entre pre-escolar - quinto grado de primaria de colegios públicos en seis (6) municipios</t>
  </si>
  <si>
    <t>Dotar cincuenta y cuatro (54) instituciones educativas con herramientas audiovisuales para la enseñanza del ingles</t>
  </si>
  <si>
    <t>Dotar insitituciones educativas con herramientas audiovisuales</t>
  </si>
  <si>
    <t>Inicio proceso Precontractual adquisición herramientas audiovisuales para la enseñanza del Inglés</t>
  </si>
  <si>
    <t>Realizar siete (7)  concursos  para evaluar las competencias comunicativas en ingles de los estudiantes</t>
  </si>
  <si>
    <t>Realizar actividades de evaluación de competencias comunicativas en inglés a estudiantes</t>
  </si>
  <si>
    <t>Concurso de Deletreo Inglés
NODO 1: Salento, Filandia y Circasia
NODO 2: Quimbaya, La Tebaida y Montenegro</t>
  </si>
  <si>
    <t>Concurso de Deletreo Inglés
NODO 3: Génova, Buenavista y Córdoba, Pijao
NODO 4: Calarcá</t>
  </si>
  <si>
    <t>Final Departamental de Deletreo en Inglés</t>
  </si>
  <si>
    <t>Fortalecimiento de la Media Técnica</t>
  </si>
  <si>
    <t>Desarrollar doce (12) talleres para docentes en el uso de las TICs</t>
  </si>
  <si>
    <t>0314 - 5 - 3 1 3 7 24 1 95 - 20 
 0314 - 5 - 3 1 3 7 24 1 95 - 35</t>
  </si>
  <si>
    <t xml:space="preserve">Fortalecimiento de los niveles de educación  básica y media para la articulación con la educación terciaria en el Departamento del Quindio </t>
  </si>
  <si>
    <t>Mejorar los porcentajes de estudiantes con posibilidad de ingreso a la educación superior y etdh en el departamento del Quindío.</t>
  </si>
  <si>
    <t>Brindar a la población egresada de las instituciones educativas oficiales del departamento, meyores y mejores oportunidades para el ingreso a la educación terciaria</t>
  </si>
  <si>
    <t>Manejo de Contenidos y Redes LAN
Cronograma de Acompañamiento In Situ a Docentes para Uso y Apropiacion de TIC</t>
  </si>
  <si>
    <t>MARIA EUGENIA RIVERA</t>
  </si>
  <si>
    <t>Fortalecer cincuenta (50)   instituciones educativas en competencias básicas</t>
  </si>
  <si>
    <t>Contratación para Capacitación y Logistica de Talleres de Referentes, Planeación Curricular, Evaluación de los Aprendizajes</t>
  </si>
  <si>
    <t>Fortalecer cuarenta y siete (47) instituciones educativas con el programa de articulación con la educación superior y Educacion para el Trabajo y Desarrollo  Humano ETDH</t>
  </si>
  <si>
    <t>Reunión con Rectores de Universidades del Dpto del Quindío</t>
  </si>
  <si>
    <t>Implementar un Programa de Alimentación Escolar Universitario PAEU para estudiantes universitarios</t>
  </si>
  <si>
    <t>Iniaciar el Proceso - Convenio - Fundación Providencia</t>
  </si>
  <si>
    <t>ARLES LOPEZ ESPINOSA</t>
  </si>
  <si>
    <t>Implementar el programa de acceso y permanencia de la educación técnica, tecnologica y superior en el departamento del Quindío</t>
  </si>
  <si>
    <t>Iniciar con el Proceso Precontractual para Entrega de Becas a Estudianrtes Egresados de las I.E. Oficiales del Departamento</t>
  </si>
  <si>
    <t>Eficiencia Educativa</t>
  </si>
  <si>
    <t>Eficiencia y modernización administrativa</t>
  </si>
  <si>
    <t>Fortalecer, hacer seguimiento y auditar cuatro (4)  procesos certificados con que cuenta la Secretaria de Educación Departamental</t>
  </si>
  <si>
    <t>0314-5-313825196-20</t>
  </si>
  <si>
    <t xml:space="preserve">Fortalecimiento de los niveles de eficiencia administrativa en la Secretaría de Educación Departamental del Quindío </t>
  </si>
  <si>
    <t>Mejorar los niveles de eficiencia administrativa en la secretaría de educación departamental del Quindío</t>
  </si>
  <si>
    <t>Iimplementación de estrategias que garantice la eficiencia administrativa en la secretaría de educación departamental del Quindío</t>
  </si>
  <si>
    <t>Realizar la  auditoría ICONTEC, a los cuatro macroprocesos de educación</t>
  </si>
  <si>
    <t>Crear e implementar  en cincuenta y dos (52) instituciones educativas procesos presupuestales y financieros integrados</t>
  </si>
  <si>
    <t>Adquisición de software para la automatiación de procesos financieros en las instituciones educativas oficiales del departamento del Quindío</t>
  </si>
  <si>
    <t>Inicio  automatización  aplicativo para procesos presupuestales y Financieros</t>
  </si>
  <si>
    <t>Otros proyectos de conectividad</t>
  </si>
  <si>
    <t>Implementar y/o mejorar el sistema de conectividad en 200 sedes educativas oficiales en el departamento.</t>
  </si>
  <si>
    <t xml:space="preserve"> 1404 - 5 - 3 1 3 8 26 1 97 - 25</t>
  </si>
  <si>
    <t xml:space="preserve">Fortalecimiento de las herramientas tecnológicas en las Instituciones Educativas del Departamento del Quindío </t>
  </si>
  <si>
    <t>Ampliar la cobertura del servicio de conectividad en las sedes educativas oficiales del departamento del Quindiío</t>
  </si>
  <si>
    <t>Optimizar los procesos administrativos y los recursos económicos con destinación al servicio de conectividad de las sedes educativas del departamento.</t>
  </si>
  <si>
    <t>Iniciar el proceso de contratación para Conectividad de la Sedes Educativas</t>
  </si>
  <si>
    <t xml:space="preserve">SGP EDUCACICÓN </t>
  </si>
  <si>
    <t>SGP EDUCACION</t>
  </si>
  <si>
    <t>Funcionamiento y prestación de servicios del sector educativo del nivel central</t>
  </si>
  <si>
    <t>Realizar el pago oportuno al 100% de los funcionarios de la planta de  administrativos, docentes y directivos docentes del sector central</t>
  </si>
  <si>
    <t>Porcentaje</t>
  </si>
  <si>
    <t>1400 - 5 - 3 1 3 8 27 1  
1401 - 5 - 3 1 3 8 27 1</t>
  </si>
  <si>
    <t>Funcionamiento y Prestación de Servicios del Sector Educativo del nivel Central  en el Departamento del Quindio</t>
  </si>
  <si>
    <t>Mejorar los niveles de eficiencia en las actividades administrativas que garanticen de manera oportuna soluciones a las fallas e inconvenientes que se presentan en los procesos financieros de la secretaría de educación departamental del Quindío</t>
  </si>
  <si>
    <t>Generar estrategias que garantice la eficiencia en las actividades administrativas que garanticen de manera oportuna el pago de salarios, , prestaciones sociales, seguridad social y transferencias de nómina y gastos generales</t>
  </si>
  <si>
    <t>Pago Oportuno de los gastos de servicios personales, generales y tranferencias de la Planta Central</t>
  </si>
  <si>
    <t>Eficiencia administrativa y docente en la  gestión del bienestar laboral</t>
  </si>
  <si>
    <t>Realizar el reconocimiento a sesenta (60) docentes, directivos docentes y/o personal administrativo</t>
  </si>
  <si>
    <t>0314 - 5 - 3 1 3 8 28 1 100 - 20 0314 - 5 - 3 1 3 8 28 1 100 - 35</t>
  </si>
  <si>
    <t>Mejoramiento  de la gestión admnistrativa y docente para la eficiencia del bienestar laboral   del Departamento del Quindio</t>
  </si>
  <si>
    <t>Incrementar los niveles de eficiencia administrativa en los procesos relacionados con el bienestar laboral y calidad de vida de los funcionarios de la secretaría de educación departamental del Quindío</t>
  </si>
  <si>
    <t>Fomentar en los docentes, directivos docentes y administrativos de la seretaría de educación departamental del quindío sentido de pertenencia, mediante el reconocimiento de sus logros</t>
  </si>
  <si>
    <t>Premiación mejores docentes.</t>
  </si>
  <si>
    <t xml:space="preserve">09/06/2017
</t>
  </si>
  <si>
    <t>Realizar (ocho) 8 eventos y actividades culturales y recreativas, desarrolladas para los funcionarios del servicio educativo del departamento del Quindío</t>
  </si>
  <si>
    <t>Celebración día del Administrativo.</t>
  </si>
  <si>
    <t xml:space="preserve">Educación Inicial Integral </t>
  </si>
  <si>
    <t>Implementar  un (1)  programa de educación integral  a la primera infancia</t>
  </si>
  <si>
    <t>0314-5-3131657101-20</t>
  </si>
  <si>
    <t xml:space="preserve">Implementación del modelo de atención integral de la educación inicial en el Departamento del  Quindio. </t>
  </si>
  <si>
    <t>Aumentar la tasa de cobertura  de  niños y niñas en edad de transición en las instituciones  educativas del  departamento</t>
  </si>
  <si>
    <t>Compra de Kits Escolares para los grados de Preescolar en sedes educativas oficiales del Departamento</t>
  </si>
  <si>
    <t>ALVARO ARIAS VELASQUEZ</t>
  </si>
  <si>
    <t>SECRETARIO DE EDUCACION DEPARTAMENTAL</t>
  </si>
  <si>
    <t>SGTO PLAN DE ACCIÓN
PROMOTORA DE VIVIENDA DEL QUINDIO
A MARZO 31 DE 2017</t>
  </si>
  <si>
    <t>Infraestructura Sostenible para la Paz</t>
  </si>
  <si>
    <t>Mejora de la Infraestructura Vial del Departamento del Quindío</t>
  </si>
  <si>
    <t>Nro</t>
  </si>
  <si>
    <t>0211101_4
0211102_3</t>
  </si>
  <si>
    <t xml:space="preserve">Apoyo en la formulación y ejecucion de proyectos de vivienda, infraestructura y equipamientos colectivos y comunitarios en el Departamento del Quindio </t>
  </si>
  <si>
    <t xml:space="preserve">Disminuir el porcentaje de personas en situación de pobreza en el Departamento del Quindio.
</t>
  </si>
  <si>
    <t>Aumento de la cobertura  en los componentes de vivienda, infraestructura y equipamiento colectivo y comunitarioAumento de la cobertura  en los componentes de vivienda, infraestructura y equipamiento colectivo y comunitario.</t>
  </si>
  <si>
    <t xml:space="preserve">Fomentar la consolidación y/o ejecución de 12 proyectos u obras de desarrollo, infraestructura de redes y comunicaciones en el Departamento del Quindío </t>
  </si>
  <si>
    <t>EDP
IR</t>
  </si>
  <si>
    <t>Ingenieros y Arquitectos contratistas adcritos a ProviQuindio</t>
  </si>
  <si>
    <t>HERNAN MAURICIO CAÑAS  GERENTE</t>
  </si>
  <si>
    <t>Mejora de la Infraestructura  Social del Departamento del Quindío</t>
  </si>
  <si>
    <t xml:space="preserve">Desarrollo de Programas y Proyectos, en los componentes de vivienda, infraestructura, equipamiento colectivo y comunitario.
</t>
  </si>
  <si>
    <t>Escenarios Deportivos y Recreativos</t>
  </si>
  <si>
    <t>Instituciones Educativas</t>
  </si>
  <si>
    <t>Apoyar la construcción, el mantenimiento, el mejoramiento y/o la rehabilitación de la infraestructura de dos (2) equipamientos públicos y colectivos del Departamento del Quindío.</t>
  </si>
  <si>
    <t xml:space="preserve">Equipamientos </t>
  </si>
  <si>
    <t>construcción y/o mejoramiento de vivienda</t>
  </si>
  <si>
    <r>
      <t xml:space="preserve">0307 - 5 - 3 1 5 28 88 17 17 - </t>
    </r>
    <r>
      <rPr>
        <b/>
        <sz val="11"/>
        <rFont val="Arial"/>
        <family val="2"/>
      </rPr>
      <t xml:space="preserve">20 </t>
    </r>
    <r>
      <rPr>
        <sz val="11"/>
        <rFont val="Arial"/>
        <family val="2"/>
      </rPr>
      <t xml:space="preserve"> 0307 - 5 - 3 1 5 28 88 17 16 - 132   0307 - 5 - 3 1 5 28 88 17 16 - </t>
    </r>
    <r>
      <rPr>
        <b/>
        <sz val="11"/>
        <rFont val="Arial"/>
        <family val="2"/>
      </rPr>
      <t xml:space="preserve">15  </t>
    </r>
    <r>
      <rPr>
        <sz val="11"/>
        <rFont val="Arial"/>
        <family val="2"/>
      </rPr>
      <t xml:space="preserve">           0307 - 5 - 3 1 5 28 88 17 16 -</t>
    </r>
    <r>
      <rPr>
        <b/>
        <sz val="11"/>
        <rFont val="Arial"/>
        <family val="2"/>
      </rPr>
      <t xml:space="preserve"> 56  </t>
    </r>
    <r>
      <rPr>
        <sz val="11"/>
        <rFont val="Arial"/>
        <family val="2"/>
      </rPr>
      <t xml:space="preserve">        0307 - 5 - 3 1 5 28 88 17 16 - </t>
    </r>
    <r>
      <rPr>
        <b/>
        <sz val="11"/>
        <rFont val="Arial"/>
        <family val="2"/>
      </rPr>
      <t xml:space="preserve">88    </t>
    </r>
    <r>
      <rPr>
        <sz val="11"/>
        <rFont val="Arial"/>
        <family val="2"/>
      </rPr>
      <t xml:space="preserve">  0307 - 5 - 3 1 5 28 88 17 16 -</t>
    </r>
    <r>
      <rPr>
        <b/>
        <sz val="11"/>
        <rFont val="Arial"/>
        <family val="2"/>
      </rPr>
      <t xml:space="preserve"> 87</t>
    </r>
  </si>
  <si>
    <r>
      <t xml:space="preserve">Apoyar las actividades de la mesa Departamental de Victimas con enfoque diferencial, y análisis de sus  propuestas </t>
    </r>
    <r>
      <rPr>
        <b/>
        <sz val="11"/>
        <rFont val="Arial"/>
        <family val="2"/>
      </rPr>
      <t xml:space="preserve"> </t>
    </r>
  </si>
  <si>
    <t>Quindío territorio vital</t>
  </si>
  <si>
    <t>Generación de entornos favorables y sostenibilidad ambiental</t>
  </si>
  <si>
    <t xml:space="preserve">Implementar un (1)  Sistema de Gestión Ambiental Departamental SIGAD </t>
  </si>
  <si>
    <t>0312-5-311111064-20  /  0312-5-311111064-88</t>
  </si>
  <si>
    <t>Generación de entornos favorables y sostenibilidad ambiental para el Departamento del Quindío</t>
  </si>
  <si>
    <t xml:space="preserve">Mantener  de la oferta hídrica promedio anual  de las Unidades de Manejo de Cuenca (UMC) del departamento del Quindío, a través procesos de consevación y mantenimiento de las areas de protección ambiental y  apoyo insterinsticuional en el Departamento del Quindio </t>
  </si>
  <si>
    <t>Potencializar  el Sistema Departamental y municipal de áreas protegidas</t>
  </si>
  <si>
    <t xml:space="preserve">Realización de actividades SIGAD. Analisis de la información ambiental de los doce municipios </t>
  </si>
  <si>
    <t>OR</t>
  </si>
  <si>
    <t>Direccion de Desarrollo Sostenible</t>
  </si>
  <si>
    <t>CARLOS ALBERTO SOTO RAVE SECRETARIO DE AGRICULTURA, DESARROLLO RURAL Y MEDIO AMBIENTE</t>
  </si>
  <si>
    <t xml:space="preserve">Apoyar cuatro (4) planes de manejo de áreas protegidas del Departamento </t>
  </si>
  <si>
    <t>Actualización  planes de manejo de áreas protegidas del departamento</t>
  </si>
  <si>
    <t xml:space="preserve">Apoyar el Plan Departamental  para la Gestión Integral de la Biodiversidad y sus Servicios Ecosistémicos PDGIB 2013-2024  </t>
  </si>
  <si>
    <t>Adecuadar planificación para la sostenibilidad de los recursos naturales</t>
  </si>
  <si>
    <t>Gestión de la biodiversidad y sus servicios ecosistemicos PDGIB</t>
  </si>
  <si>
    <t>Diseñar y ejecutar una politica Departamental de uso racional de residuos solidos y uso eficiente de energia</t>
  </si>
  <si>
    <t>Realizar actividades de educación ambiental</t>
  </si>
  <si>
    <t xml:space="preserve">Desarrollar en (5) cinco de los sectores productivos del Departamento, actividades de producción más limpia y Buenas  Prácticas Ambientales (BPA) </t>
  </si>
  <si>
    <t xml:space="preserve">Acciones  de producción más limpia y Buenas  Prácticas Ambientales (BPA) en los sectores productivos </t>
  </si>
  <si>
    <t xml:space="preserve">Apoyar a los doce (12) municipios en las acciones de control y vigilancia de la explotación minera en coordinación con la autoridad ambiental </t>
  </si>
  <si>
    <t xml:space="preserve">Acompañamiento a los municipios en las acciones de control y vigilancia de la explotación minera en coordinación con la autoridad ambiental </t>
  </si>
  <si>
    <t>Manejo integral del agua y saneamiento básico</t>
  </si>
  <si>
    <t>Caracterizar los servicios ecosistémicos en seis  (6) cuencas de abastecimiento de los acueductos municipales con sus correspondientes acciones de mejoramiento</t>
  </si>
  <si>
    <t>0312-5-311121067-20</t>
  </si>
  <si>
    <t>Gestón integral de cuencas hirdográficas en el Departamento del Quindío</t>
  </si>
  <si>
    <t xml:space="preserve">Mantener  de la oferta hídrica promedio anual  de las Unidades de Manejo de Cuenca (UMC) del departamento del Quindío 
</t>
  </si>
  <si>
    <t xml:space="preserve">
Realizar y coordinar acciones de  recuperación y mantenimiento del recursos hídrico
</t>
  </si>
  <si>
    <t>Elaboracion de inventario de servicios ecosistemicos y diagnostico de los componentes de flora, fauna y recursos hidricos de 2 cuencas hidrograficas</t>
  </si>
  <si>
    <t>RO</t>
  </si>
  <si>
    <t xml:space="preserve">Direccion de Emprendimiento Rural </t>
  </si>
  <si>
    <t>CARLOS ALBERTO SOTO RAVE SECRETARIODE AGRICULTURA, DESARROLLO RURAL Y MEDIO AMBIENTE</t>
  </si>
  <si>
    <t xml:space="preserve">Crear e implementar el Fondo del Agua del Departamento del Quindío  </t>
  </si>
  <si>
    <t>Implementacion del fondo de agua del departamento del Quindio</t>
  </si>
  <si>
    <t>Bienes y servicios ambientales para las nuevas generaciones</t>
  </si>
  <si>
    <t xml:space="preserve">Conservar y restaurar seis (6) áreas de importancia estratégica para el recurso hídrico del Departamento </t>
  </si>
  <si>
    <t>0312-5-311131068-20  /  0312-5-311131068-88</t>
  </si>
  <si>
    <t>Aplicación de mecanismos de protección ambiental en el Departamento del Quindío.</t>
  </si>
  <si>
    <t xml:space="preserve">Mantener  de la oferta hídrica promedio anual  de las Unidades de Manejo de Cuenca (UMC) del departamento del Quindío </t>
  </si>
  <si>
    <t xml:space="preserve">Potencializar  el Sistema Departamental y municipal de áreas protegidas
</t>
  </si>
  <si>
    <t>Vigilancia, control y seguimiento a las áreas de protección</t>
  </si>
  <si>
    <t xml:space="preserve">Direccion de Emprendimento </t>
  </si>
  <si>
    <t>Recuperación y mantenimiento de  las  zonas deterioradas en las áreas de protección.</t>
  </si>
  <si>
    <t>Adecuación, remodelación y construcción de las viviendas</t>
  </si>
  <si>
    <t>Conservar para la sostenibilidad ambiental dos (2) cuencas de los municipios con declaratoria de Paisaje Cultural Cafetero PCC</t>
  </si>
  <si>
    <t>0312-5-311131069-20 /  0312-5-311131069-88</t>
  </si>
  <si>
    <t>Fortalecimiento  y potencialización de los servicios ecosistemicos en el Departamento del Quindío</t>
  </si>
  <si>
    <t>Disminuir en la presión por cargas contaminantes, medida por el Índice de Alteración Potencial de la Calidad del Agua (IACAL), a categoría “moderada”</t>
  </si>
  <si>
    <t xml:space="preserve">Mejorar en la calidad del agua en los sistemas hídricos  </t>
  </si>
  <si>
    <t>Suscribir Convenio PCC</t>
  </si>
  <si>
    <t xml:space="preserve">Intervenir cuencas hidrograficas </t>
  </si>
  <si>
    <t xml:space="preserve">Promover la creación y adopción  en los doce (12) municipios del departamento, de herramientas para el estímulo de incentivos a la conservación </t>
  </si>
  <si>
    <t xml:space="preserve">Evaluar incentivos a la conservación </t>
  </si>
  <si>
    <t>Restaurar con obras de bioingeniería veinte (20) Hectáreas o zonas críticas de riesgo.</t>
  </si>
  <si>
    <t>Determinar zonas críticas de riesgo</t>
  </si>
  <si>
    <t>Desarrollar treinta y un (31) estrategias de educación ambiental  en los espacios participativos, comunitarios y educativos del departamento</t>
  </si>
  <si>
    <t xml:space="preserve"> Planificar en los procesos de educación ambiental</t>
  </si>
  <si>
    <t>Desarrollar estrategias de educación ambiental</t>
  </si>
  <si>
    <t>Capacitar a doscientos cincuenta (250)   jóvenes,  mujeres, población vulnerable y con enfoque diferencial como líderes ambientales en el Departamento.</t>
  </si>
  <si>
    <t xml:space="preserve">Aumentar el número de multiplicadores ambientales  </t>
  </si>
  <si>
    <t xml:space="preserve">Formar multiplicadores ambientales </t>
  </si>
  <si>
    <t>Innovación para una caficultura sostenible en el departamento del Quindío</t>
  </si>
  <si>
    <t>Capacitar a cuatrocientos (400) caficultores del Departamento en producción limpia y sostenible con producción de café con taza limpia, catación, tostión y barismo</t>
  </si>
  <si>
    <t>0312-5-312241372-20</t>
  </si>
  <si>
    <t>Fortalecimiento e innovación empresarial de la caficultura en el Departamento del Quindío</t>
  </si>
  <si>
    <t xml:space="preserve">Generar las condiciones adecuadas para aumentar del crecimiento del PIB del Departamento del Quindío frente al PIB Nacional  a través de la participación en ruedas de negocios y eventos especializados para acceder a mercados Internacionales por parte del sector empresarial rural. </t>
  </si>
  <si>
    <t>Cadena productiva del café sin valos agregado</t>
  </si>
  <si>
    <t>Capacitación a caficultores en buenas prácticas agrícolas sostenible y aseguramiento de la calidad de café</t>
  </si>
  <si>
    <t>Direccion Agropecuaria</t>
  </si>
  <si>
    <t>Crear (6) seis grupos multiplicadores de conocimiento en emprendimiento y calidad del café  para jóvenes y mujeres rurales, campesinas y cafeteras</t>
  </si>
  <si>
    <t>Capacitación a productores en procesos que generen valor agregado al café, tostión, barismo y catación</t>
  </si>
  <si>
    <t xml:space="preserve">Capacitación a jóvenes y mujeres rurales en asociatividad, emprendimiento, en mejoramiento y aseguramiento de la calidad  </t>
  </si>
  <si>
    <t>Crear (1) portafolio de café origen Quindío a través de la valoración de 6000 predios</t>
  </si>
  <si>
    <t>Bajo nivel de conocimiento de los productores en producción limpia y sostenible con énfasis en calidad sensorial del café</t>
  </si>
  <si>
    <t xml:space="preserve">Visitas de asistencia tecnicas de caracterizacion a predios productores de café del Departamento del Quindio </t>
  </si>
  <si>
    <t>Toma de muestras de café y analisis de catación y perfilación a traves de convenios interadminitrativos y/o interinstitucionales.</t>
  </si>
  <si>
    <t>Promocion y divulgacion del portafolio de café origen</t>
  </si>
  <si>
    <t>Formalizar (1) un convenio interinstitucional para la inserción de los cafés de origen Quindío en los mercados nacionales e internacionales</t>
  </si>
  <si>
    <t xml:space="preserve">Convenio Interinstitucional </t>
  </si>
  <si>
    <t>Centros Agroindustriales Regionales para la Paz - CARPAZ</t>
  </si>
  <si>
    <t>Crear e implementar seis (6) núcleos de asistencia técnica y transferencia de tecnología en el sector agropecuario</t>
  </si>
  <si>
    <t>0312-5-312258176-20  /  0312-5-312258176-88</t>
  </si>
  <si>
    <t>Creacion e implementacion de los centros agroindustriales para  la paz CAPAZ en el Departamento del Quindio</t>
  </si>
  <si>
    <t>Equipara el crecimiento del PIB del Departamento del Quindío al PIB Nacional</t>
  </si>
  <si>
    <t>Mejorar  la productividad primaria agropecuaria</t>
  </si>
  <si>
    <t xml:space="preserve">Mejorar la asistencia tecnica y transferencia de tecnologia en el sector agropecuario </t>
  </si>
  <si>
    <t>Apoyar cinco (5) sectores productivos agropecuarios del Departamento en métodos de mercadeo que propicien innovación en los aspectos comerciales de los productos del Quindío</t>
  </si>
  <si>
    <t>Articular la demanda existente y la oferta efectiva</t>
  </si>
  <si>
    <t xml:space="preserve">Fortalecer los sectores productivos agropecuarios del departamento </t>
  </si>
  <si>
    <t>Crear  seis (6) centros logísticos  para la transformación agroindustrial - CARPAZ</t>
  </si>
  <si>
    <t>Brindar un sistema eficiente de prestación de servicios públicos</t>
  </si>
  <si>
    <t>Crear centros logisticos para la transformacion agroindustrial</t>
  </si>
  <si>
    <t>Capacitar seis (6) unidades agro empresariales de jóvenes y mujeres rurales</t>
  </si>
  <si>
    <t xml:space="preserve">Capacitar unidades agro empresariales de jovenes y mujeres rurales </t>
  </si>
  <si>
    <t>Crear e implementar el Fondo de Financiamiento de Desarrollo Rural - FIDER</t>
  </si>
  <si>
    <t>312-5-312258177-20</t>
  </si>
  <si>
    <t>Creación e implementación del Fondo de Financiamiento de Desarrollo Rural FIDER</t>
  </si>
  <si>
    <t xml:space="preserve">Mejoramiento  de las condiciones de acceso al financiamiento de los productores agropecuarios, mediante la creación de un fondo financiero para el desarrollo rural en el Departamento del Quindío </t>
  </si>
  <si>
    <t>Generación de procesos de apoyo financiero de facil acceso para  desarrollo del sector productivo rural</t>
  </si>
  <si>
    <t>Crear e implementar el fondo de financiamiento de desarrollo rural-FIDER</t>
  </si>
  <si>
    <t>Reactivar un instrumento de prevención por eventos naturales para productos agrícolas.</t>
  </si>
  <si>
    <t>312-5-312258175-20  /  312-5-312258175-88</t>
  </si>
  <si>
    <t>Implementacion de un instrumento para la Prevención de eventos naturales productos agricolas en e Departamento del Quindio</t>
  </si>
  <si>
    <t>Sostenibilidad de la produccion, mediante estrategias de mitigacion, para contrarrestar eventos y riesgos naturales en el sector agropecuario</t>
  </si>
  <si>
    <t xml:space="preserve">Reactivar un (1) instrumento de prevención por eventos naturlaes para productoa agricolas </t>
  </si>
  <si>
    <t>Eficiencia en el funcionamiento del instrumento de</t>
  </si>
  <si>
    <t>Emprendimiento y empleo rural</t>
  </si>
  <si>
    <t>Apoyar la formalización de empresas en cuatro (4)  sectores productivos agropecuarios del Departamento</t>
  </si>
  <si>
    <t>0312-5-312261375-20</t>
  </si>
  <si>
    <t xml:space="preserve">Fomento al emprendimiento y  al empleo rural en el Departamento del Quindío  </t>
  </si>
  <si>
    <t xml:space="preserve">Aumentar crecimiento del PIB del Departamento del Quindío a frente al PIB Nacional  </t>
  </si>
  <si>
    <t xml:space="preserve">Apoyar la formalización de empresas en los sectores productivos del Departamento, a través de la identificación, analisis y priorización de los potenciales emprendimientos rurales, con el fin de contribuir a generar condiciones para aumentar producto interno bruto el departamento durante la vigencia 2016 </t>
  </si>
  <si>
    <t>Prevención por eventos naturales</t>
  </si>
  <si>
    <t>Generar un apalancamiento a 100  iniciativas productivas rurales</t>
  </si>
  <si>
    <t>Realizar apálancamiento a las iniciativas productivas rurales, a través de procesos de acompañamiento a la consolidación  de ideas de negocio e implementación de garantias complementarias parael  facilitar el acceso a diferentes fuentes financiación con el fin de contribuir a generar condiciones para aumentar producto interno bruto el departamento durante la vigencia 2016</t>
  </si>
  <si>
    <t>Para productos agrícolas.</t>
  </si>
  <si>
    <t xml:space="preserve">Capacitar mil doscientos (1200)  jóvenes y mujeres rurales en actividades agrícolas y no agrícolas </t>
  </si>
  <si>
    <t xml:space="preserve">Capacitar a jóvenes y mujeres en actividades agricolas y no agricolas con procesos de seguimiento y evaluación en la generación de ideas y/o consolidación de negocios con el fin de contribuir a generar condiciones para aumentar producto interno bruto el departamento durante la vigencia 2016 </t>
  </si>
  <si>
    <t xml:space="preserve">Capacitar a jovenes y mujerres rurales en actividades agricolas y no agricolas </t>
  </si>
  <si>
    <t>Beneficiar a  dos mil cuatrocientas  (2400) mujeres rurales campesinas, personas en condición de vulnerabilidad y con enfoque diferencial en formación para el trabajo y el desarrollo humano</t>
  </si>
  <si>
    <t xml:space="preserve">Capacitar a mujeres rurales campesinas, personas en condiciones de vulnerabilidad y con enfoque diferencial en formación para el </t>
  </si>
  <si>
    <t>Formacion para el trabajo y desarrollo humano</t>
  </si>
  <si>
    <t>Impulso a la competitividad productiva y empresarial del sector Rural</t>
  </si>
  <si>
    <t>Apoyar (5) cinco sectores productivos del Departamento en ruedas de negocio</t>
  </si>
  <si>
    <t>0312-5-312271378-20  /  0312-5-312271378-88</t>
  </si>
  <si>
    <t>Fortalecimiento a la competitividad productiva y empresarial del sector rural en el Departamento del Quindio</t>
  </si>
  <si>
    <t>Crecimiento del PIB del departamento del Quindío frente al PIB Nacional</t>
  </si>
  <si>
    <t xml:space="preserve">Conocimiento de metodos no tradicionales de comercialización </t>
  </si>
  <si>
    <t>Apoyo a sectores productivos del departemento en ruedas de negocio</t>
  </si>
  <si>
    <t>Realizar (3) tres eventos  de capacitación para acceder a mercados internacionales</t>
  </si>
  <si>
    <t xml:space="preserve">Aumentar la divulgación de eventos especializados para acceder a mercados Internacionales </t>
  </si>
  <si>
    <t>Realizacion de eventos capacitacion para acceder a mercados internacionales</t>
  </si>
  <si>
    <t>Diseñar e implementar (1) un instrumento de planificación e información rural para la comercialización de productos transables</t>
  </si>
  <si>
    <t xml:space="preserve">Ejecucion de instrumento de planificacion e informacion rural para la comercializacion de productos transables </t>
  </si>
  <si>
    <t>Fomento a la Agricultura Familiar Campesina, agricultura urbana y mercados campesinos para la soberanía y  Seguridad alimentaria</t>
  </si>
  <si>
    <t>Diseñar e implementar un (1) programa de agricultura familiar campesina</t>
  </si>
  <si>
    <t>0312-5-3131134879-20  /  0312-5-3131134879-88</t>
  </si>
  <si>
    <t>Fomento a la agricultura familiar , urbana y  mercados campesinos para la soberanía y  Seguridad alimentaria en el Departamento del Quindio.</t>
  </si>
  <si>
    <t xml:space="preserve">Aumentar la producción de frutas y verduras para el auto consumo del Departamento del Quindío  a través de la implementación de un sistema de parcelas campesinas y comenrcio de excedentes </t>
  </si>
  <si>
    <t xml:space="preserve">Implementar programa de agricultura familiar campesina </t>
  </si>
  <si>
    <t>Apoyar la conformación de cuatro (4) alianzas para contratos de compra anticipada de productos de la agricultura familiar en el Departamento del Quindío</t>
  </si>
  <si>
    <t>Apoyar la conformación de cuatro (4) alianzas para contratos de compra anticipada de productos de la agricultura familiar en el departamento del Quindío</t>
  </si>
  <si>
    <t>Crear alianza para contratos de compra anticipada de productos agropecuarios de productores del departamento del Quindio</t>
  </si>
  <si>
    <t>Sembrar quinientas (500) Ha de productos de la canasta básica familiar para aumentar la disponibilidad de alimentos</t>
  </si>
  <si>
    <t xml:space="preserve">Incrementar la disponibilidad de alimentos de la canasta familiar producidas en el Quindo a travez de la siembra de nuevas hectareas </t>
  </si>
  <si>
    <t>Mejorar el estado nutricional de 1795 niños menor de 5 años y de 1531 niños de 6 a 18 años  en riesgo de desnutrición en el Departamento</t>
  </si>
  <si>
    <t xml:space="preserve">1795 -  1531 </t>
  </si>
  <si>
    <t>Mejorar el estado nutricional de 1795 niños menor de 5 años y de 1531 niños de 6 a 18 años  en riesgo de desnutrición en el departamento</t>
  </si>
  <si>
    <t>Mejorar el estado nutricional de niños menores de 5 años y de niños de 5 a 18 años en riesgo de desnutricion en  el departamento</t>
  </si>
  <si>
    <t>Beneficiar a 2400 familias urbanas y periurbanas con parcelas de agricultura familiar para autoconsumo y comercio de excedentes</t>
  </si>
  <si>
    <t xml:space="preserve">Establecer parcelas de agricultura familiar urbanas y priurbanas </t>
  </si>
  <si>
    <t>SECRETARIA DE AGRICULTURA</t>
  </si>
  <si>
    <t>CATALINA GOMEZ RESTREPO</t>
  </si>
  <si>
    <t>SECRETARIO DEL INTERIOR</t>
  </si>
  <si>
    <t>HECTOR ALBERTO MARIN RIOS</t>
  </si>
  <si>
    <t>JAMES GONZALEZ MATTA</t>
  </si>
  <si>
    <t>SECRETARIO DE CULTURA</t>
  </si>
  <si>
    <t>CARLOS ALBERTO SOTO RAVE</t>
  </si>
  <si>
    <t>SECRETARIO DE AGRICULTURA DESARROLLO RURAL Y MEDIO AMBIENTE</t>
  </si>
  <si>
    <t>Reunión comité Territorial de Formación Docente - Capacitación
Reunión lideres SIMAT</t>
  </si>
  <si>
    <t>Socialización de los componentes administrativos de la guia ministerial para el manejo de los recursos de los fondos educativos</t>
  </si>
  <si>
    <t>Capacitación de los procesos protocolizados en la guia ministerial</t>
  </si>
  <si>
    <t>Manual de procesos y procedimiento unificados por las Instituciones Educativas del Departamento del Quindío</t>
  </si>
  <si>
    <t>Impuesto al Registro)</t>
  </si>
  <si>
    <t>Estampilla Pro Desarrollo</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</si>
</sst>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_ [$€-2]\ * #,##0.00_ ;_ [$€-2]\ * \-#,##0.00_ ;_ [$€-2]\ * &quot;-&quot;??_ "/>
    <numFmt numFmtId="170" formatCode="dd/mm/yy;@"/>
    <numFmt numFmtId="171" formatCode="_-* #,##0_-;\-* #,##0_-;_-* &quot;-&quot;??_-;_-@_-"/>
    <numFmt numFmtId="172" formatCode="&quot;$&quot;#,##0"/>
    <numFmt numFmtId="173" formatCode="&quot;$&quot;#,##0.00"/>
    <numFmt numFmtId="174" formatCode="_(&quot;$&quot;\ * #,##0_);_(&quot;$&quot;\ * \(#,##0\);_(&quot;$&quot;\ * &quot;-&quot;??_);_(@_)"/>
    <numFmt numFmtId="175" formatCode="#,##0_ ;\-#,##0\ "/>
    <numFmt numFmtId="176" formatCode="_(* #,##0_);_(* \(#,##0\);_(* &quot;-&quot;??_);_(@_)"/>
    <numFmt numFmtId="177" formatCode="_(* #,##0.0_);_(* \(#,##0.0\);_(* &quot;-&quot;??_);_(@_)"/>
    <numFmt numFmtId="178" formatCode="&quot;$&quot;\ #,##0"/>
    <numFmt numFmtId="179" formatCode="dd/mm/yyyy;@"/>
    <numFmt numFmtId="180" formatCode="_-* #,##0.00\ _€_-;\-* #,##0.00\ _€_-;_-* &quot;-&quot;??\ _€_-;_-@_-"/>
    <numFmt numFmtId="181" formatCode="_ &quot;$&quot;\ * #,##0.00_ ;_ &quot;$&quot;\ * \-#,##0.00_ ;_ &quot;$&quot;\ * &quot;-&quot;??_ ;_ @_ "/>
    <numFmt numFmtId="182" formatCode="0.0"/>
    <numFmt numFmtId="183" formatCode="0.0%"/>
    <numFmt numFmtId="184" formatCode="#,##0.00_ ;\-#,##0.00\ "/>
    <numFmt numFmtId="185" formatCode="0.000"/>
    <numFmt numFmtId="186" formatCode="#,##0.0_ ;\-#,##0.0\ "/>
    <numFmt numFmtId="187" formatCode="#,##0.00_);\-#,##0.00"/>
    <numFmt numFmtId="188" formatCode="#,##0.00;[Red]#,##0.00"/>
    <numFmt numFmtId="189" formatCode="#,##0;[Red]#,##0"/>
    <numFmt numFmtId="190" formatCode="_-* #,##0.00\ &quot;€&quot;_-;\-* #,##0.00\ &quot;€&quot;_-;_-* &quot;-&quot;??\ &quot;€&quot;_-;_-@_-"/>
    <numFmt numFmtId="191" formatCode="0;[Red]0"/>
    <numFmt numFmtId="192" formatCode="&quot;$&quot;\ #,##0.00"/>
    <numFmt numFmtId="193" formatCode="#,##0_);\-#,##0"/>
    <numFmt numFmtId="194" formatCode="d/mm/yyyy;@"/>
    <numFmt numFmtId="195" formatCode="#,##0.0000"/>
    <numFmt numFmtId="196" formatCode="#,##0.000"/>
    <numFmt numFmtId="197" formatCode="_([$$-240A]\ * #,##0_);_([$$-240A]\ * \(#,##0\);_([$$-240A]\ * &quot;-&quot;_);_(@_)"/>
    <numFmt numFmtId="198" formatCode="#,##0.0"/>
    <numFmt numFmtId="199" formatCode="[$€-2]\ #,##0.00"/>
    <numFmt numFmtId="200" formatCode="_ [$€-2]\ * #,##0_ ;_ [$€-2]\ * \-#,##0_ ;_ [$€-2]\ * &quot;-&quot;??_ "/>
    <numFmt numFmtId="201" formatCode="_-* #,##0.0_-;\-* #,##0.0_-;_-* &quot;-&quot;_-;_-@_-"/>
    <numFmt numFmtId="202" formatCode="_-[$$-240A]* #,##0_-;\-[$$-240A]* #,##0_-;_-[$$-240A]* &quot;-&quot;_-;_-@_-"/>
    <numFmt numFmtId="203" formatCode="_-[$$-240A]* #,##0.00_-;\-[$$-240A]* #,##0.00_-;_-[$$-240A]* &quot;-&quot;??_-;_-@_-"/>
    <numFmt numFmtId="204" formatCode="_-[$$-240A]* #,##0_-;\-[$$-240A]* #,##0_-;_-[$$-240A]* &quot;-&quot;??_-;_-@_-"/>
    <numFmt numFmtId="205" formatCode="_([$$-240A]\ * #,##0.00_);_([$$-240A]\ * \(#,##0.00\);_([$$-240A]\ * &quot;-&quot;??_);_(@_)"/>
    <numFmt numFmtId="206" formatCode="_-[$$-240A]\ * #,##0.00_-;\-[$$-240A]\ * #,##0.00_-;_-[$$-240A]\ * &quot;-&quot;??_-;_-@_-"/>
  </numFmts>
  <fonts count="19"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b/>
      <sz val="10"/>
      <name val="Arial"/>
      <family val="2"/>
    </font>
    <font>
      <sz val="11"/>
      <color rgb="FF000000"/>
      <name val="Calibri"/>
      <family val="2"/>
    </font>
    <font>
      <b/>
      <sz val="11"/>
      <name val="Arial"/>
      <family val="2"/>
    </font>
    <font>
      <sz val="11"/>
      <name val="Arial"/>
      <family val="2"/>
    </font>
    <font>
      <sz val="11"/>
      <name val="Calibri"/>
      <family val="2"/>
      <scheme val="minor"/>
    </font>
    <font>
      <b/>
      <sz val="9"/>
      <color indexed="81"/>
      <name val="Tahoma"/>
      <family val="2"/>
    </font>
    <font>
      <sz val="9"/>
      <color indexed="81"/>
      <name val="Tahoma"/>
      <family val="2"/>
    </font>
    <font>
      <b/>
      <sz val="11"/>
      <color theme="1"/>
      <name val="Arial"/>
      <family val="2"/>
    </font>
    <font>
      <sz val="11"/>
      <color theme="1"/>
      <name val="Arial"/>
      <family val="2"/>
    </font>
    <font>
      <b/>
      <sz val="11"/>
      <name val="Arial Narrow"/>
      <family val="2"/>
    </font>
    <font>
      <sz val="11"/>
      <name val="Arial Narrow"/>
      <family val="2"/>
    </font>
    <font>
      <b/>
      <sz val="11"/>
      <name val="Times New Roman"/>
      <family val="1"/>
    </font>
    <font>
      <sz val="11"/>
      <name val="Times New Roman"/>
      <family val="1"/>
    </font>
    <font>
      <b/>
      <sz val="12"/>
      <name val="Arial"/>
      <family val="2"/>
    </font>
    <font>
      <sz val="12"/>
      <name val="Arial"/>
      <family val="2"/>
    </font>
  </fonts>
  <fills count="22">
    <fill>
      <patternFill patternType="none"/>
    </fill>
    <fill>
      <patternFill patternType="gray125"/>
    </fill>
    <fill>
      <patternFill patternType="solid">
        <fgColor indexed="9"/>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rgb="FFFFFFFF"/>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rgb="FFFFFFFF"/>
        <bgColor rgb="FF000000"/>
      </patternFill>
    </fill>
    <fill>
      <patternFill patternType="solid">
        <fgColor rgb="FFFF0000"/>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rgb="FF92D050"/>
        <bgColor indexed="64"/>
      </patternFill>
    </fill>
    <fill>
      <patternFill patternType="solid">
        <fgColor theme="8" tint="0.59999389629810485"/>
        <bgColor indexed="64"/>
      </patternFill>
    </fill>
    <fill>
      <patternFill patternType="solid">
        <fgColor theme="7"/>
        <bgColor indexed="64"/>
      </patternFill>
    </fill>
    <fill>
      <patternFill patternType="solid">
        <fgColor theme="6"/>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auto="1"/>
      </bottom>
      <diagonal/>
    </border>
    <border>
      <left/>
      <right style="thin">
        <color auto="1"/>
      </right>
      <top/>
      <bottom style="thin">
        <color auto="1"/>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s>
  <cellStyleXfs count="25">
    <xf numFmtId="0" fontId="0" fillId="0" borderId="0"/>
    <xf numFmtId="41" fontId="1" fillId="0" borderId="0" applyFont="0" applyFill="0" applyBorder="0" applyAlignment="0" applyProtection="0"/>
    <xf numFmtId="169" fontId="1" fillId="0" borderId="0"/>
    <xf numFmtId="9" fontId="2" fillId="0" borderId="0" applyFont="0" applyFill="0" applyBorder="0" applyAlignment="0" applyProtection="0"/>
    <xf numFmtId="43" fontId="2"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80" fontId="1" fillId="0" borderId="0" applyFont="0" applyFill="0" applyBorder="0" applyAlignment="0" applyProtection="0"/>
    <xf numFmtId="181" fontId="5" fillId="0" borderId="0"/>
    <xf numFmtId="167" fontId="1" fillId="0" borderId="0" applyFont="0" applyFill="0" applyBorder="0" applyAlignment="0" applyProtection="0"/>
    <xf numFmtId="164" fontId="1" fillId="0" borderId="0" applyFont="0" applyFill="0" applyBorder="0" applyAlignment="0" applyProtection="0"/>
    <xf numFmtId="190" fontId="2" fillId="0" borderId="0" applyFont="0" applyFill="0" applyBorder="0" applyAlignment="0" applyProtection="0"/>
    <xf numFmtId="9" fontId="2" fillId="0" borderId="0" applyFont="0" applyFill="0" applyBorder="0" applyAlignment="0" applyProtection="0"/>
    <xf numFmtId="0" fontId="3" fillId="0" borderId="0"/>
    <xf numFmtId="0" fontId="1" fillId="0" borderId="0"/>
    <xf numFmtId="43" fontId="2" fillId="0" borderId="0" applyFont="0" applyFill="0" applyBorder="0" applyAlignment="0" applyProtection="0"/>
    <xf numFmtId="164" fontId="3" fillId="0" borderId="0" applyFont="0" applyFill="0" applyBorder="0" applyAlignment="0" applyProtection="0"/>
    <xf numFmtId="0" fontId="3" fillId="0" borderId="0"/>
    <xf numFmtId="165" fontId="1" fillId="0" borderId="0" applyFont="0" applyFill="0" applyBorder="0" applyAlignment="0" applyProtection="0"/>
    <xf numFmtId="167"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4630">
    <xf numFmtId="0" fontId="0" fillId="0" borderId="0" xfId="0"/>
    <xf numFmtId="0" fontId="3" fillId="0" borderId="0" xfId="0" applyFont="1"/>
    <xf numFmtId="0" fontId="4" fillId="3" borderId="1" xfId="0" applyFont="1" applyFill="1" applyBorder="1" applyAlignment="1">
      <alignment vertical="center" wrapText="1"/>
    </xf>
    <xf numFmtId="0" fontId="3" fillId="0" borderId="1" xfId="0" applyFont="1" applyBorder="1" applyAlignment="1">
      <alignment horizontal="justify" vertical="center"/>
    </xf>
    <xf numFmtId="0" fontId="3" fillId="0" borderId="0" xfId="0" applyFont="1" applyAlignment="1"/>
    <xf numFmtId="1" fontId="3" fillId="0" borderId="0" xfId="0" applyNumberFormat="1" applyFont="1"/>
    <xf numFmtId="0" fontId="4" fillId="6" borderId="4" xfId="0" applyFont="1" applyFill="1" applyBorder="1" applyAlignment="1">
      <alignment horizontal="left" vertical="center"/>
    </xf>
    <xf numFmtId="0" fontId="4" fillId="6" borderId="4" xfId="0" applyFont="1" applyFill="1" applyBorder="1" applyAlignment="1">
      <alignment horizontal="center" vertical="center"/>
    </xf>
    <xf numFmtId="0" fontId="4" fillId="6" borderId="4" xfId="0" applyFont="1" applyFill="1" applyBorder="1" applyAlignment="1">
      <alignment horizontal="justify" vertical="center"/>
    </xf>
    <xf numFmtId="0" fontId="4" fillId="9" borderId="9" xfId="0" applyFont="1" applyFill="1" applyBorder="1" applyAlignment="1">
      <alignment horizontal="left" vertical="center"/>
    </xf>
    <xf numFmtId="0" fontId="3" fillId="9" borderId="4" xfId="0" applyFont="1" applyFill="1" applyBorder="1" applyAlignment="1">
      <alignment horizontal="left" vertical="center"/>
    </xf>
    <xf numFmtId="0" fontId="3" fillId="9" borderId="4" xfId="0" applyFont="1" applyFill="1" applyBorder="1" applyAlignment="1">
      <alignment vertical="center"/>
    </xf>
    <xf numFmtId="0" fontId="3" fillId="5" borderId="0" xfId="0" applyFont="1" applyFill="1"/>
    <xf numFmtId="0" fontId="3" fillId="5" borderId="1" xfId="0" applyFont="1" applyFill="1" applyBorder="1" applyAlignment="1">
      <alignment horizontal="justify"/>
    </xf>
    <xf numFmtId="0" fontId="4" fillId="10" borderId="2" xfId="0" applyFont="1" applyFill="1" applyBorder="1" applyAlignment="1">
      <alignment vertical="center"/>
    </xf>
    <xf numFmtId="0" fontId="4" fillId="10" borderId="2" xfId="0" applyFont="1" applyFill="1" applyBorder="1" applyAlignment="1">
      <alignment horizontal="justify" vertical="center"/>
    </xf>
    <xf numFmtId="0" fontId="4" fillId="10" borderId="2" xfId="0" applyFont="1" applyFill="1" applyBorder="1" applyAlignment="1">
      <alignment horizontal="center" vertical="center"/>
    </xf>
    <xf numFmtId="0" fontId="4" fillId="9" borderId="4" xfId="0" applyFont="1" applyFill="1" applyBorder="1" applyAlignment="1">
      <alignment vertical="center"/>
    </xf>
    <xf numFmtId="0" fontId="4" fillId="9" borderId="5" xfId="0" applyFont="1" applyFill="1" applyBorder="1" applyAlignment="1">
      <alignment horizontal="justify" vertical="center"/>
    </xf>
    <xf numFmtId="1" fontId="4" fillId="9" borderId="4" xfId="0" applyNumberFormat="1" applyFont="1" applyFill="1" applyBorder="1" applyAlignment="1">
      <alignment horizontal="center" vertical="center"/>
    </xf>
    <xf numFmtId="178" fontId="3" fillId="5" borderId="0" xfId="0" applyNumberFormat="1" applyFont="1" applyFill="1" applyAlignment="1">
      <alignment horizontal="center" vertical="center"/>
    </xf>
    <xf numFmtId="1" fontId="4" fillId="10" borderId="2" xfId="0" applyNumberFormat="1" applyFont="1" applyFill="1" applyBorder="1" applyAlignment="1">
      <alignment horizontal="center" vertical="center"/>
    </xf>
    <xf numFmtId="0" fontId="4" fillId="10" borderId="14" xfId="0" applyFont="1" applyFill="1" applyBorder="1" applyAlignment="1">
      <alignment horizontal="justify" vertical="center"/>
    </xf>
    <xf numFmtId="178" fontId="4" fillId="9" borderId="4" xfId="0" applyNumberFormat="1" applyFont="1" applyFill="1" applyBorder="1" applyAlignment="1">
      <alignment horizontal="right" vertical="center"/>
    </xf>
    <xf numFmtId="0" fontId="4" fillId="9" borderId="1" xfId="0" applyFont="1" applyFill="1" applyBorder="1" applyAlignment="1">
      <alignment horizontal="justify" vertical="center"/>
    </xf>
    <xf numFmtId="0" fontId="4" fillId="10" borderId="1" xfId="0" applyFont="1" applyFill="1" applyBorder="1" applyAlignment="1">
      <alignment horizontal="justify" vertical="center"/>
    </xf>
    <xf numFmtId="0" fontId="4" fillId="9" borderId="9" xfId="0" applyFont="1" applyFill="1" applyBorder="1" applyAlignment="1">
      <alignment vertical="center"/>
    </xf>
    <xf numFmtId="182" fontId="3" fillId="0" borderId="1" xfId="0"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5" borderId="0" xfId="0" applyFont="1" applyFill="1" applyAlignment="1">
      <alignment horizontal="justify" vertical="center"/>
    </xf>
    <xf numFmtId="0" fontId="3" fillId="5" borderId="0" xfId="0" applyFont="1" applyFill="1" applyAlignment="1">
      <alignment horizontal="center"/>
    </xf>
    <xf numFmtId="0" fontId="3" fillId="5" borderId="0" xfId="0" applyFont="1" applyFill="1" applyAlignment="1">
      <alignment horizontal="center" vertical="center"/>
    </xf>
    <xf numFmtId="179" fontId="3" fillId="0" borderId="0" xfId="0" applyNumberFormat="1" applyFont="1" applyFill="1" applyAlignment="1">
      <alignment horizontal="right" vertical="center"/>
    </xf>
    <xf numFmtId="179" fontId="3" fillId="0" borderId="0" xfId="0" applyNumberFormat="1" applyFont="1" applyAlignment="1">
      <alignment horizontal="center"/>
    </xf>
    <xf numFmtId="0" fontId="3" fillId="0" borderId="0" xfId="0" applyFont="1" applyAlignment="1">
      <alignment horizontal="justify" vertical="center"/>
    </xf>
    <xf numFmtId="1" fontId="3" fillId="5" borderId="0" xfId="0" applyNumberFormat="1" applyFont="1" applyFill="1" applyAlignment="1">
      <alignment horizontal="center" vertical="center"/>
    </xf>
    <xf numFmtId="178" fontId="3" fillId="5" borderId="0" xfId="0" applyNumberFormat="1" applyFont="1" applyFill="1" applyAlignment="1">
      <alignment vertical="center"/>
    </xf>
    <xf numFmtId="0" fontId="6" fillId="0" borderId="0" xfId="0" applyFont="1" applyBorder="1" applyAlignment="1">
      <alignment vertical="center" wrapText="1"/>
    </xf>
    <xf numFmtId="0" fontId="7" fillId="0" borderId="0" xfId="0" applyFont="1"/>
    <xf numFmtId="0" fontId="6" fillId="0" borderId="16" xfId="0" applyFont="1" applyBorder="1" applyAlignment="1">
      <alignment vertical="center" wrapText="1"/>
    </xf>
    <xf numFmtId="0" fontId="7" fillId="0" borderId="0" xfId="0" applyFont="1" applyAlignment="1">
      <alignment wrapText="1"/>
    </xf>
    <xf numFmtId="0" fontId="7" fillId="0" borderId="16" xfId="0" applyFont="1" applyBorder="1"/>
    <xf numFmtId="3" fontId="6" fillId="13" borderId="8" xfId="0" applyNumberFormat="1" applyFont="1" applyFill="1" applyBorder="1" applyAlignment="1">
      <alignment horizontal="center" vertical="center" wrapText="1"/>
    </xf>
    <xf numFmtId="0" fontId="6" fillId="3" borderId="8" xfId="0" applyFont="1" applyFill="1" applyBorder="1" applyAlignment="1">
      <alignment horizontal="center" vertical="center" wrapText="1"/>
    </xf>
    <xf numFmtId="179" fontId="6" fillId="13" borderId="8" xfId="0" applyNumberFormat="1"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4" xfId="0" applyFont="1" applyFill="1" applyBorder="1" applyAlignment="1">
      <alignment horizontal="left" vertical="center"/>
    </xf>
    <xf numFmtId="0" fontId="6" fillId="6" borderId="4" xfId="0" applyFont="1" applyFill="1" applyBorder="1" applyAlignment="1">
      <alignment horizontal="left" vertical="center" wrapText="1"/>
    </xf>
    <xf numFmtId="164" fontId="6" fillId="6" borderId="4" xfId="12" applyFont="1" applyFill="1" applyBorder="1" applyAlignment="1">
      <alignment horizontal="left" vertical="center" wrapText="1"/>
    </xf>
    <xf numFmtId="9" fontId="6" fillId="6" borderId="4" xfId="5" applyFont="1" applyFill="1" applyBorder="1" applyAlignment="1">
      <alignment horizontal="left" vertical="center" wrapText="1"/>
    </xf>
    <xf numFmtId="0" fontId="6" fillId="6" borderId="5" xfId="0" applyFont="1" applyFill="1" applyBorder="1" applyAlignment="1">
      <alignment horizontal="left" vertical="center" wrapText="1"/>
    </xf>
    <xf numFmtId="0" fontId="7" fillId="0" borderId="0" xfId="0" applyFont="1" applyFill="1"/>
    <xf numFmtId="0" fontId="6" fillId="10" borderId="3" xfId="0" applyFont="1" applyFill="1" applyBorder="1" applyAlignment="1">
      <alignment horizontal="center" vertical="center" wrapText="1"/>
    </xf>
    <xf numFmtId="0" fontId="6" fillId="10" borderId="4" xfId="0" applyFont="1" applyFill="1" applyBorder="1" applyAlignment="1">
      <alignment vertical="center"/>
    </xf>
    <xf numFmtId="0" fontId="6" fillId="10" borderId="0" xfId="0" applyFont="1" applyFill="1" applyBorder="1" applyAlignment="1">
      <alignment vertical="center"/>
    </xf>
    <xf numFmtId="164" fontId="6" fillId="10" borderId="0" xfId="12" applyFont="1" applyFill="1" applyBorder="1" applyAlignment="1">
      <alignment vertical="center"/>
    </xf>
    <xf numFmtId="9" fontId="6" fillId="10" borderId="0" xfId="5" applyFont="1" applyFill="1" applyBorder="1" applyAlignment="1">
      <alignment vertical="center"/>
    </xf>
    <xf numFmtId="0" fontId="6" fillId="10" borderId="20" xfId="0" applyFont="1" applyFill="1" applyBorder="1" applyAlignment="1">
      <alignment vertical="center"/>
    </xf>
    <xf numFmtId="0" fontId="6" fillId="9" borderId="3" xfId="0" applyFont="1" applyFill="1" applyBorder="1" applyAlignment="1">
      <alignment horizontal="center" vertical="center" wrapText="1"/>
    </xf>
    <xf numFmtId="164" fontId="6" fillId="9" borderId="4" xfId="12" applyFont="1" applyFill="1" applyBorder="1" applyAlignment="1">
      <alignment horizontal="left" vertical="center"/>
    </xf>
    <xf numFmtId="9" fontId="6" fillId="9" borderId="4" xfId="5" applyFont="1" applyFill="1" applyBorder="1" applyAlignment="1">
      <alignment horizontal="left" vertical="center"/>
    </xf>
    <xf numFmtId="0" fontId="6" fillId="9" borderId="21" xfId="0" applyFont="1" applyFill="1" applyBorder="1" applyAlignment="1">
      <alignment horizontal="left" vertical="center"/>
    </xf>
    <xf numFmtId="0" fontId="7" fillId="0" borderId="1" xfId="0" applyFont="1" applyFill="1" applyBorder="1" applyAlignment="1">
      <alignment horizontal="justify" vertical="center" wrapText="1"/>
    </xf>
    <xf numFmtId="178" fontId="7" fillId="5" borderId="1" xfId="13" applyNumberFormat="1" applyFont="1" applyFill="1" applyBorder="1" applyAlignment="1">
      <alignment horizontal="center" vertical="center" wrapText="1"/>
    </xf>
    <xf numFmtId="178" fontId="7" fillId="0" borderId="1" xfId="13" applyNumberFormat="1" applyFont="1" applyBorder="1" applyAlignment="1">
      <alignment horizontal="center" vertical="center" wrapText="1"/>
    </xf>
    <xf numFmtId="0" fontId="7" fillId="0" borderId="7" xfId="0" applyFont="1" applyFill="1" applyBorder="1" applyAlignment="1">
      <alignment horizontal="center" vertical="center" wrapText="1"/>
    </xf>
    <xf numFmtId="0" fontId="7" fillId="5" borderId="8" xfId="0" applyFont="1" applyFill="1" applyBorder="1" applyAlignment="1">
      <alignment vertical="center" wrapText="1"/>
    </xf>
    <xf numFmtId="164" fontId="7" fillId="5" borderId="1" xfId="12" applyFont="1" applyFill="1" applyBorder="1" applyAlignment="1">
      <alignment horizontal="center" vertical="center" wrapText="1"/>
    </xf>
    <xf numFmtId="164" fontId="7" fillId="0" borderId="1" xfId="12" applyFont="1" applyBorder="1" applyAlignment="1">
      <alignment horizontal="center" vertical="center" wrapText="1"/>
    </xf>
    <xf numFmtId="164" fontId="6" fillId="10" borderId="4" xfId="12" applyFont="1" applyFill="1" applyBorder="1" applyAlignment="1">
      <alignment horizontal="left" vertical="center"/>
    </xf>
    <xf numFmtId="9" fontId="6" fillId="10" borderId="4" xfId="5" applyFont="1" applyFill="1" applyBorder="1" applyAlignment="1">
      <alignment horizontal="left" vertical="center"/>
    </xf>
    <xf numFmtId="0" fontId="6" fillId="10" borderId="4" xfId="0" applyFont="1" applyFill="1" applyBorder="1" applyAlignment="1">
      <alignment horizontal="justify" vertical="center"/>
    </xf>
    <xf numFmtId="0" fontId="6" fillId="10" borderId="21" xfId="0" applyFont="1" applyFill="1" applyBorder="1" applyAlignment="1">
      <alignment horizontal="center" vertical="center"/>
    </xf>
    <xf numFmtId="0" fontId="6" fillId="9" borderId="4" xfId="0" applyFont="1" applyFill="1" applyBorder="1" applyAlignment="1">
      <alignment horizontal="justify" vertical="center"/>
    </xf>
    <xf numFmtId="0" fontId="6" fillId="9" borderId="21" xfId="0" applyFont="1" applyFill="1" applyBorder="1" applyAlignment="1">
      <alignment horizontal="center" vertical="center"/>
    </xf>
    <xf numFmtId="0" fontId="7" fillId="0" borderId="1" xfId="0" applyFont="1" applyFill="1" applyBorder="1" applyAlignment="1">
      <alignment vertical="center" wrapText="1"/>
    </xf>
    <xf numFmtId="0" fontId="7" fillId="5" borderId="1" xfId="0" applyFont="1" applyFill="1" applyBorder="1" applyAlignment="1">
      <alignment horizontal="justify" vertical="justify" wrapText="1"/>
    </xf>
    <xf numFmtId="0" fontId="6" fillId="9" borderId="2" xfId="0" applyFont="1" applyFill="1" applyBorder="1" applyAlignment="1">
      <alignment horizontal="left" vertical="center"/>
    </xf>
    <xf numFmtId="164" fontId="6" fillId="9" borderId="2" xfId="12" applyFont="1" applyFill="1" applyBorder="1" applyAlignment="1">
      <alignment horizontal="left" vertical="center"/>
    </xf>
    <xf numFmtId="9" fontId="6" fillId="9" borderId="2" xfId="5" applyFont="1" applyFill="1" applyBorder="1" applyAlignment="1">
      <alignment horizontal="left" vertical="center"/>
    </xf>
    <xf numFmtId="0" fontId="6" fillId="9" borderId="2" xfId="0" applyFont="1" applyFill="1" applyBorder="1" applyAlignment="1">
      <alignment horizontal="justify" vertical="center"/>
    </xf>
    <xf numFmtId="0" fontId="6" fillId="9" borderId="24" xfId="0" applyFont="1" applyFill="1" applyBorder="1" applyAlignment="1">
      <alignment horizontal="justify" vertical="center"/>
    </xf>
    <xf numFmtId="0" fontId="8" fillId="0" borderId="0" xfId="0" applyFont="1" applyFill="1" applyAlignment="1">
      <alignment horizontal="justify" vertical="center" wrapText="1"/>
    </xf>
    <xf numFmtId="0" fontId="6" fillId="9" borderId="21" xfId="0" applyFont="1" applyFill="1" applyBorder="1" applyAlignment="1">
      <alignment horizontal="justify" vertical="center"/>
    </xf>
    <xf numFmtId="0" fontId="7" fillId="5" borderId="1" xfId="0" applyFont="1" applyFill="1" applyBorder="1" applyAlignment="1">
      <alignment vertical="center" wrapText="1"/>
    </xf>
    <xf numFmtId="188" fontId="8" fillId="5" borderId="1" xfId="0" applyNumberFormat="1" applyFont="1" applyFill="1" applyBorder="1" applyAlignment="1">
      <alignment horizontal="center" vertical="center" wrapText="1"/>
    </xf>
    <xf numFmtId="188" fontId="8" fillId="0" borderId="1" xfId="0" applyNumberFormat="1" applyFont="1" applyFill="1" applyBorder="1" applyAlignment="1">
      <alignment horizontal="center" vertical="center" wrapText="1"/>
    </xf>
    <xf numFmtId="164" fontId="8" fillId="5" borderId="1" xfId="12" applyFont="1" applyFill="1" applyBorder="1" applyAlignment="1">
      <alignment horizontal="center" vertical="center" wrapText="1"/>
    </xf>
    <xf numFmtId="0" fontId="7" fillId="0" borderId="18" xfId="0" applyFont="1" applyFill="1" applyBorder="1" applyAlignment="1">
      <alignment vertical="center" wrapText="1"/>
    </xf>
    <xf numFmtId="0" fontId="7" fillId="5" borderId="8" xfId="0" applyFont="1" applyFill="1" applyBorder="1" applyAlignment="1">
      <alignment horizontal="justify" vertical="top" wrapText="1"/>
    </xf>
    <xf numFmtId="0" fontId="6" fillId="9" borderId="4" xfId="0" applyFont="1" applyFill="1" applyBorder="1" applyAlignment="1">
      <alignment horizontal="center" vertical="center"/>
    </xf>
    <xf numFmtId="0" fontId="6" fillId="9" borderId="26" xfId="0" applyFont="1" applyFill="1" applyBorder="1" applyAlignment="1">
      <alignment horizontal="justify" vertical="center"/>
    </xf>
    <xf numFmtId="0" fontId="7" fillId="5" borderId="1" xfId="0" applyFont="1" applyFill="1" applyBorder="1" applyAlignment="1">
      <alignment horizontal="justify" vertical="top" wrapText="1"/>
    </xf>
    <xf numFmtId="178" fontId="7" fillId="5" borderId="3" xfId="13" applyNumberFormat="1" applyFont="1" applyFill="1" applyBorder="1" applyAlignment="1">
      <alignment horizontal="center" vertical="center" wrapText="1"/>
    </xf>
    <xf numFmtId="178" fontId="7" fillId="5" borderId="13" xfId="13" applyNumberFormat="1" applyFont="1" applyFill="1" applyBorder="1" applyAlignment="1">
      <alignment horizontal="center" vertical="center" wrapText="1"/>
    </xf>
    <xf numFmtId="0" fontId="7" fillId="5" borderId="8" xfId="0" applyFont="1" applyFill="1" applyBorder="1" applyAlignment="1">
      <alignment horizontal="justify" vertical="justify" wrapText="1"/>
    </xf>
    <xf numFmtId="178" fontId="7" fillId="5" borderId="6" xfId="13" applyNumberFormat="1" applyFont="1" applyFill="1" applyBorder="1" applyAlignment="1">
      <alignment horizontal="center" vertical="center" wrapText="1"/>
    </xf>
    <xf numFmtId="189" fontId="7" fillId="10" borderId="4" xfId="13" applyNumberFormat="1" applyFont="1" applyFill="1" applyBorder="1" applyAlignment="1">
      <alignment vertical="center"/>
    </xf>
    <xf numFmtId="164" fontId="6" fillId="10" borderId="4" xfId="12" applyFont="1" applyFill="1" applyBorder="1" applyAlignment="1">
      <alignment vertical="center"/>
    </xf>
    <xf numFmtId="9" fontId="6" fillId="10" borderId="4" xfId="5" applyFont="1" applyFill="1" applyBorder="1" applyAlignment="1">
      <alignment vertical="center"/>
    </xf>
    <xf numFmtId="0" fontId="6" fillId="10" borderId="5" xfId="0" applyFont="1" applyFill="1" applyBorder="1" applyAlignment="1">
      <alignment horizontal="justify" vertical="center"/>
    </xf>
    <xf numFmtId="0" fontId="6" fillId="0" borderId="0" xfId="0" applyFont="1" applyAlignment="1">
      <alignment wrapText="1"/>
    </xf>
    <xf numFmtId="0" fontId="6" fillId="0" borderId="0" xfId="0" applyFont="1"/>
    <xf numFmtId="0" fontId="6" fillId="9" borderId="5" xfId="0" applyFont="1" applyFill="1" applyBorder="1" applyAlignment="1">
      <alignment vertical="center"/>
    </xf>
    <xf numFmtId="0" fontId="6" fillId="9" borderId="1" xfId="0" applyFont="1" applyFill="1" applyBorder="1" applyAlignment="1">
      <alignment vertical="center"/>
    </xf>
    <xf numFmtId="0" fontId="6" fillId="9" borderId="4" xfId="0" applyFont="1" applyFill="1" applyBorder="1" applyAlignment="1">
      <alignment vertical="center"/>
    </xf>
    <xf numFmtId="164" fontId="6" fillId="9" borderId="4" xfId="12" applyFont="1" applyFill="1" applyBorder="1" applyAlignment="1">
      <alignment vertical="center"/>
    </xf>
    <xf numFmtId="9" fontId="6" fillId="9" borderId="4" xfId="5" applyFont="1" applyFill="1" applyBorder="1" applyAlignment="1">
      <alignment vertical="center"/>
    </xf>
    <xf numFmtId="49" fontId="7" fillId="5" borderId="1" xfId="0" applyNumberFormat="1" applyFont="1" applyFill="1" applyBorder="1" applyAlignment="1">
      <alignment horizontal="justify" vertical="center" wrapText="1"/>
    </xf>
    <xf numFmtId="192" fontId="8" fillId="5" borderId="1" xfId="0" applyNumberFormat="1" applyFont="1" applyFill="1" applyBorder="1" applyAlignment="1">
      <alignment horizontal="center" vertical="center"/>
    </xf>
    <xf numFmtId="192" fontId="8" fillId="0" borderId="1" xfId="0" applyNumberFormat="1" applyFont="1" applyFill="1" applyBorder="1" applyAlignment="1">
      <alignment horizontal="center" vertical="center"/>
    </xf>
    <xf numFmtId="188" fontId="7" fillId="5" borderId="1" xfId="7" applyNumberFormat="1" applyFont="1" applyFill="1" applyBorder="1" applyAlignment="1">
      <alignment horizontal="center" vertical="center" wrapText="1" readingOrder="1"/>
    </xf>
    <xf numFmtId="193" fontId="7" fillId="5" borderId="1" xfId="0" applyNumberFormat="1" applyFont="1" applyFill="1" applyBorder="1" applyAlignment="1">
      <alignment horizontal="center" vertical="center"/>
    </xf>
    <xf numFmtId="0" fontId="8" fillId="5" borderId="1" xfId="0" applyFont="1" applyFill="1" applyBorder="1" applyAlignment="1">
      <alignment horizontal="justify" vertical="center" wrapText="1"/>
    </xf>
    <xf numFmtId="178" fontId="7" fillId="5" borderId="1" xfId="13" applyNumberFormat="1" applyFont="1" applyFill="1" applyBorder="1" applyAlignment="1">
      <alignment horizontal="center" vertical="center" wrapText="1" readingOrder="1"/>
    </xf>
    <xf numFmtId="187" fontId="7" fillId="5" borderId="1" xfId="0" applyNumberFormat="1" applyFont="1" applyFill="1" applyBorder="1" applyAlignment="1">
      <alignment horizontal="center" vertical="center"/>
    </xf>
    <xf numFmtId="0" fontId="6" fillId="9" borderId="3" xfId="0" applyFont="1" applyFill="1" applyBorder="1" applyAlignment="1">
      <alignment horizontal="center" vertical="center"/>
    </xf>
    <xf numFmtId="0" fontId="6" fillId="10" borderId="21" xfId="0" applyFont="1" applyFill="1" applyBorder="1" applyAlignment="1">
      <alignment horizontal="justify" vertical="center"/>
    </xf>
    <xf numFmtId="0" fontId="7" fillId="0" borderId="0" xfId="0" applyFont="1" applyFill="1" applyAlignment="1">
      <alignment wrapText="1"/>
    </xf>
    <xf numFmtId="164" fontId="7" fillId="5" borderId="3" xfId="12" applyFont="1" applyFill="1" applyBorder="1" applyAlignment="1">
      <alignment horizontal="center" vertical="center" wrapText="1"/>
    </xf>
    <xf numFmtId="0" fontId="7" fillId="5" borderId="5" xfId="0" applyFont="1" applyFill="1" applyBorder="1" applyAlignment="1">
      <alignment horizontal="center" vertical="center" wrapText="1"/>
    </xf>
    <xf numFmtId="3" fontId="7" fillId="5" borderId="1" xfId="0" applyNumberFormat="1" applyFont="1" applyFill="1" applyBorder="1" applyAlignment="1">
      <alignment horizontal="center" vertical="center"/>
    </xf>
    <xf numFmtId="168" fontId="7" fillId="0" borderId="1" xfId="0" applyNumberFormat="1" applyFont="1" applyFill="1" applyBorder="1" applyAlignment="1">
      <alignment horizontal="center" vertical="center" wrapText="1"/>
    </xf>
    <xf numFmtId="10" fontId="7" fillId="0" borderId="8" xfId="5" applyNumberFormat="1" applyFont="1" applyFill="1" applyBorder="1" applyAlignment="1">
      <alignment horizontal="center" vertical="center"/>
    </xf>
    <xf numFmtId="188" fontId="7" fillId="5" borderId="0" xfId="0" applyNumberFormat="1" applyFont="1" applyFill="1" applyBorder="1" applyAlignment="1">
      <alignment horizontal="center" vertical="center" wrapText="1"/>
    </xf>
    <xf numFmtId="178" fontId="7" fillId="5" borderId="15" xfId="13" applyNumberFormat="1" applyFont="1" applyFill="1" applyBorder="1" applyAlignment="1">
      <alignment horizontal="center" vertical="center" wrapText="1"/>
    </xf>
    <xf numFmtId="168" fontId="7" fillId="0" borderId="15" xfId="0" applyNumberFormat="1" applyFont="1" applyFill="1" applyBorder="1" applyAlignment="1">
      <alignment horizontal="center" vertical="center" wrapText="1"/>
    </xf>
    <xf numFmtId="178" fontId="6" fillId="0" borderId="31" xfId="0" applyNumberFormat="1" applyFont="1" applyFill="1" applyBorder="1" applyAlignment="1">
      <alignment horizontal="center" vertical="center" wrapText="1"/>
    </xf>
    <xf numFmtId="178" fontId="7" fillId="5" borderId="28" xfId="0" applyNumberFormat="1" applyFont="1" applyFill="1" applyBorder="1" applyAlignment="1">
      <alignment vertical="center" wrapText="1"/>
    </xf>
    <xf numFmtId="0" fontId="7" fillId="5" borderId="29" xfId="0" applyFont="1" applyFill="1" applyBorder="1" applyAlignment="1">
      <alignment vertical="center" wrapText="1"/>
    </xf>
    <xf numFmtId="0" fontId="7" fillId="5" borderId="30" xfId="0" applyFont="1" applyFill="1" applyBorder="1" applyAlignment="1">
      <alignment vertical="center" wrapText="1"/>
    </xf>
    <xf numFmtId="178" fontId="6" fillId="0" borderId="31" xfId="0" applyNumberFormat="1" applyFont="1" applyFill="1" applyBorder="1" applyAlignment="1">
      <alignment vertical="center" wrapText="1"/>
    </xf>
    <xf numFmtId="0" fontId="7" fillId="5" borderId="28" xfId="0" applyFont="1" applyFill="1" applyBorder="1" applyAlignment="1">
      <alignment vertical="center" wrapText="1"/>
    </xf>
    <xf numFmtId="164" fontId="7" fillId="5" borderId="32" xfId="12" applyFont="1" applyFill="1" applyBorder="1" applyAlignment="1">
      <alignment horizontal="center" vertical="center" wrapText="1"/>
    </xf>
    <xf numFmtId="9" fontId="7" fillId="5" borderId="32" xfId="5" applyFont="1" applyFill="1" applyBorder="1" applyAlignment="1">
      <alignment horizontal="center" vertical="center" wrapText="1"/>
    </xf>
    <xf numFmtId="0" fontId="7" fillId="0" borderId="0" xfId="0" applyNumberFormat="1" applyFont="1" applyAlignment="1">
      <alignment wrapText="1"/>
    </xf>
    <xf numFmtId="0" fontId="7" fillId="0" borderId="0" xfId="0" applyNumberFormat="1" applyFont="1" applyBorder="1" applyAlignment="1">
      <alignment horizontal="center" wrapText="1"/>
    </xf>
    <xf numFmtId="0" fontId="7" fillId="0" borderId="0" xfId="0" applyFont="1" applyFill="1" applyBorder="1" applyAlignment="1">
      <alignment vertical="center" wrapText="1"/>
    </xf>
    <xf numFmtId="0" fontId="7" fillId="5" borderId="0" xfId="0" applyFont="1" applyFill="1" applyBorder="1" applyAlignment="1">
      <alignment vertical="center" wrapText="1"/>
    </xf>
    <xf numFmtId="0" fontId="7" fillId="0" borderId="0" xfId="0" applyNumberFormat="1" applyFont="1" applyBorder="1" applyAlignment="1">
      <alignment wrapText="1"/>
    </xf>
    <xf numFmtId="0" fontId="7" fillId="0" borderId="0" xfId="0" applyFont="1" applyBorder="1" applyAlignment="1">
      <alignment wrapText="1"/>
    </xf>
    <xf numFmtId="178" fontId="6" fillId="0" borderId="0" xfId="0" applyNumberFormat="1" applyFont="1" applyBorder="1" applyAlignment="1">
      <alignment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178" fontId="7" fillId="0" borderId="0" xfId="0" applyNumberFormat="1" applyFont="1" applyAlignment="1">
      <alignment horizontal="center" vertical="center" wrapText="1"/>
    </xf>
    <xf numFmtId="164" fontId="7" fillId="0" borderId="0" xfId="12" applyFont="1"/>
    <xf numFmtId="9" fontId="7" fillId="0" borderId="0" xfId="5" applyFont="1"/>
    <xf numFmtId="0" fontId="7" fillId="5" borderId="33" xfId="0" applyFont="1" applyFill="1" applyBorder="1" applyAlignment="1">
      <alignment vertical="center" wrapText="1"/>
    </xf>
    <xf numFmtId="0" fontId="7" fillId="0" borderId="0" xfId="0" applyFont="1" applyAlignment="1">
      <alignment horizontal="center" vertical="center" wrapText="1"/>
    </xf>
    <xf numFmtId="0" fontId="7" fillId="0" borderId="0" xfId="0" applyNumberFormat="1" applyFont="1" applyAlignment="1">
      <alignment horizontal="center" wrapText="1"/>
    </xf>
    <xf numFmtId="178" fontId="7" fillId="0" borderId="0" xfId="0" applyNumberFormat="1" applyFont="1" applyBorder="1" applyAlignment="1">
      <alignment wrapText="1"/>
    </xf>
    <xf numFmtId="178" fontId="7" fillId="0" borderId="0" xfId="0" applyNumberFormat="1" applyFont="1"/>
    <xf numFmtId="178" fontId="7" fillId="0" borderId="0" xfId="0" applyNumberFormat="1" applyFont="1" applyAlignment="1">
      <alignment wrapText="1"/>
    </xf>
    <xf numFmtId="0" fontId="7" fillId="0" borderId="0" xfId="0" applyFont="1" applyAlignment="1">
      <alignment horizontal="justify" wrapText="1"/>
    </xf>
    <xf numFmtId="0" fontId="7" fillId="0" borderId="0" xfId="0" applyFont="1" applyAlignment="1">
      <alignment horizontal="center" wrapText="1"/>
    </xf>
    <xf numFmtId="0" fontId="7" fillId="0" borderId="0" xfId="0" applyFont="1" applyAlignment="1">
      <alignment horizontal="center"/>
    </xf>
    <xf numFmtId="0" fontId="6" fillId="0" borderId="19" xfId="0" applyFont="1" applyBorder="1" applyAlignment="1">
      <alignment vertical="center" wrapText="1"/>
    </xf>
    <xf numFmtId="0" fontId="6" fillId="0" borderId="17" xfId="0" applyFont="1" applyBorder="1" applyAlignment="1">
      <alignment vertical="center" wrapText="1"/>
    </xf>
    <xf numFmtId="0" fontId="6" fillId="0" borderId="16" xfId="0" applyFont="1" applyFill="1" applyBorder="1" applyAlignment="1">
      <alignment vertical="center" wrapText="1"/>
    </xf>
    <xf numFmtId="0" fontId="6" fillId="0" borderId="17" xfId="0" applyFont="1" applyFill="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6" fillId="0" borderId="13" xfId="0" applyFont="1" applyFill="1" applyBorder="1" applyAlignment="1">
      <alignment vertical="center" wrapText="1"/>
    </xf>
    <xf numFmtId="0" fontId="6" fillId="0" borderId="14" xfId="0" applyFont="1" applyFill="1" applyBorder="1" applyAlignment="1">
      <alignment vertical="center"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7" fillId="5" borderId="6" xfId="0" applyFont="1" applyFill="1" applyBorder="1" applyAlignment="1">
      <alignment vertical="center" wrapText="1"/>
    </xf>
    <xf numFmtId="0" fontId="7" fillId="5" borderId="7" xfId="0" applyFont="1" applyFill="1" applyBorder="1" applyAlignment="1">
      <alignment vertical="center" wrapText="1"/>
    </xf>
    <xf numFmtId="0" fontId="7" fillId="5" borderId="16" xfId="0" applyFont="1" applyFill="1" applyBorder="1" applyAlignment="1">
      <alignment vertical="center" wrapText="1"/>
    </xf>
    <xf numFmtId="0" fontId="7" fillId="5" borderId="17" xfId="0" applyFont="1" applyFill="1" applyBorder="1" applyAlignment="1">
      <alignment vertical="center" wrapText="1"/>
    </xf>
    <xf numFmtId="0" fontId="7" fillId="5" borderId="16" xfId="0" applyNumberFormat="1" applyFont="1" applyFill="1" applyBorder="1" applyAlignment="1">
      <alignment vertical="center" wrapText="1"/>
    </xf>
    <xf numFmtId="0" fontId="7" fillId="5" borderId="17" xfId="0" applyNumberFormat="1" applyFont="1" applyFill="1" applyBorder="1" applyAlignment="1">
      <alignment vertical="center" wrapText="1"/>
    </xf>
    <xf numFmtId="0" fontId="7" fillId="5" borderId="13" xfId="0" applyFont="1" applyFill="1" applyBorder="1" applyAlignment="1">
      <alignment vertical="center" wrapText="1"/>
    </xf>
    <xf numFmtId="0" fontId="7" fillId="5" borderId="14" xfId="0" applyFont="1" applyFill="1" applyBorder="1" applyAlignment="1">
      <alignment vertical="center" wrapText="1"/>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7" fillId="0" borderId="6" xfId="0" applyNumberFormat="1" applyFont="1" applyBorder="1" applyAlignment="1">
      <alignment vertical="center" wrapText="1"/>
    </xf>
    <xf numFmtId="0" fontId="7" fillId="0" borderId="7" xfId="0" applyNumberFormat="1" applyFont="1" applyBorder="1" applyAlignment="1">
      <alignment vertical="center" wrapText="1"/>
    </xf>
    <xf numFmtId="0" fontId="7" fillId="0" borderId="16" xfId="0" applyNumberFormat="1" applyFont="1" applyBorder="1" applyAlignment="1">
      <alignment vertical="center" wrapText="1"/>
    </xf>
    <xf numFmtId="0" fontId="7" fillId="0" borderId="17" xfId="0" applyNumberFormat="1" applyFont="1" applyBorder="1" applyAlignment="1">
      <alignment vertical="center" wrapText="1"/>
    </xf>
    <xf numFmtId="0" fontId="7" fillId="0" borderId="13" xfId="0" applyNumberFormat="1" applyFont="1" applyBorder="1" applyAlignment="1">
      <alignment vertical="center" wrapText="1"/>
    </xf>
    <xf numFmtId="0" fontId="7" fillId="0" borderId="14" xfId="0" applyNumberFormat="1" applyFont="1" applyBorder="1" applyAlignment="1">
      <alignment vertical="center" wrapText="1"/>
    </xf>
    <xf numFmtId="169" fontId="6" fillId="13" borderId="3" xfId="2" applyFont="1" applyFill="1" applyBorder="1" applyAlignment="1">
      <alignment vertical="center"/>
    </xf>
    <xf numFmtId="169" fontId="6" fillId="13" borderId="4" xfId="2" applyFont="1" applyFill="1" applyBorder="1" applyAlignment="1">
      <alignment vertical="center"/>
    </xf>
    <xf numFmtId="169" fontId="6" fillId="13" borderId="5" xfId="2" applyFont="1" applyFill="1" applyBorder="1" applyAlignment="1">
      <alignment vertical="center"/>
    </xf>
    <xf numFmtId="0" fontId="6" fillId="3" borderId="1" xfId="0" applyFont="1" applyFill="1" applyBorder="1" applyAlignment="1">
      <alignment vertical="center" wrapText="1"/>
    </xf>
    <xf numFmtId="178" fontId="6" fillId="3" borderId="1" xfId="2" applyNumberFormat="1" applyFont="1" applyFill="1" applyBorder="1" applyAlignment="1">
      <alignment horizontal="center" vertical="center" wrapText="1"/>
    </xf>
    <xf numFmtId="9" fontId="7" fillId="5" borderId="1" xfId="5" applyFont="1" applyFill="1" applyBorder="1" applyAlignment="1">
      <alignment horizontal="center" vertical="center" wrapText="1"/>
    </xf>
    <xf numFmtId="3" fontId="7" fillId="5" borderId="1" xfId="0" applyNumberFormat="1" applyFont="1" applyFill="1" applyBorder="1" applyAlignment="1">
      <alignment horizontal="justify" vertical="center" wrapText="1"/>
    </xf>
    <xf numFmtId="0" fontId="3" fillId="5" borderId="0" xfId="0" applyFont="1" applyFill="1" applyAlignment="1">
      <alignment horizontal="left"/>
    </xf>
    <xf numFmtId="0" fontId="7" fillId="5" borderId="0" xfId="0" applyFont="1" applyFill="1"/>
    <xf numFmtId="0" fontId="7" fillId="5" borderId="0" xfId="0" applyFont="1" applyFill="1" applyAlignment="1"/>
    <xf numFmtId="0" fontId="7" fillId="5" borderId="0" xfId="0" applyFont="1" applyFill="1" applyAlignment="1">
      <alignment horizontal="center" vertical="center"/>
    </xf>
    <xf numFmtId="3" fontId="7" fillId="5" borderId="0" xfId="0" applyNumberFormat="1" applyFont="1" applyFill="1" applyAlignment="1">
      <alignment horizontal="center" vertical="center"/>
    </xf>
    <xf numFmtId="0" fontId="7" fillId="5" borderId="0" xfId="0" applyFont="1" applyFill="1" applyAlignment="1">
      <alignment horizontal="justify"/>
    </xf>
    <xf numFmtId="0" fontId="7" fillId="5" borderId="0" xfId="0" applyFont="1" applyFill="1" applyAlignment="1">
      <alignment horizontal="justify" vertical="center"/>
    </xf>
    <xf numFmtId="3" fontId="7" fillId="5" borderId="0" xfId="0" applyNumberFormat="1" applyFont="1" applyFill="1" applyAlignment="1">
      <alignment horizontal="justify" vertical="center"/>
    </xf>
    <xf numFmtId="0" fontId="7" fillId="5" borderId="0" xfId="0" applyFont="1" applyFill="1" applyAlignment="1">
      <alignment horizontal="right" vertical="center"/>
    </xf>
    <xf numFmtId="170" fontId="7" fillId="5" borderId="0" xfId="0" applyNumberFormat="1" applyFont="1" applyFill="1" applyAlignment="1">
      <alignment horizontal="center"/>
    </xf>
    <xf numFmtId="0" fontId="7" fillId="5" borderId="0" xfId="0" applyFont="1" applyFill="1" applyAlignment="1">
      <alignment horizontal="left"/>
    </xf>
    <xf numFmtId="0" fontId="7" fillId="5" borderId="0" xfId="0" applyFont="1" applyFill="1" applyBorder="1"/>
    <xf numFmtId="49" fontId="7" fillId="5" borderId="0" xfId="0" applyNumberFormat="1" applyFont="1" applyFill="1"/>
    <xf numFmtId="9" fontId="6" fillId="5" borderId="1" xfId="5" applyFont="1" applyFill="1" applyBorder="1" applyAlignment="1">
      <alignment horizontal="center" vertical="center" wrapText="1"/>
    </xf>
    <xf numFmtId="3" fontId="6" fillId="5" borderId="1" xfId="0" applyNumberFormat="1" applyFont="1" applyFill="1" applyBorder="1" applyAlignment="1">
      <alignment horizontal="center" vertical="center" wrapText="1"/>
    </xf>
    <xf numFmtId="0" fontId="12" fillId="0" borderId="0" xfId="0" applyFont="1" applyFill="1" applyBorder="1" applyAlignment="1">
      <alignment horizontal="justify" vertical="center"/>
    </xf>
    <xf numFmtId="0" fontId="12" fillId="0" borderId="0" xfId="0" applyFont="1" applyFill="1" applyBorder="1" applyAlignment="1">
      <alignment horizontal="center" vertical="center"/>
    </xf>
    <xf numFmtId="44" fontId="12" fillId="0" borderId="0" xfId="0" applyNumberFormat="1" applyFont="1" applyFill="1" applyBorder="1" applyAlignment="1">
      <alignment horizontal="justify" vertical="center"/>
    </xf>
    <xf numFmtId="0" fontId="12" fillId="0" borderId="0" xfId="0" applyFont="1" applyFill="1" applyBorder="1" applyAlignment="1"/>
    <xf numFmtId="44" fontId="12" fillId="0" borderId="0" xfId="7" applyFont="1" applyFill="1" applyBorder="1" applyAlignment="1"/>
    <xf numFmtId="0" fontId="12" fillId="0" borderId="0" xfId="0" applyFont="1" applyFill="1" applyBorder="1"/>
    <xf numFmtId="9" fontId="12" fillId="0" borderId="0" xfId="5" applyFont="1" applyFill="1" applyBorder="1" applyAlignment="1"/>
    <xf numFmtId="0" fontId="12" fillId="0" borderId="0" xfId="0" applyFont="1" applyFill="1" applyBorder="1" applyAlignment="1">
      <alignment horizontal="right" vertical="center"/>
    </xf>
    <xf numFmtId="170" fontId="12" fillId="0" borderId="0" xfId="0" applyNumberFormat="1" applyFont="1" applyFill="1" applyBorder="1" applyAlignment="1">
      <alignment horizontal="center"/>
    </xf>
    <xf numFmtId="0" fontId="12" fillId="0" borderId="0" xfId="0" applyFont="1" applyFill="1" applyBorder="1" applyAlignment="1">
      <alignment horizontal="left"/>
    </xf>
    <xf numFmtId="164" fontId="12" fillId="0" borderId="0" xfId="0" applyNumberFormat="1" applyFont="1" applyFill="1" applyBorder="1" applyAlignment="1">
      <alignment horizontal="justify" vertical="center"/>
    </xf>
    <xf numFmtId="43" fontId="12" fillId="0" borderId="0" xfId="0" applyNumberFormat="1" applyFont="1" applyFill="1" applyBorder="1" applyAlignment="1">
      <alignment horizontal="justify" vertical="center"/>
    </xf>
    <xf numFmtId="174" fontId="12" fillId="0" borderId="0" xfId="0" applyNumberFormat="1" applyFont="1" applyFill="1" applyBorder="1" applyAlignment="1">
      <alignment horizontal="justify" vertical="center"/>
    </xf>
    <xf numFmtId="1" fontId="12" fillId="0" borderId="0" xfId="0" applyNumberFormat="1" applyFont="1" applyFill="1" applyBorder="1" applyAlignment="1"/>
    <xf numFmtId="0" fontId="11" fillId="0" borderId="0" xfId="0" applyFont="1" applyFill="1" applyBorder="1" applyAlignment="1">
      <alignment horizontal="justify" vertical="center"/>
    </xf>
    <xf numFmtId="178" fontId="12" fillId="0" borderId="0" xfId="0" applyNumberFormat="1" applyFont="1" applyFill="1" applyBorder="1" applyAlignment="1">
      <alignment horizontal="center" vertical="center"/>
    </xf>
    <xf numFmtId="176" fontId="12" fillId="0" borderId="0" xfId="0" applyNumberFormat="1" applyFont="1" applyFill="1" applyBorder="1" applyAlignment="1"/>
    <xf numFmtId="179" fontId="11" fillId="13" borderId="8" xfId="0" applyNumberFormat="1" applyFont="1" applyFill="1" applyBorder="1" applyAlignment="1">
      <alignment horizontal="center" vertical="center" wrapText="1"/>
    </xf>
    <xf numFmtId="0" fontId="12" fillId="0" borderId="0" xfId="0" applyFont="1"/>
    <xf numFmtId="0" fontId="12" fillId="0" borderId="0" xfId="0" applyFont="1" applyAlignment="1">
      <alignment horizontal="center"/>
    </xf>
    <xf numFmtId="0" fontId="12" fillId="0" borderId="0" xfId="0" applyFont="1" applyAlignment="1">
      <alignment horizontal="justify"/>
    </xf>
    <xf numFmtId="0" fontId="12" fillId="0" borderId="9" xfId="0" applyFont="1" applyBorder="1"/>
    <xf numFmtId="0" fontId="11" fillId="0" borderId="6" xfId="0" applyFont="1" applyBorder="1"/>
    <xf numFmtId="0" fontId="11" fillId="0" borderId="7" xfId="0" applyFont="1" applyBorder="1"/>
    <xf numFmtId="0" fontId="11" fillId="0" borderId="16" xfId="0" applyFont="1" applyBorder="1" applyAlignment="1">
      <alignment horizontal="left"/>
    </xf>
    <xf numFmtId="168" fontId="11" fillId="0" borderId="17" xfId="0" applyNumberFormat="1" applyFont="1" applyBorder="1" applyAlignment="1">
      <alignment horizontal="left"/>
    </xf>
    <xf numFmtId="0" fontId="11" fillId="0" borderId="16" xfId="0" applyFont="1" applyBorder="1"/>
    <xf numFmtId="17" fontId="11" fillId="0" borderId="17" xfId="0" applyNumberFormat="1" applyFont="1" applyBorder="1" applyAlignment="1">
      <alignment horizontal="left"/>
    </xf>
    <xf numFmtId="0" fontId="11" fillId="0" borderId="13" xfId="0" applyFont="1" applyBorder="1" applyAlignment="1">
      <alignment vertical="center"/>
    </xf>
    <xf numFmtId="3" fontId="11" fillId="2" borderId="14" xfId="0" applyNumberFormat="1" applyFont="1" applyFill="1" applyBorder="1" applyAlignment="1">
      <alignment horizontal="left" vertical="center" wrapText="1"/>
    </xf>
    <xf numFmtId="3" fontId="11" fillId="13" borderId="8" xfId="0" applyNumberFormat="1" applyFont="1" applyFill="1" applyBorder="1" applyAlignment="1">
      <alignment horizontal="center" vertical="center" wrapText="1"/>
    </xf>
    <xf numFmtId="0" fontId="11" fillId="0" borderId="0" xfId="0" applyFont="1" applyFill="1" applyAlignment="1"/>
    <xf numFmtId="0" fontId="11" fillId="13" borderId="15"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vertical="center" wrapText="1"/>
    </xf>
    <xf numFmtId="0" fontId="11" fillId="3" borderId="6" xfId="0" applyFont="1" applyFill="1" applyBorder="1" applyAlignment="1">
      <alignment horizontal="center" vertical="center" textRotation="255"/>
    </xf>
    <xf numFmtId="0" fontId="12" fillId="6" borderId="1" xfId="0" applyFont="1" applyFill="1" applyBorder="1" applyAlignment="1">
      <alignment horizontal="center" vertical="center"/>
    </xf>
    <xf numFmtId="0" fontId="12" fillId="0" borderId="0" xfId="0" applyFont="1" applyFill="1" applyAlignment="1"/>
    <xf numFmtId="0" fontId="11" fillId="10"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9" borderId="1" xfId="0" applyFont="1" applyFill="1" applyBorder="1" applyAlignment="1">
      <alignment vertical="center"/>
    </xf>
    <xf numFmtId="0" fontId="11" fillId="9" borderId="1" xfId="0" applyFont="1" applyFill="1" applyBorder="1" applyAlignment="1">
      <alignment horizontal="justify" vertical="center"/>
    </xf>
    <xf numFmtId="0" fontId="11" fillId="9" borderId="3" xfId="0" applyFont="1" applyFill="1" applyBorder="1" applyAlignment="1">
      <alignment vertical="center"/>
    </xf>
    <xf numFmtId="0" fontId="11" fillId="9" borderId="4" xfId="0" applyFont="1" applyFill="1" applyBorder="1" applyAlignment="1">
      <alignment vertical="center"/>
    </xf>
    <xf numFmtId="0" fontId="11" fillId="9" borderId="4" xfId="0" applyFont="1" applyFill="1" applyBorder="1" applyAlignment="1">
      <alignment horizontal="justify" vertical="center"/>
    </xf>
    <xf numFmtId="0" fontId="11" fillId="9" borderId="4" xfId="0" applyFont="1" applyFill="1" applyBorder="1" applyAlignment="1">
      <alignment horizontal="center" vertical="center"/>
    </xf>
    <xf numFmtId="0" fontId="12" fillId="9" borderId="4" xfId="0" applyFont="1" applyFill="1" applyBorder="1" applyAlignment="1">
      <alignment vertical="center"/>
    </xf>
    <xf numFmtId="0" fontId="12" fillId="9" borderId="5" xfId="0" applyFont="1" applyFill="1" applyBorder="1" applyAlignment="1">
      <alignment vertical="center"/>
    </xf>
    <xf numFmtId="0" fontId="12" fillId="0" borderId="1" xfId="0" applyFont="1" applyFill="1" applyBorder="1" applyAlignment="1">
      <alignment vertical="center"/>
    </xf>
    <xf numFmtId="176" fontId="12" fillId="0" borderId="1" xfId="4" applyNumberFormat="1" applyFont="1" applyFill="1" applyBorder="1" applyAlignment="1">
      <alignment vertical="center"/>
    </xf>
    <xf numFmtId="0" fontId="12" fillId="0" borderId="1" xfId="0" applyFont="1" applyFill="1" applyBorder="1" applyAlignment="1">
      <alignment horizontal="center" vertical="center"/>
    </xf>
    <xf numFmtId="0" fontId="11" fillId="9" borderId="1" xfId="0" applyFont="1" applyFill="1" applyBorder="1" applyAlignment="1">
      <alignment horizontal="left" vertical="center"/>
    </xf>
    <xf numFmtId="0" fontId="11" fillId="9" borderId="3" xfId="0" applyFont="1" applyFill="1" applyBorder="1" applyAlignment="1">
      <alignment horizontal="justify" vertical="center"/>
    </xf>
    <xf numFmtId="0" fontId="11" fillId="9" borderId="4" xfId="0" applyFont="1" applyFill="1" applyBorder="1" applyAlignment="1">
      <alignment horizontal="left" vertical="center"/>
    </xf>
    <xf numFmtId="0" fontId="12" fillId="9" borderId="4" xfId="0" applyFont="1" applyFill="1" applyBorder="1" applyAlignment="1">
      <alignment horizontal="left" vertical="center"/>
    </xf>
    <xf numFmtId="0" fontId="12" fillId="9" borderId="5" xfId="0" applyFont="1" applyFill="1" applyBorder="1" applyAlignment="1">
      <alignment horizontal="left" vertical="center"/>
    </xf>
    <xf numFmtId="4" fontId="12" fillId="9" borderId="4" xfId="0" applyNumberFormat="1" applyFont="1" applyFill="1" applyBorder="1" applyAlignment="1">
      <alignment horizontal="center" vertical="center"/>
    </xf>
    <xf numFmtId="0" fontId="12" fillId="0" borderId="0" xfId="0" applyFont="1" applyFill="1"/>
    <xf numFmtId="0" fontId="11" fillId="9" borderId="1" xfId="0" applyFont="1" applyFill="1" applyBorder="1" applyAlignment="1">
      <alignment horizontal="center" vertical="center"/>
    </xf>
    <xf numFmtId="0" fontId="12" fillId="9" borderId="1" xfId="0" applyFont="1" applyFill="1" applyBorder="1" applyAlignment="1">
      <alignment vertical="center"/>
    </xf>
    <xf numFmtId="192" fontId="12" fillId="5" borderId="1" xfId="0" applyNumberFormat="1" applyFont="1" applyFill="1" applyBorder="1" applyAlignment="1">
      <alignment horizontal="center" vertical="center" wrapText="1"/>
    </xf>
    <xf numFmtId="164" fontId="12" fillId="0" borderId="1" xfId="12" applyFont="1" applyFill="1" applyBorder="1" applyAlignment="1">
      <alignment horizontal="center" vertical="center" wrapText="1"/>
    </xf>
    <xf numFmtId="0" fontId="11" fillId="10" borderId="3" xfId="0" applyFont="1" applyFill="1" applyBorder="1" applyAlignment="1">
      <alignment vertical="center"/>
    </xf>
    <xf numFmtId="0" fontId="11" fillId="10" borderId="4" xfId="0" applyFont="1" applyFill="1" applyBorder="1" applyAlignment="1">
      <alignment vertical="center"/>
    </xf>
    <xf numFmtId="0" fontId="11" fillId="10" borderId="4" xfId="0" applyFont="1" applyFill="1" applyBorder="1" applyAlignment="1">
      <alignment horizontal="justify" vertical="center"/>
    </xf>
    <xf numFmtId="0" fontId="11" fillId="10" borderId="4" xfId="0" applyFont="1" applyFill="1" applyBorder="1" applyAlignment="1">
      <alignment horizontal="center" vertical="center"/>
    </xf>
    <xf numFmtId="0" fontId="12" fillId="10" borderId="4" xfId="0" applyFont="1" applyFill="1" applyBorder="1" applyAlignment="1">
      <alignment vertical="center"/>
    </xf>
    <xf numFmtId="0" fontId="12" fillId="10" borderId="5" xfId="0" applyFont="1" applyFill="1" applyBorder="1" applyAlignment="1">
      <alignment vertical="center"/>
    </xf>
    <xf numFmtId="192" fontId="12" fillId="5" borderId="1" xfId="0" applyNumberFormat="1" applyFont="1" applyFill="1" applyBorder="1" applyAlignment="1">
      <alignment vertical="center" wrapText="1"/>
    </xf>
    <xf numFmtId="0" fontId="11" fillId="10" borderId="18" xfId="0" applyFont="1" applyFill="1" applyBorder="1" applyAlignment="1">
      <alignment horizontal="center" vertical="center" wrapText="1"/>
    </xf>
    <xf numFmtId="0" fontId="11" fillId="10" borderId="13" xfId="0" applyFont="1" applyFill="1" applyBorder="1" applyAlignment="1">
      <alignment horizontal="left" vertical="center"/>
    </xf>
    <xf numFmtId="0" fontId="11" fillId="10" borderId="2" xfId="0" applyFont="1" applyFill="1" applyBorder="1" applyAlignment="1">
      <alignment horizontal="left" vertical="center"/>
    </xf>
    <xf numFmtId="0" fontId="11" fillId="10" borderId="2" xfId="0" applyFont="1" applyFill="1" applyBorder="1" applyAlignment="1">
      <alignment horizontal="justify" vertical="center"/>
    </xf>
    <xf numFmtId="0" fontId="11" fillId="10" borderId="2" xfId="0" applyFont="1" applyFill="1" applyBorder="1" applyAlignment="1">
      <alignment horizontal="center" vertical="center"/>
    </xf>
    <xf numFmtId="0" fontId="12" fillId="10" borderId="2" xfId="0" applyFont="1" applyFill="1" applyBorder="1" applyAlignment="1">
      <alignment horizontal="left" vertical="center"/>
    </xf>
    <xf numFmtId="0" fontId="12" fillId="10" borderId="14" xfId="0" applyFont="1" applyFill="1" applyBorder="1" applyAlignment="1">
      <alignment horizontal="left" vertical="center"/>
    </xf>
    <xf numFmtId="0" fontId="11" fillId="9" borderId="3" xfId="0" applyFont="1" applyFill="1" applyBorder="1" applyAlignment="1">
      <alignment horizontal="left" vertical="center"/>
    </xf>
    <xf numFmtId="0" fontId="11" fillId="9" borderId="9" xfId="0" applyFont="1" applyFill="1" applyBorder="1" applyAlignment="1">
      <alignment horizontal="left" vertical="center"/>
    </xf>
    <xf numFmtId="0" fontId="11" fillId="9" borderId="9" xfId="0" applyFont="1" applyFill="1" applyBorder="1" applyAlignment="1">
      <alignment horizontal="justify" vertical="center"/>
    </xf>
    <xf numFmtId="0" fontId="11" fillId="9" borderId="9" xfId="0" applyFont="1" applyFill="1" applyBorder="1" applyAlignment="1">
      <alignment horizontal="center" vertical="center"/>
    </xf>
    <xf numFmtId="0" fontId="12" fillId="9" borderId="9" xfId="0" applyFont="1" applyFill="1" applyBorder="1" applyAlignment="1">
      <alignment horizontal="left" vertical="center"/>
    </xf>
    <xf numFmtId="0" fontId="12" fillId="9" borderId="7" xfId="0" applyFont="1" applyFill="1" applyBorder="1" applyAlignment="1">
      <alignment horizontal="left" vertical="center"/>
    </xf>
    <xf numFmtId="0" fontId="12" fillId="0" borderId="8" xfId="0" applyFont="1" applyBorder="1" applyAlignment="1">
      <alignment horizontal="justify" vertical="center" wrapText="1" readingOrder="2"/>
    </xf>
    <xf numFmtId="0" fontId="12" fillId="0" borderId="8" xfId="0" applyFont="1" applyBorder="1" applyAlignment="1">
      <alignment horizontal="center" vertical="center" wrapText="1"/>
    </xf>
    <xf numFmtId="0" fontId="12" fillId="0" borderId="8" xfId="0" applyFont="1" applyFill="1" applyBorder="1" applyAlignment="1">
      <alignment wrapText="1"/>
    </xf>
    <xf numFmtId="3" fontId="11" fillId="0" borderId="31" xfId="0" applyNumberFormat="1" applyFont="1" applyBorder="1" applyAlignment="1">
      <alignment horizontal="right" vertical="center"/>
    </xf>
    <xf numFmtId="0" fontId="11" fillId="0" borderId="28" xfId="0" applyFont="1" applyBorder="1" applyAlignment="1">
      <alignment horizontal="justify" vertical="center"/>
    </xf>
    <xf numFmtId="0" fontId="11" fillId="0" borderId="29" xfId="0" applyFont="1" applyBorder="1" applyAlignment="1">
      <alignment horizontal="justify" vertical="center"/>
    </xf>
    <xf numFmtId="176" fontId="11" fillId="0" borderId="31" xfId="0" applyNumberFormat="1" applyFont="1" applyBorder="1" applyAlignment="1">
      <alignment horizontal="center" vertical="center"/>
    </xf>
    <xf numFmtId="0" fontId="11" fillId="0" borderId="28" xfId="0" applyFont="1" applyBorder="1" applyAlignment="1">
      <alignment vertical="center"/>
    </xf>
    <xf numFmtId="0" fontId="11" fillId="0" borderId="29" xfId="0" applyFont="1" applyBorder="1" applyAlignment="1">
      <alignment vertical="center"/>
    </xf>
    <xf numFmtId="0" fontId="11" fillId="0" borderId="0" xfId="0" applyFont="1" applyAlignment="1">
      <alignment vertical="center"/>
    </xf>
    <xf numFmtId="0" fontId="12" fillId="0" borderId="0" xfId="0" applyFont="1" applyAlignment="1">
      <alignment horizontal="right"/>
    </xf>
    <xf numFmtId="3" fontId="12" fillId="0" borderId="0" xfId="0" applyNumberFormat="1" applyFont="1" applyAlignment="1">
      <alignment horizontal="justify"/>
    </xf>
    <xf numFmtId="176" fontId="12" fillId="0" borderId="0" xfId="0" applyNumberFormat="1" applyFont="1" applyAlignment="1">
      <alignment horizontal="center"/>
    </xf>
    <xf numFmtId="176" fontId="12" fillId="0" borderId="0" xfId="0" applyNumberFormat="1" applyFont="1"/>
    <xf numFmtId="3" fontId="12" fillId="0" borderId="0" xfId="0" applyNumberFormat="1" applyFont="1" applyAlignment="1">
      <alignment horizontal="right"/>
    </xf>
    <xf numFmtId="0" fontId="11" fillId="0" borderId="9" xfId="0" applyFont="1" applyBorder="1" applyAlignment="1">
      <alignment horizontal="justify"/>
    </xf>
    <xf numFmtId="0" fontId="12" fillId="0" borderId="0" xfId="0" applyFont="1" applyBorder="1"/>
    <xf numFmtId="0" fontId="6" fillId="0" borderId="1" xfId="0" applyFont="1" applyBorder="1"/>
    <xf numFmtId="168" fontId="6" fillId="0" borderId="1" xfId="0" applyNumberFormat="1" applyFont="1" applyBorder="1" applyAlignment="1">
      <alignment horizontal="left"/>
    </xf>
    <xf numFmtId="17" fontId="6" fillId="0" borderId="1" xfId="0" applyNumberFormat="1" applyFont="1" applyBorder="1" applyAlignment="1">
      <alignment horizontal="left"/>
    </xf>
    <xf numFmtId="3" fontId="6" fillId="2" borderId="1" xfId="0" applyNumberFormat="1" applyFont="1" applyFill="1" applyBorder="1" applyAlignment="1">
      <alignment horizontal="left" vertical="center" wrapText="1"/>
    </xf>
    <xf numFmtId="178" fontId="4" fillId="10" borderId="2" xfId="0" applyNumberFormat="1" applyFont="1" applyFill="1" applyBorder="1" applyAlignment="1">
      <alignment vertical="center"/>
    </xf>
    <xf numFmtId="178" fontId="4" fillId="10" borderId="2" xfId="0" applyNumberFormat="1" applyFont="1" applyFill="1" applyBorder="1" applyAlignment="1">
      <alignment horizontal="center" vertical="center"/>
    </xf>
    <xf numFmtId="10" fontId="4" fillId="10" borderId="2" xfId="0" applyNumberFormat="1" applyFont="1" applyFill="1" applyBorder="1" applyAlignment="1">
      <alignment horizontal="center" vertical="center"/>
    </xf>
    <xf numFmtId="178" fontId="4" fillId="9" borderId="4" xfId="0" applyNumberFormat="1" applyFont="1" applyFill="1" applyBorder="1" applyAlignment="1">
      <alignment vertical="center"/>
    </xf>
    <xf numFmtId="178" fontId="4" fillId="9" borderId="4" xfId="0" applyNumberFormat="1" applyFont="1" applyFill="1" applyBorder="1" applyAlignment="1">
      <alignment horizontal="center" vertical="center"/>
    </xf>
    <xf numFmtId="10" fontId="4" fillId="9" borderId="4" xfId="0" applyNumberFormat="1" applyFont="1" applyFill="1" applyBorder="1" applyAlignment="1">
      <alignment horizontal="center" vertical="center"/>
    </xf>
    <xf numFmtId="0" fontId="4" fillId="9" borderId="2" xfId="0" applyFont="1" applyFill="1" applyBorder="1" applyAlignment="1">
      <alignment vertical="center"/>
    </xf>
    <xf numFmtId="0" fontId="6" fillId="6" borderId="44" xfId="0" applyFont="1" applyFill="1" applyBorder="1" applyAlignment="1">
      <alignment vertical="center"/>
    </xf>
    <xf numFmtId="0" fontId="6" fillId="6" borderId="9" xfId="0" applyFont="1" applyFill="1" applyBorder="1" applyAlignment="1">
      <alignment vertical="center"/>
    </xf>
    <xf numFmtId="0" fontId="6" fillId="6" borderId="9" xfId="0" applyFont="1" applyFill="1" applyBorder="1" applyAlignment="1">
      <alignment horizontal="justify" vertical="center"/>
    </xf>
    <xf numFmtId="178" fontId="6" fillId="6" borderId="9" xfId="0" applyNumberFormat="1" applyFont="1" applyFill="1" applyBorder="1" applyAlignment="1">
      <alignment vertical="center"/>
    </xf>
    <xf numFmtId="169" fontId="7" fillId="0" borderId="0" xfId="0" applyNumberFormat="1" applyFont="1" applyFill="1" applyBorder="1"/>
    <xf numFmtId="0" fontId="6" fillId="5" borderId="8" xfId="0" applyFont="1" applyFill="1" applyBorder="1" applyAlignment="1">
      <alignment horizontal="center" vertical="center" wrapText="1"/>
    </xf>
    <xf numFmtId="0" fontId="6" fillId="5" borderId="8" xfId="0" applyFont="1" applyFill="1" applyBorder="1" applyAlignment="1">
      <alignment vertical="center" wrapText="1"/>
    </xf>
    <xf numFmtId="0" fontId="6" fillId="10" borderId="9" xfId="0" applyFont="1" applyFill="1" applyBorder="1" applyAlignment="1">
      <alignment vertical="center"/>
    </xf>
    <xf numFmtId="0" fontId="6" fillId="5" borderId="15" xfId="0" applyFont="1" applyFill="1" applyBorder="1" applyAlignment="1">
      <alignment horizontal="center" vertical="center" wrapText="1"/>
    </xf>
    <xf numFmtId="0" fontId="6" fillId="5" borderId="15" xfId="0" applyFont="1" applyFill="1" applyBorder="1" applyAlignment="1">
      <alignment vertical="center" wrapText="1"/>
    </xf>
    <xf numFmtId="0" fontId="6" fillId="12" borderId="4" xfId="0" applyFont="1" applyFill="1" applyBorder="1" applyAlignment="1">
      <alignment horizontal="left" vertical="center"/>
    </xf>
    <xf numFmtId="0" fontId="6" fillId="12" borderId="4" xfId="0" applyFont="1" applyFill="1" applyBorder="1" applyAlignment="1">
      <alignment vertical="center"/>
    </xf>
    <xf numFmtId="0" fontId="6" fillId="12" borderId="4" xfId="0" applyFont="1" applyFill="1" applyBorder="1" applyAlignment="1">
      <alignment horizontal="justify" vertical="center"/>
    </xf>
    <xf numFmtId="0" fontId="6" fillId="9" borderId="3" xfId="0" applyFont="1" applyFill="1" applyBorder="1" applyAlignment="1">
      <alignment horizontal="left" vertical="center"/>
    </xf>
    <xf numFmtId="0" fontId="6" fillId="5" borderId="18" xfId="0" applyFont="1" applyFill="1" applyBorder="1" applyAlignment="1">
      <alignment vertical="center" wrapText="1"/>
    </xf>
    <xf numFmtId="0" fontId="4" fillId="0" borderId="5" xfId="0" applyFont="1" applyFill="1" applyBorder="1" applyAlignment="1">
      <alignment vertical="center"/>
    </xf>
    <xf numFmtId="0" fontId="4" fillId="0" borderId="1" xfId="0" applyFont="1" applyFill="1" applyBorder="1" applyAlignment="1">
      <alignment horizontal="justify" vertical="center"/>
    </xf>
    <xf numFmtId="0" fontId="4" fillId="0" borderId="5" xfId="0" applyFont="1" applyFill="1" applyBorder="1" applyAlignment="1">
      <alignment horizontal="left" vertical="center"/>
    </xf>
    <xf numFmtId="3" fontId="4" fillId="0" borderId="1" xfId="0" applyNumberFormat="1" applyFont="1" applyFill="1" applyBorder="1" applyAlignment="1">
      <alignment horizontal="justify" vertical="center" wrapText="1"/>
    </xf>
    <xf numFmtId="165" fontId="4" fillId="0" borderId="0" xfId="20" applyFont="1" applyBorder="1" applyAlignment="1">
      <alignment horizontal="center" vertical="center"/>
    </xf>
    <xf numFmtId="165" fontId="4" fillId="0" borderId="2" xfId="20" applyFont="1" applyBorder="1" applyAlignment="1">
      <alignment horizontal="center" vertical="center"/>
    </xf>
    <xf numFmtId="165" fontId="4" fillId="3" borderId="1" xfId="20" applyFont="1" applyFill="1" applyBorder="1" applyAlignment="1">
      <alignment horizontal="center" vertical="center" wrapText="1"/>
    </xf>
    <xf numFmtId="178" fontId="4" fillId="3" borderId="1" xfId="0" applyNumberFormat="1" applyFont="1" applyFill="1" applyBorder="1" applyAlignment="1">
      <alignment vertical="center"/>
    </xf>
    <xf numFmtId="178" fontId="4" fillId="3" borderId="1" xfId="0" applyNumberFormat="1" applyFont="1" applyFill="1" applyBorder="1" applyAlignment="1">
      <alignment horizontal="center" vertical="center"/>
    </xf>
    <xf numFmtId="49" fontId="4" fillId="3" borderId="1" xfId="0" applyNumberFormat="1" applyFont="1" applyFill="1" applyBorder="1" applyAlignment="1">
      <alignment horizontal="center" vertical="center"/>
    </xf>
    <xf numFmtId="0" fontId="4" fillId="3" borderId="18" xfId="0" applyFont="1" applyFill="1" applyBorder="1" applyAlignment="1">
      <alignment vertical="center" wrapText="1"/>
    </xf>
    <xf numFmtId="1" fontId="4" fillId="6" borderId="3" xfId="0" applyNumberFormat="1" applyFont="1" applyFill="1" applyBorder="1" applyAlignment="1">
      <alignment horizontal="left" vertical="center"/>
    </xf>
    <xf numFmtId="165" fontId="4" fillId="6" borderId="4" xfId="20" applyFont="1" applyFill="1" applyBorder="1" applyAlignment="1">
      <alignment horizontal="center" vertical="center"/>
    </xf>
    <xf numFmtId="182" fontId="4" fillId="6" borderId="4" xfId="0" applyNumberFormat="1" applyFont="1" applyFill="1" applyBorder="1" applyAlignment="1">
      <alignment horizontal="left" vertical="center"/>
    </xf>
    <xf numFmtId="178" fontId="4" fillId="6" borderId="4" xfId="0" applyNumberFormat="1" applyFont="1" applyFill="1" applyBorder="1" applyAlignment="1">
      <alignment horizontal="left" vertical="center"/>
    </xf>
    <xf numFmtId="1" fontId="4" fillId="6" borderId="4" xfId="0" applyNumberFormat="1" applyFont="1" applyFill="1" applyBorder="1" applyAlignment="1">
      <alignment horizontal="left" vertical="center"/>
    </xf>
    <xf numFmtId="0" fontId="4" fillId="6" borderId="1" xfId="0" applyFont="1" applyFill="1" applyBorder="1" applyAlignment="1">
      <alignment horizontal="left" vertical="center"/>
    </xf>
    <xf numFmtId="0" fontId="3" fillId="6" borderId="4" xfId="0" applyFont="1" applyFill="1" applyBorder="1" applyAlignment="1">
      <alignment horizontal="left" vertical="center"/>
    </xf>
    <xf numFmtId="179" fontId="4" fillId="6" borderId="4" xfId="0" applyNumberFormat="1" applyFont="1" applyFill="1" applyBorder="1" applyAlignment="1">
      <alignment horizontal="left" vertical="center"/>
    </xf>
    <xf numFmtId="0" fontId="4" fillId="6" borderId="1" xfId="0" applyFont="1" applyFill="1" applyBorder="1" applyAlignment="1">
      <alignment horizontal="justify" vertical="center"/>
    </xf>
    <xf numFmtId="0" fontId="3" fillId="0" borderId="0" xfId="0" applyFont="1" applyBorder="1" applyAlignment="1">
      <alignment horizontal="left"/>
    </xf>
    <xf numFmtId="1" fontId="4" fillId="5" borderId="16" xfId="0" applyNumberFormat="1" applyFont="1" applyFill="1" applyBorder="1" applyAlignment="1">
      <alignment horizontal="left" vertical="center"/>
    </xf>
    <xf numFmtId="0" fontId="4" fillId="5" borderId="0" xfId="0" applyFont="1" applyFill="1" applyBorder="1" applyAlignment="1">
      <alignment horizontal="left" vertical="center"/>
    </xf>
    <xf numFmtId="1" fontId="4" fillId="10" borderId="13" xfId="0" applyNumberFormat="1" applyFont="1" applyFill="1" applyBorder="1" applyAlignment="1">
      <alignment horizontal="left" vertical="center"/>
    </xf>
    <xf numFmtId="0" fontId="4" fillId="10" borderId="2" xfId="0" applyFont="1" applyFill="1" applyBorder="1" applyAlignment="1">
      <alignment horizontal="left" vertical="center"/>
    </xf>
    <xf numFmtId="165" fontId="4" fillId="10" borderId="2" xfId="20" applyFont="1" applyFill="1" applyBorder="1" applyAlignment="1">
      <alignment horizontal="center" vertical="center"/>
    </xf>
    <xf numFmtId="182" fontId="4" fillId="10" borderId="2" xfId="0" applyNumberFormat="1" applyFont="1" applyFill="1" applyBorder="1" applyAlignment="1">
      <alignment horizontal="left" vertical="center"/>
    </xf>
    <xf numFmtId="178" fontId="4" fillId="10" borderId="2" xfId="0" applyNumberFormat="1" applyFont="1" applyFill="1" applyBorder="1" applyAlignment="1">
      <alignment horizontal="left" vertical="center"/>
    </xf>
    <xf numFmtId="1" fontId="4" fillId="10" borderId="2" xfId="0" applyNumberFormat="1" applyFont="1" applyFill="1" applyBorder="1" applyAlignment="1">
      <alignment horizontal="left" vertical="center"/>
    </xf>
    <xf numFmtId="0" fontId="3" fillId="10" borderId="2" xfId="0" applyFont="1" applyFill="1" applyBorder="1" applyAlignment="1">
      <alignment horizontal="left" vertical="center"/>
    </xf>
    <xf numFmtId="179" fontId="4" fillId="10" borderId="2" xfId="0" applyNumberFormat="1" applyFont="1" applyFill="1" applyBorder="1" applyAlignment="1">
      <alignment horizontal="left" vertical="center"/>
    </xf>
    <xf numFmtId="0" fontId="4" fillId="5" borderId="6" xfId="0" applyFont="1" applyFill="1" applyBorder="1" applyAlignment="1">
      <alignment horizontal="left" vertical="center"/>
    </xf>
    <xf numFmtId="1" fontId="4" fillId="9" borderId="3" xfId="0" applyNumberFormat="1" applyFont="1" applyFill="1" applyBorder="1" applyAlignment="1">
      <alignment horizontal="left" vertical="center"/>
    </xf>
    <xf numFmtId="165" fontId="4" fillId="9" borderId="4" xfId="20" applyFont="1" applyFill="1" applyBorder="1" applyAlignment="1">
      <alignment horizontal="center" vertical="center"/>
    </xf>
    <xf numFmtId="182" fontId="4" fillId="9" borderId="4" xfId="0" applyNumberFormat="1" applyFont="1" applyFill="1" applyBorder="1" applyAlignment="1">
      <alignment horizontal="left" vertical="center"/>
    </xf>
    <xf numFmtId="178" fontId="4" fillId="9" borderId="4" xfId="0" applyNumberFormat="1" applyFont="1" applyFill="1" applyBorder="1" applyAlignment="1">
      <alignment horizontal="left" vertical="center"/>
    </xf>
    <xf numFmtId="1" fontId="4" fillId="9" borderId="4" xfId="0" applyNumberFormat="1" applyFont="1" applyFill="1" applyBorder="1" applyAlignment="1">
      <alignment horizontal="left" vertical="center"/>
    </xf>
    <xf numFmtId="179" fontId="4" fillId="9" borderId="4" xfId="0" applyNumberFormat="1" applyFont="1" applyFill="1" applyBorder="1" applyAlignment="1">
      <alignment horizontal="left" vertical="center"/>
    </xf>
    <xf numFmtId="178" fontId="3" fillId="0" borderId="1" xfId="0" applyNumberFormat="1" applyFont="1" applyFill="1" applyBorder="1" applyAlignment="1">
      <alignment horizontal="center" vertical="center"/>
    </xf>
    <xf numFmtId="0" fontId="3" fillId="5" borderId="0" xfId="0" applyFont="1" applyFill="1" applyAlignment="1"/>
    <xf numFmtId="178" fontId="3" fillId="0" borderId="1" xfId="0" applyNumberFormat="1" applyFont="1" applyFill="1" applyBorder="1" applyAlignment="1">
      <alignment horizontal="center" vertical="center" wrapText="1"/>
    </xf>
    <xf numFmtId="0" fontId="3" fillId="5" borderId="8" xfId="0" applyNumberFormat="1" applyFont="1" applyFill="1" applyBorder="1" applyAlignment="1">
      <alignment horizontal="justify" vertical="center"/>
    </xf>
    <xf numFmtId="10" fontId="3" fillId="5" borderId="1" xfId="0" applyNumberFormat="1" applyFont="1" applyFill="1" applyBorder="1" applyAlignment="1">
      <alignment horizontal="center" vertical="center"/>
    </xf>
    <xf numFmtId="179" fontId="3" fillId="5" borderId="6" xfId="0" applyNumberFormat="1" applyFont="1" applyFill="1" applyBorder="1" applyAlignment="1">
      <alignment horizontal="center" vertical="center"/>
    </xf>
    <xf numFmtId="1" fontId="4" fillId="9" borderId="6" xfId="0" applyNumberFormat="1" applyFont="1" applyFill="1" applyBorder="1" applyAlignment="1">
      <alignment horizontal="justify" vertical="center"/>
    </xf>
    <xf numFmtId="1" fontId="3" fillId="9" borderId="9" xfId="0" applyNumberFormat="1" applyFont="1" applyFill="1" applyBorder="1" applyAlignment="1">
      <alignment vertical="center"/>
    </xf>
    <xf numFmtId="10" fontId="4" fillId="18" borderId="1" xfId="0" applyNumberFormat="1" applyFont="1" applyFill="1" applyBorder="1" applyAlignment="1">
      <alignment horizontal="center" vertical="center"/>
    </xf>
    <xf numFmtId="0" fontId="3" fillId="5" borderId="9" xfId="0" applyFont="1" applyFill="1" applyBorder="1" applyAlignment="1"/>
    <xf numFmtId="0" fontId="3" fillId="5" borderId="0" xfId="0" applyFont="1" applyFill="1" applyBorder="1" applyAlignment="1"/>
    <xf numFmtId="0" fontId="3" fillId="5" borderId="5" xfId="0" applyFont="1" applyFill="1" applyBorder="1" applyAlignment="1"/>
    <xf numFmtId="0" fontId="3" fillId="5" borderId="1" xfId="0" applyFont="1" applyFill="1" applyBorder="1" applyAlignment="1"/>
    <xf numFmtId="165" fontId="3" fillId="5" borderId="1" xfId="20" applyFont="1" applyFill="1" applyBorder="1" applyAlignment="1">
      <alignment horizontal="center" vertical="center"/>
    </xf>
    <xf numFmtId="0" fontId="3" fillId="5" borderId="1" xfId="0" applyNumberFormat="1" applyFont="1" applyFill="1" applyBorder="1" applyAlignment="1">
      <alignment horizontal="center" vertical="center"/>
    </xf>
    <xf numFmtId="0" fontId="3" fillId="5" borderId="1" xfId="0" applyFont="1" applyFill="1" applyBorder="1" applyAlignment="1">
      <alignment horizontal="justify" vertical="top"/>
    </xf>
    <xf numFmtId="182" fontId="3" fillId="5" borderId="1" xfId="0" applyNumberFormat="1" applyFont="1" applyFill="1" applyBorder="1" applyAlignment="1">
      <alignment vertical="center"/>
    </xf>
    <xf numFmtId="178" fontId="3" fillId="0" borderId="1" xfId="0" applyNumberFormat="1" applyFont="1" applyFill="1" applyBorder="1" applyAlignment="1">
      <alignment vertical="center" wrapText="1"/>
    </xf>
    <xf numFmtId="178" fontId="3" fillId="9" borderId="4" xfId="0" applyNumberFormat="1" applyFont="1" applyFill="1" applyBorder="1" applyAlignment="1">
      <alignment vertical="center"/>
    </xf>
    <xf numFmtId="0" fontId="4" fillId="9" borderId="4" xfId="0" applyNumberFormat="1" applyFont="1" applyFill="1" applyBorder="1" applyAlignment="1">
      <alignment vertical="center"/>
    </xf>
    <xf numFmtId="178" fontId="3" fillId="5"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textRotation="180"/>
    </xf>
    <xf numFmtId="1" fontId="4" fillId="10" borderId="8" xfId="0" applyNumberFormat="1" applyFont="1" applyFill="1" applyBorder="1" applyAlignment="1">
      <alignment horizontal="justify" vertical="center"/>
    </xf>
    <xf numFmtId="182" fontId="4" fillId="10" borderId="2" xfId="0" applyNumberFormat="1" applyFont="1" applyFill="1" applyBorder="1" applyAlignment="1">
      <alignment horizontal="center" vertical="center"/>
    </xf>
    <xf numFmtId="0" fontId="3" fillId="10" borderId="2" xfId="0" applyFont="1" applyFill="1" applyBorder="1" applyAlignment="1">
      <alignment vertical="center"/>
    </xf>
    <xf numFmtId="0" fontId="4" fillId="10" borderId="2" xfId="0" applyNumberFormat="1" applyFont="1" applyFill="1" applyBorder="1" applyAlignment="1">
      <alignment horizontal="center" vertical="center"/>
    </xf>
    <xf numFmtId="1" fontId="4" fillId="5" borderId="16" xfId="0" applyNumberFormat="1" applyFont="1" applyFill="1" applyBorder="1" applyAlignment="1">
      <alignment horizontal="justify" vertical="center"/>
    </xf>
    <xf numFmtId="1" fontId="4" fillId="9" borderId="3" xfId="0" applyNumberFormat="1" applyFont="1" applyFill="1" applyBorder="1" applyAlignment="1">
      <alignment horizontal="justify" vertical="center"/>
    </xf>
    <xf numFmtId="0" fontId="3" fillId="5" borderId="0" xfId="0" applyFont="1" applyFill="1" applyAlignment="1">
      <alignment horizontal="justify"/>
    </xf>
    <xf numFmtId="182" fontId="3" fillId="0" borderId="1" xfId="0" applyNumberFormat="1" applyFont="1" applyFill="1" applyBorder="1" applyAlignment="1">
      <alignment vertical="center"/>
    </xf>
    <xf numFmtId="0" fontId="3" fillId="0" borderId="0" xfId="0" applyFont="1" applyFill="1" applyAlignment="1">
      <alignment horizontal="justify" vertical="center"/>
    </xf>
    <xf numFmtId="0" fontId="3" fillId="0" borderId="8" xfId="0" applyNumberFormat="1" applyFont="1" applyFill="1" applyBorder="1" applyAlignment="1">
      <alignment horizontal="left" wrapText="1"/>
    </xf>
    <xf numFmtId="178" fontId="3" fillId="0" borderId="8" xfId="0" applyNumberFormat="1" applyFont="1" applyFill="1" applyBorder="1" applyAlignment="1">
      <alignment horizontal="left" wrapText="1"/>
    </xf>
    <xf numFmtId="0" fontId="3" fillId="0" borderId="0" xfId="0" applyFont="1" applyFill="1" applyAlignment="1"/>
    <xf numFmtId="0" fontId="3" fillId="0" borderId="15" xfId="0" applyNumberFormat="1" applyFont="1" applyFill="1" applyBorder="1" applyAlignment="1">
      <alignment horizontal="left" wrapText="1"/>
    </xf>
    <xf numFmtId="178" fontId="3" fillId="0" borderId="15" xfId="0" applyNumberFormat="1" applyFont="1" applyFill="1" applyBorder="1" applyAlignment="1">
      <alignment horizontal="left" wrapText="1"/>
    </xf>
    <xf numFmtId="1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8" xfId="0" applyNumberFormat="1" applyFont="1" applyFill="1" applyBorder="1" applyAlignment="1">
      <alignment horizontal="left" wrapText="1"/>
    </xf>
    <xf numFmtId="178" fontId="3" fillId="0" borderId="18" xfId="0" applyNumberFormat="1" applyFont="1" applyFill="1" applyBorder="1" applyAlignment="1">
      <alignment horizontal="left" wrapText="1"/>
    </xf>
    <xf numFmtId="3" fontId="3" fillId="5" borderId="8" xfId="0" applyNumberFormat="1" applyFont="1" applyFill="1" applyBorder="1" applyAlignment="1">
      <alignment horizontal="justify" vertical="center"/>
    </xf>
    <xf numFmtId="3" fontId="3" fillId="5" borderId="18" xfId="0" applyNumberFormat="1" applyFont="1" applyFill="1" applyBorder="1" applyAlignment="1">
      <alignment horizontal="justify" vertical="center"/>
    </xf>
    <xf numFmtId="178" fontId="3" fillId="5" borderId="1" xfId="0" applyNumberFormat="1" applyFont="1" applyFill="1" applyBorder="1" applyAlignment="1">
      <alignment horizontal="justify" vertical="center"/>
    </xf>
    <xf numFmtId="178" fontId="3" fillId="5" borderId="1" xfId="0" applyNumberFormat="1" applyFont="1" applyFill="1" applyBorder="1" applyAlignment="1">
      <alignment horizontal="center" vertical="center" wrapText="1"/>
    </xf>
    <xf numFmtId="1" fontId="4" fillId="5" borderId="6" xfId="0" applyNumberFormat="1" applyFont="1" applyFill="1" applyBorder="1" applyAlignment="1">
      <alignment horizontal="justify" vertical="center"/>
    </xf>
    <xf numFmtId="0" fontId="4" fillId="9" borderId="4" xfId="0" applyNumberFormat="1" applyFont="1" applyFill="1" applyBorder="1" applyAlignment="1">
      <alignment horizontal="left" vertical="center"/>
    </xf>
    <xf numFmtId="0" fontId="3" fillId="5" borderId="8" xfId="0" applyNumberFormat="1" applyFont="1" applyFill="1" applyBorder="1" applyAlignment="1">
      <alignment horizontal="center"/>
    </xf>
    <xf numFmtId="0" fontId="3" fillId="5" borderId="15" xfId="0" applyNumberFormat="1" applyFont="1" applyFill="1" applyBorder="1" applyAlignment="1">
      <alignment horizontal="center"/>
    </xf>
    <xf numFmtId="0" fontId="3" fillId="5" borderId="18" xfId="0" applyNumberFormat="1" applyFont="1" applyFill="1" applyBorder="1" applyAlignment="1">
      <alignment horizontal="center"/>
    </xf>
    <xf numFmtId="10" fontId="3" fillId="5" borderId="3" xfId="0" applyNumberFormat="1" applyFont="1" applyFill="1" applyBorder="1" applyAlignment="1">
      <alignment horizontal="center"/>
    </xf>
    <xf numFmtId="1" fontId="4" fillId="0" borderId="7" xfId="0" applyNumberFormat="1" applyFont="1" applyFill="1" applyBorder="1" applyAlignment="1">
      <alignment horizontal="justify" vertical="center"/>
    </xf>
    <xf numFmtId="1" fontId="4" fillId="10" borderId="7" xfId="0" applyNumberFormat="1" applyFont="1" applyFill="1" applyBorder="1" applyAlignment="1">
      <alignment horizontal="justify" vertical="center"/>
    </xf>
    <xf numFmtId="1" fontId="4" fillId="0" borderId="17" xfId="0" applyNumberFormat="1" applyFont="1" applyFill="1" applyBorder="1" applyAlignment="1">
      <alignment horizontal="justify" vertical="center"/>
    </xf>
    <xf numFmtId="165" fontId="3" fillId="0" borderId="1" xfId="20" applyFont="1" applyBorder="1" applyAlignment="1">
      <alignment horizontal="center" vertical="center"/>
    </xf>
    <xf numFmtId="0" fontId="3" fillId="5" borderId="4" xfId="0" applyFont="1" applyFill="1" applyBorder="1" applyAlignment="1">
      <alignment horizontal="center" vertical="center"/>
    </xf>
    <xf numFmtId="178" fontId="3" fillId="5" borderId="1" xfId="0" applyNumberFormat="1" applyFont="1" applyFill="1" applyBorder="1" applyAlignment="1">
      <alignment vertical="center"/>
    </xf>
    <xf numFmtId="44" fontId="3" fillId="5" borderId="1" xfId="0" applyNumberFormat="1" applyFont="1" applyFill="1" applyBorder="1" applyAlignment="1">
      <alignment horizontal="center" vertical="center"/>
    </xf>
    <xf numFmtId="182" fontId="4" fillId="9" borderId="4" xfId="0" applyNumberFormat="1" applyFont="1" applyFill="1" applyBorder="1" applyAlignment="1">
      <alignment horizontal="center" vertical="center"/>
    </xf>
    <xf numFmtId="0" fontId="4" fillId="9" borderId="4" xfId="0" applyNumberFormat="1" applyFont="1" applyFill="1" applyBorder="1" applyAlignment="1">
      <alignment horizontal="center" vertical="center"/>
    </xf>
    <xf numFmtId="1" fontId="4" fillId="0" borderId="14" xfId="0" applyNumberFormat="1" applyFont="1" applyFill="1" applyBorder="1" applyAlignment="1">
      <alignment horizontal="justify" vertical="center"/>
    </xf>
    <xf numFmtId="10" fontId="4" fillId="0" borderId="1" xfId="0" applyNumberFormat="1" applyFont="1" applyFill="1" applyBorder="1" applyAlignment="1">
      <alignment horizontal="center" vertical="center"/>
    </xf>
    <xf numFmtId="2" fontId="4" fillId="0" borderId="3" xfId="0" applyNumberFormat="1" applyFont="1" applyBorder="1"/>
    <xf numFmtId="2" fontId="4" fillId="0" borderId="4" xfId="0" applyNumberFormat="1" applyFont="1" applyBorder="1"/>
    <xf numFmtId="2" fontId="4" fillId="0" borderId="4" xfId="0" applyNumberFormat="1" applyFont="1" applyBorder="1" applyAlignment="1">
      <alignment horizontal="center"/>
    </xf>
    <xf numFmtId="2" fontId="4" fillId="5" borderId="4" xfId="0" applyNumberFormat="1" applyFont="1" applyFill="1" applyBorder="1" applyAlignment="1">
      <alignment horizontal="justify" vertical="center"/>
    </xf>
    <xf numFmtId="2" fontId="4" fillId="5" borderId="4" xfId="0" applyNumberFormat="1" applyFont="1" applyFill="1" applyBorder="1"/>
    <xf numFmtId="2" fontId="4" fillId="5" borderId="4" xfId="20" applyNumberFormat="1" applyFont="1" applyFill="1" applyBorder="1" applyAlignment="1">
      <alignment horizontal="center"/>
    </xf>
    <xf numFmtId="2" fontId="4" fillId="5" borderId="4" xfId="0" applyNumberFormat="1" applyFont="1" applyFill="1" applyBorder="1" applyAlignment="1">
      <alignment horizontal="justify"/>
    </xf>
    <xf numFmtId="2" fontId="4" fillId="5" borderId="4" xfId="0" applyNumberFormat="1" applyFont="1" applyFill="1" applyBorder="1" applyAlignment="1">
      <alignment horizontal="center"/>
    </xf>
    <xf numFmtId="2" fontId="4" fillId="5" borderId="5" xfId="0" applyNumberFormat="1" applyFont="1" applyFill="1" applyBorder="1" applyAlignment="1">
      <alignment horizontal="right" vertical="center"/>
    </xf>
    <xf numFmtId="2" fontId="4" fillId="5" borderId="1" xfId="0" applyNumberFormat="1" applyFont="1" applyFill="1" applyBorder="1" applyAlignment="1">
      <alignment vertical="center"/>
    </xf>
    <xf numFmtId="2" fontId="4" fillId="5" borderId="3" xfId="0" applyNumberFormat="1" applyFont="1" applyFill="1" applyBorder="1" applyAlignment="1">
      <alignment horizontal="center" vertical="center"/>
    </xf>
    <xf numFmtId="2" fontId="4" fillId="5" borderId="4" xfId="0" applyNumberFormat="1" applyFont="1" applyFill="1" applyBorder="1" applyAlignment="1">
      <alignment horizontal="center" vertical="center"/>
    </xf>
    <xf numFmtId="2" fontId="4" fillId="0" borderId="5" xfId="0" applyNumberFormat="1" applyFont="1" applyBorder="1"/>
    <xf numFmtId="2" fontId="4" fillId="0" borderId="4" xfId="0" applyNumberFormat="1" applyFont="1" applyFill="1" applyBorder="1" applyAlignment="1">
      <alignment horizontal="right" vertical="center"/>
    </xf>
    <xf numFmtId="2" fontId="4" fillId="0" borderId="5" xfId="0" applyNumberFormat="1" applyFont="1" applyBorder="1" applyAlignment="1">
      <alignment horizontal="justify" vertical="center"/>
    </xf>
    <xf numFmtId="2" fontId="4" fillId="0" borderId="0" xfId="0" applyNumberFormat="1" applyFont="1"/>
    <xf numFmtId="165" fontId="3" fillId="5" borderId="0" xfId="20" applyFont="1" applyFill="1" applyAlignment="1">
      <alignment horizontal="center"/>
    </xf>
    <xf numFmtId="182" fontId="3" fillId="5" borderId="0" xfId="0" applyNumberFormat="1" applyFont="1" applyFill="1" applyAlignment="1">
      <alignment horizontal="center" vertical="center"/>
    </xf>
    <xf numFmtId="176" fontId="3" fillId="5" borderId="0" xfId="0" applyNumberFormat="1" applyFont="1" applyFill="1" applyAlignment="1">
      <alignment vertical="center"/>
    </xf>
    <xf numFmtId="176" fontId="3" fillId="5" borderId="0" xfId="0" applyNumberFormat="1" applyFont="1" applyFill="1" applyAlignment="1">
      <alignment horizontal="center" vertical="center"/>
    </xf>
    <xf numFmtId="0" fontId="7" fillId="0" borderId="0" xfId="0" applyFont="1" applyAlignment="1">
      <alignment horizontal="justify"/>
    </xf>
    <xf numFmtId="0" fontId="7" fillId="0" borderId="0" xfId="0" applyFont="1" applyAlignment="1">
      <alignment horizontal="justify" vertical="center"/>
    </xf>
    <xf numFmtId="3" fontId="3" fillId="5" borderId="15" xfId="0" applyNumberFormat="1" applyFont="1" applyFill="1" applyBorder="1" applyAlignment="1">
      <alignment horizontal="justify" vertical="center"/>
    </xf>
    <xf numFmtId="2" fontId="4" fillId="0" borderId="1" xfId="0" applyNumberFormat="1" applyFont="1" applyFill="1" applyBorder="1" applyAlignment="1">
      <alignment horizontal="center" vertical="center"/>
    </xf>
    <xf numFmtId="0" fontId="6" fillId="3" borderId="8" xfId="0" applyFont="1" applyFill="1" applyBorder="1" applyAlignment="1">
      <alignment vertical="center" wrapText="1"/>
    </xf>
    <xf numFmtId="4" fontId="11" fillId="0" borderId="1" xfId="0" applyNumberFormat="1" applyFont="1" applyBorder="1" applyAlignment="1">
      <alignment vertical="center"/>
    </xf>
    <xf numFmtId="4" fontId="11" fillId="0" borderId="29" xfId="0" applyNumberFormat="1" applyFont="1" applyBorder="1" applyAlignment="1">
      <alignment vertical="center"/>
    </xf>
    <xf numFmtId="9" fontId="11" fillId="0" borderId="1" xfId="5" applyFont="1" applyBorder="1" applyAlignment="1">
      <alignment horizontal="center" vertical="center"/>
    </xf>
    <xf numFmtId="0" fontId="11" fillId="0" borderId="30" xfId="0" applyFont="1" applyBorder="1" applyAlignment="1">
      <alignment vertical="center"/>
    </xf>
    <xf numFmtId="0" fontId="4" fillId="3"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1" fontId="3" fillId="5" borderId="1" xfId="0" applyNumberFormat="1" applyFont="1" applyFill="1" applyBorder="1" applyAlignment="1">
      <alignment horizontal="center" vertical="center" wrapText="1"/>
    </xf>
    <xf numFmtId="0" fontId="4" fillId="3" borderId="16" xfId="0" applyFont="1" applyFill="1" applyBorder="1" applyAlignment="1">
      <alignment horizontal="center" vertical="center" wrapText="1"/>
    </xf>
    <xf numFmtId="0" fontId="3" fillId="0" borderId="1" xfId="0" applyFont="1" applyFill="1" applyBorder="1" applyAlignment="1">
      <alignment horizontal="center" vertical="center"/>
    </xf>
    <xf numFmtId="1"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5" borderId="1" xfId="0" applyFont="1" applyFill="1" applyBorder="1" applyAlignment="1">
      <alignment horizontal="justify" vertical="center" wrapText="1"/>
    </xf>
    <xf numFmtId="0" fontId="3" fillId="0" borderId="18" xfId="0" applyFont="1" applyFill="1" applyBorder="1" applyAlignment="1">
      <alignment horizontal="center" vertical="center" wrapText="1"/>
    </xf>
    <xf numFmtId="178" fontId="3" fillId="0" borderId="8" xfId="0" applyNumberFormat="1" applyFont="1" applyFill="1" applyBorder="1" applyAlignment="1">
      <alignment horizontal="center" vertical="center"/>
    </xf>
    <xf numFmtId="178" fontId="3" fillId="0" borderId="15" xfId="0" applyNumberFormat="1" applyFont="1" applyFill="1" applyBorder="1" applyAlignment="1">
      <alignment horizontal="center" vertical="center"/>
    </xf>
    <xf numFmtId="178" fontId="3" fillId="0" borderId="18" xfId="0" applyNumberFormat="1" applyFont="1" applyFill="1" applyBorder="1" applyAlignment="1">
      <alignment horizontal="center" vertical="center"/>
    </xf>
    <xf numFmtId="0" fontId="3" fillId="5" borderId="1"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18" xfId="0" applyFont="1" applyFill="1" applyBorder="1" applyAlignment="1">
      <alignment horizontal="center" vertical="center"/>
    </xf>
    <xf numFmtId="1" fontId="3" fillId="5" borderId="8" xfId="0" applyNumberFormat="1" applyFont="1" applyFill="1" applyBorder="1" applyAlignment="1">
      <alignment horizontal="center" vertical="center"/>
    </xf>
    <xf numFmtId="1" fontId="3" fillId="5" borderId="15" xfId="0" applyNumberFormat="1" applyFont="1" applyFill="1" applyBorder="1" applyAlignment="1">
      <alignment horizontal="center" vertical="center"/>
    </xf>
    <xf numFmtId="1" fontId="3" fillId="5" borderId="18" xfId="0" applyNumberFormat="1" applyFont="1" applyFill="1" applyBorder="1" applyAlignment="1">
      <alignment horizontal="center" vertical="center"/>
    </xf>
    <xf numFmtId="0" fontId="3" fillId="0" borderId="8"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8" xfId="0" applyFont="1" applyFill="1" applyBorder="1" applyAlignment="1">
      <alignment horizontal="center" vertical="center"/>
    </xf>
    <xf numFmtId="179" fontId="3" fillId="5" borderId="1" xfId="0" applyNumberFormat="1" applyFont="1" applyFill="1" applyBorder="1" applyAlignment="1">
      <alignment horizontal="center" vertical="center"/>
    </xf>
    <xf numFmtId="179" fontId="3" fillId="5" borderId="8" xfId="0" applyNumberFormat="1" applyFont="1" applyFill="1" applyBorder="1" applyAlignment="1">
      <alignment horizontal="center" vertical="center"/>
    </xf>
    <xf numFmtId="0" fontId="3" fillId="0" borderId="1" xfId="0" applyFont="1" applyFill="1" applyBorder="1" applyAlignment="1">
      <alignment horizontal="justify" vertical="center"/>
    </xf>
    <xf numFmtId="9" fontId="3" fillId="0" borderId="1" xfId="5" applyFont="1" applyFill="1" applyBorder="1" applyAlignment="1">
      <alignment horizontal="center" vertical="center"/>
    </xf>
    <xf numFmtId="1" fontId="3" fillId="5" borderId="1" xfId="0" applyNumberFormat="1" applyFont="1" applyFill="1" applyBorder="1" applyAlignment="1">
      <alignment horizontal="center" vertical="center"/>
    </xf>
    <xf numFmtId="0" fontId="3" fillId="5" borderId="1" xfId="0" applyFont="1" applyFill="1" applyBorder="1" applyAlignment="1">
      <alignment horizontal="justify" vertical="center"/>
    </xf>
    <xf numFmtId="14" fontId="3" fillId="0" borderId="1" xfId="0" applyNumberFormat="1" applyFont="1" applyFill="1" applyBorder="1" applyAlignment="1">
      <alignment horizontal="center" vertical="center"/>
    </xf>
    <xf numFmtId="1" fontId="3" fillId="0" borderId="8" xfId="0" applyNumberFormat="1" applyFont="1" applyFill="1" applyBorder="1" applyAlignment="1">
      <alignment horizontal="center" vertical="center"/>
    </xf>
    <xf numFmtId="1" fontId="3" fillId="0" borderId="15" xfId="0" applyNumberFormat="1" applyFont="1" applyFill="1" applyBorder="1" applyAlignment="1">
      <alignment horizontal="center" vertical="center"/>
    </xf>
    <xf numFmtId="1" fontId="3" fillId="0" borderId="18" xfId="0" applyNumberFormat="1" applyFont="1" applyFill="1" applyBorder="1" applyAlignment="1">
      <alignment horizontal="center" vertical="center"/>
    </xf>
    <xf numFmtId="178" fontId="3" fillId="5" borderId="8" xfId="0" applyNumberFormat="1" applyFont="1" applyFill="1" applyBorder="1" applyAlignment="1">
      <alignment horizontal="center" vertical="center"/>
    </xf>
    <xf numFmtId="178" fontId="3" fillId="5" borderId="15" xfId="0" applyNumberFormat="1" applyFont="1" applyFill="1" applyBorder="1" applyAlignment="1">
      <alignment horizontal="center" vertical="center"/>
    </xf>
    <xf numFmtId="178" fontId="3" fillId="5" borderId="18"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9" borderId="4" xfId="0" applyFont="1" applyFill="1" applyBorder="1" applyAlignment="1">
      <alignment horizontal="center" vertical="center"/>
    </xf>
    <xf numFmtId="0" fontId="3" fillId="0" borderId="0" xfId="0" applyFont="1" applyAlignment="1">
      <alignment horizontal="center"/>
    </xf>
    <xf numFmtId="0" fontId="6" fillId="10" borderId="4" xfId="0" applyFont="1" applyFill="1" applyBorder="1" applyAlignment="1">
      <alignment horizontal="left" vertical="center"/>
    </xf>
    <xf numFmtId="0" fontId="6" fillId="10" borderId="9" xfId="0" applyFont="1" applyFill="1" applyBorder="1" applyAlignment="1">
      <alignment horizontal="left" vertical="center"/>
    </xf>
    <xf numFmtId="0" fontId="7" fillId="5" borderId="16"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6" fillId="9" borderId="9" xfId="0" applyFont="1" applyFill="1" applyBorder="1" applyAlignment="1">
      <alignment horizontal="left" vertical="center"/>
    </xf>
    <xf numFmtId="0" fontId="6" fillId="9" borderId="4" xfId="0" applyFont="1" applyFill="1" applyBorder="1" applyAlignment="1">
      <alignment horizontal="left" vertical="center"/>
    </xf>
    <xf numFmtId="0" fontId="6" fillId="4" borderId="8" xfId="0" applyFont="1" applyFill="1" applyBorder="1" applyAlignment="1">
      <alignment horizontal="center" vertical="center" wrapText="1"/>
    </xf>
    <xf numFmtId="170" fontId="6" fillId="3" borderId="18" xfId="2" applyNumberFormat="1" applyFont="1" applyFill="1" applyBorder="1" applyAlignment="1">
      <alignment horizontal="center" vertical="center" wrapText="1"/>
    </xf>
    <xf numFmtId="14" fontId="3" fillId="5" borderId="1"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3" fillId="0" borderId="8" xfId="0" applyNumberFormat="1" applyFont="1" applyFill="1" applyBorder="1" applyAlignment="1">
      <alignment horizontal="justify" vertical="center"/>
    </xf>
    <xf numFmtId="0" fontId="3" fillId="5" borderId="8" xfId="0" applyFont="1" applyFill="1" applyBorder="1" applyAlignment="1">
      <alignment horizontal="justify" vertical="center"/>
    </xf>
    <xf numFmtId="0" fontId="3" fillId="5" borderId="15" xfId="0" applyFont="1" applyFill="1" applyBorder="1" applyAlignment="1">
      <alignment horizontal="justify" vertical="center"/>
    </xf>
    <xf numFmtId="0" fontId="3" fillId="5" borderId="18" xfId="0" applyFont="1" applyFill="1" applyBorder="1" applyAlignment="1">
      <alignment horizontal="justify" vertical="center"/>
    </xf>
    <xf numFmtId="182" fontId="3" fillId="5" borderId="8" xfId="0" applyNumberFormat="1" applyFont="1" applyFill="1" applyBorder="1" applyAlignment="1">
      <alignment horizontal="center" vertical="center"/>
    </xf>
    <xf numFmtId="182" fontId="3" fillId="5" borderId="1" xfId="0" applyNumberFormat="1" applyFont="1" applyFill="1" applyBorder="1" applyAlignment="1">
      <alignment horizontal="center" vertical="center"/>
    </xf>
    <xf numFmtId="0" fontId="3" fillId="5" borderId="0" xfId="0" applyFont="1" applyFill="1" applyBorder="1" applyAlignment="1">
      <alignment horizontal="justify" vertical="center"/>
    </xf>
    <xf numFmtId="0" fontId="3" fillId="5" borderId="17" xfId="0" applyFont="1" applyFill="1" applyBorder="1" applyAlignment="1">
      <alignment horizontal="justify" vertical="center"/>
    </xf>
    <xf numFmtId="165" fontId="3" fillId="5" borderId="8" xfId="20" applyFont="1" applyFill="1" applyBorder="1" applyAlignment="1">
      <alignment horizontal="center" vertical="center"/>
    </xf>
    <xf numFmtId="165" fontId="3" fillId="5" borderId="18" xfId="20" applyFont="1" applyFill="1" applyBorder="1" applyAlignment="1">
      <alignment horizontal="center" vertical="center"/>
    </xf>
    <xf numFmtId="0" fontId="3" fillId="0" borderId="8" xfId="0" applyNumberFormat="1" applyFont="1" applyFill="1" applyBorder="1" applyAlignment="1">
      <alignment horizontal="justify" vertical="center" wrapText="1"/>
    </xf>
    <xf numFmtId="1" fontId="3" fillId="5" borderId="8" xfId="0" applyNumberFormat="1" applyFont="1" applyFill="1" applyBorder="1" applyAlignment="1">
      <alignment vertical="center"/>
    </xf>
    <xf numFmtId="1" fontId="3" fillId="5" borderId="15" xfId="0" applyNumberFormat="1" applyFont="1" applyFill="1" applyBorder="1" applyAlignment="1">
      <alignment vertical="center"/>
    </xf>
    <xf numFmtId="3" fontId="3" fillId="5" borderId="1" xfId="0" applyNumberFormat="1" applyFont="1" applyFill="1" applyBorder="1" applyAlignment="1">
      <alignment horizontal="justify" vertical="center"/>
    </xf>
    <xf numFmtId="1" fontId="4" fillId="5" borderId="8" xfId="0" applyNumberFormat="1" applyFont="1" applyFill="1" applyBorder="1" applyAlignment="1">
      <alignment horizontal="center" vertical="center" textRotation="180"/>
    </xf>
    <xf numFmtId="1" fontId="4" fillId="5" borderId="15" xfId="0" applyNumberFormat="1" applyFont="1" applyFill="1" applyBorder="1" applyAlignment="1">
      <alignment horizontal="center" vertical="center" textRotation="180"/>
    </xf>
    <xf numFmtId="10" fontId="3" fillId="5" borderId="6" xfId="0" applyNumberFormat="1" applyFont="1" applyFill="1" applyBorder="1" applyAlignment="1">
      <alignment horizontal="center" vertical="center"/>
    </xf>
    <xf numFmtId="10" fontId="3" fillId="5" borderId="13" xfId="0" applyNumberFormat="1" applyFont="1" applyFill="1" applyBorder="1" applyAlignment="1">
      <alignment horizontal="center" vertical="center"/>
    </xf>
    <xf numFmtId="3" fontId="3" fillId="5" borderId="1" xfId="0" applyNumberFormat="1" applyFont="1" applyFill="1" applyBorder="1" applyAlignment="1">
      <alignment horizontal="center" vertical="center"/>
    </xf>
    <xf numFmtId="10" fontId="3" fillId="5" borderId="3" xfId="0" applyNumberFormat="1" applyFont="1" applyFill="1" applyBorder="1" applyAlignment="1">
      <alignment horizontal="center" vertical="center"/>
    </xf>
    <xf numFmtId="165" fontId="3" fillId="0" borderId="18" xfId="20" applyFont="1" applyFill="1" applyBorder="1" applyAlignment="1">
      <alignment horizontal="center" vertical="center"/>
    </xf>
    <xf numFmtId="0" fontId="3" fillId="0" borderId="18" xfId="0" applyFont="1" applyFill="1" applyBorder="1" applyAlignment="1">
      <alignment horizontal="justify" vertical="center"/>
    </xf>
    <xf numFmtId="1" fontId="3" fillId="5" borderId="16" xfId="0" applyNumberFormat="1" applyFont="1" applyFill="1" applyBorder="1" applyAlignment="1">
      <alignment horizontal="justify" vertical="center"/>
    </xf>
    <xf numFmtId="0" fontId="3" fillId="5" borderId="16" xfId="0" applyFont="1" applyFill="1" applyBorder="1" applyAlignment="1">
      <alignment horizontal="justify" vertical="center"/>
    </xf>
    <xf numFmtId="0" fontId="3" fillId="5" borderId="2" xfId="0" applyFont="1" applyFill="1" applyBorder="1" applyAlignment="1">
      <alignment horizontal="justify" vertical="center"/>
    </xf>
    <xf numFmtId="10" fontId="3" fillId="5" borderId="8" xfId="0" applyNumberFormat="1" applyFont="1" applyFill="1" applyBorder="1" applyAlignment="1">
      <alignment horizontal="center" vertical="center"/>
    </xf>
    <xf numFmtId="10" fontId="3" fillId="5" borderId="18" xfId="0" applyNumberFormat="1" applyFont="1" applyFill="1" applyBorder="1" applyAlignment="1">
      <alignment horizontal="center" vertical="center"/>
    </xf>
    <xf numFmtId="0" fontId="3" fillId="5" borderId="15" xfId="0" applyNumberFormat="1" applyFont="1" applyFill="1" applyBorder="1" applyAlignment="1">
      <alignment horizontal="center" vertical="center"/>
    </xf>
    <xf numFmtId="0" fontId="3" fillId="5" borderId="18" xfId="0" applyNumberFormat="1" applyFont="1" applyFill="1" applyBorder="1" applyAlignment="1">
      <alignment horizontal="center" vertical="center"/>
    </xf>
    <xf numFmtId="1" fontId="3" fillId="5" borderId="8" xfId="0" applyNumberFormat="1" applyFont="1" applyFill="1" applyBorder="1" applyAlignment="1">
      <alignment horizontal="center" vertical="center" textRotation="180"/>
    </xf>
    <xf numFmtId="1" fontId="3" fillId="5" borderId="15" xfId="0" applyNumberFormat="1" applyFont="1" applyFill="1" applyBorder="1" applyAlignment="1">
      <alignment horizontal="center" vertical="center" textRotation="180"/>
    </xf>
    <xf numFmtId="1" fontId="3" fillId="5" borderId="18" xfId="0" applyNumberFormat="1" applyFont="1" applyFill="1" applyBorder="1" applyAlignment="1">
      <alignment horizontal="center" vertical="center" textRotation="180"/>
    </xf>
    <xf numFmtId="0" fontId="4" fillId="9" borderId="4" xfId="0" applyFont="1" applyFill="1" applyBorder="1" applyAlignment="1">
      <alignment horizontal="left" vertical="center"/>
    </xf>
    <xf numFmtId="0" fontId="3" fillId="5" borderId="3" xfId="0" applyFont="1" applyFill="1" applyBorder="1" applyAlignment="1">
      <alignment horizontal="justify" vertical="center"/>
    </xf>
    <xf numFmtId="0" fontId="3" fillId="5" borderId="4" xfId="0" applyFont="1" applyFill="1" applyBorder="1" applyAlignment="1">
      <alignment horizontal="justify" vertical="center"/>
    </xf>
    <xf numFmtId="0" fontId="3" fillId="5" borderId="5" xfId="0" applyFont="1" applyFill="1" applyBorder="1" applyAlignment="1">
      <alignment horizontal="justify" vertical="center"/>
    </xf>
    <xf numFmtId="1" fontId="4" fillId="0" borderId="0" xfId="0" applyNumberFormat="1" applyFont="1" applyFill="1" applyBorder="1" applyAlignment="1">
      <alignment horizontal="justify" vertical="center"/>
    </xf>
    <xf numFmtId="0" fontId="4" fillId="10" borderId="3" xfId="0" applyFont="1" applyFill="1" applyBorder="1" applyAlignment="1">
      <alignment horizontal="left" vertical="center"/>
    </xf>
    <xf numFmtId="0" fontId="4" fillId="5" borderId="9" xfId="0" applyFont="1" applyFill="1" applyBorder="1" applyAlignment="1">
      <alignment horizontal="justify" vertical="center"/>
    </xf>
    <xf numFmtId="0" fontId="4" fillId="5" borderId="0" xfId="0" applyFont="1" applyFill="1" applyBorder="1" applyAlignment="1">
      <alignment horizontal="justify" vertical="center"/>
    </xf>
    <xf numFmtId="0" fontId="4" fillId="5" borderId="17" xfId="0" applyFont="1" applyFill="1" applyBorder="1" applyAlignment="1">
      <alignment horizontal="justify" vertical="center"/>
    </xf>
    <xf numFmtId="0" fontId="3" fillId="5" borderId="8" xfId="0" applyNumberFormat="1" applyFont="1" applyFill="1" applyBorder="1" applyAlignment="1">
      <alignment horizontal="center" vertical="center"/>
    </xf>
    <xf numFmtId="0" fontId="3" fillId="5" borderId="8" xfId="0" applyNumberFormat="1" applyFont="1" applyFill="1" applyBorder="1" applyAlignment="1">
      <alignment horizontal="right" vertical="center"/>
    </xf>
    <xf numFmtId="0" fontId="3" fillId="5" borderId="15" xfId="0" applyNumberFormat="1" applyFont="1" applyFill="1" applyBorder="1" applyAlignment="1">
      <alignment horizontal="right" vertical="center"/>
    </xf>
    <xf numFmtId="0" fontId="3" fillId="5" borderId="18" xfId="0" applyNumberFormat="1" applyFont="1" applyFill="1" applyBorder="1" applyAlignment="1">
      <alignment horizontal="right" vertical="center"/>
    </xf>
    <xf numFmtId="178" fontId="3" fillId="5" borderId="8" xfId="0" applyNumberFormat="1" applyFont="1" applyFill="1" applyBorder="1" applyAlignment="1">
      <alignment horizontal="right" vertical="center"/>
    </xf>
    <xf numFmtId="178" fontId="3" fillId="5" borderId="15" xfId="0" applyNumberFormat="1" applyFont="1" applyFill="1" applyBorder="1" applyAlignment="1">
      <alignment horizontal="right" vertical="center"/>
    </xf>
    <xf numFmtId="178" fontId="3" fillId="5" borderId="18" xfId="0" applyNumberFormat="1" applyFont="1" applyFill="1" applyBorder="1" applyAlignment="1">
      <alignment horizontal="right" vertical="center"/>
    </xf>
    <xf numFmtId="0" fontId="3" fillId="0" borderId="0" xfId="0" applyFont="1" applyFill="1" applyBorder="1" applyAlignment="1">
      <alignment horizontal="justify"/>
    </xf>
    <xf numFmtId="0" fontId="3" fillId="0" borderId="8" xfId="0" applyFont="1" applyFill="1" applyBorder="1" applyAlignment="1">
      <alignment horizontal="justify" vertical="center"/>
    </xf>
    <xf numFmtId="0" fontId="3" fillId="0" borderId="8"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xf>
    <xf numFmtId="0" fontId="3" fillId="0" borderId="18" xfId="0" applyNumberFormat="1" applyFont="1" applyFill="1" applyBorder="1" applyAlignment="1">
      <alignment horizontal="center" vertical="center"/>
    </xf>
    <xf numFmtId="165" fontId="3" fillId="0" borderId="1" xfId="20" applyFont="1" applyFill="1" applyBorder="1" applyAlignment="1">
      <alignment horizontal="center" vertical="center"/>
    </xf>
    <xf numFmtId="0" fontId="3" fillId="5" borderId="16" xfId="0" applyFont="1" applyFill="1" applyBorder="1" applyAlignment="1">
      <alignment horizontal="justify"/>
    </xf>
    <xf numFmtId="0" fontId="3" fillId="5" borderId="0" xfId="0" applyFont="1" applyFill="1" applyBorder="1" applyAlignment="1">
      <alignment horizontal="justify"/>
    </xf>
    <xf numFmtId="0" fontId="3" fillId="5" borderId="13" xfId="0" applyFont="1" applyFill="1" applyBorder="1" applyAlignment="1">
      <alignment horizontal="justify"/>
    </xf>
    <xf numFmtId="0" fontId="3" fillId="5" borderId="2" xfId="0" applyFont="1" applyFill="1" applyBorder="1" applyAlignment="1">
      <alignment horizontal="justify"/>
    </xf>
    <xf numFmtId="0" fontId="4" fillId="9" borderId="4" xfId="0" applyFont="1" applyFill="1" applyBorder="1" applyAlignment="1">
      <alignment horizontal="justify" vertical="center"/>
    </xf>
    <xf numFmtId="1" fontId="4" fillId="0" borderId="9" xfId="0" applyNumberFormat="1" applyFont="1" applyFill="1" applyBorder="1" applyAlignment="1">
      <alignment horizontal="justify" vertical="center"/>
    </xf>
    <xf numFmtId="1" fontId="4" fillId="0" borderId="2" xfId="0" applyNumberFormat="1" applyFont="1" applyFill="1" applyBorder="1" applyAlignment="1">
      <alignment horizontal="justify" vertical="center"/>
    </xf>
    <xf numFmtId="14" fontId="7" fillId="0" borderId="1" xfId="0" applyNumberFormat="1" applyFont="1" applyBorder="1" applyAlignment="1">
      <alignment horizontal="center" vertical="center"/>
    </xf>
    <xf numFmtId="0" fontId="7" fillId="0" borderId="8" xfId="0" applyFont="1" applyFill="1" applyBorder="1" applyAlignment="1">
      <alignment horizontal="center" vertical="center" wrapText="1"/>
    </xf>
    <xf numFmtId="0" fontId="7" fillId="0" borderId="15" xfId="0" applyFont="1" applyFill="1" applyBorder="1" applyAlignment="1">
      <alignment horizontal="center" vertical="center" wrapText="1"/>
    </xf>
    <xf numFmtId="9" fontId="7" fillId="0" borderId="1" xfId="5" applyFont="1" applyFill="1" applyBorder="1" applyAlignment="1">
      <alignment horizontal="center" vertical="center"/>
    </xf>
    <xf numFmtId="0" fontId="7" fillId="0" borderId="8" xfId="0" applyFont="1" applyFill="1" applyBorder="1" applyAlignment="1">
      <alignment horizontal="justify" vertical="center" wrapText="1"/>
    </xf>
    <xf numFmtId="0" fontId="7" fillId="0" borderId="1" xfId="0" applyFont="1" applyFill="1" applyBorder="1" applyAlignment="1">
      <alignment horizontal="justify" vertical="center"/>
    </xf>
    <xf numFmtId="0" fontId="7" fillId="0" borderId="8" xfId="0" applyFont="1" applyBorder="1" applyAlignment="1">
      <alignment horizontal="justify" vertical="center" wrapText="1"/>
    </xf>
    <xf numFmtId="0" fontId="7" fillId="0" borderId="1" xfId="0" applyFont="1" applyFill="1" applyBorder="1" applyAlignment="1">
      <alignment horizontal="center" vertical="center" wrapText="1"/>
    </xf>
    <xf numFmtId="0" fontId="7" fillId="0" borderId="18" xfId="0" applyFont="1" applyFill="1" applyBorder="1" applyAlignment="1">
      <alignment horizontal="center" vertical="center" wrapText="1"/>
    </xf>
    <xf numFmtId="10" fontId="7" fillId="0" borderId="1" xfId="5" applyNumberFormat="1" applyFont="1" applyFill="1" applyBorder="1" applyAlignment="1">
      <alignment horizontal="center" vertical="center"/>
    </xf>
    <xf numFmtId="0" fontId="7" fillId="0" borderId="1" xfId="0" applyFont="1" applyBorder="1" applyAlignment="1">
      <alignment horizontal="center" vertical="center"/>
    </xf>
    <xf numFmtId="0" fontId="7" fillId="5" borderId="8" xfId="0" applyFont="1" applyFill="1" applyBorder="1" applyAlignment="1">
      <alignment horizontal="justify" vertical="center" wrapText="1"/>
    </xf>
    <xf numFmtId="0" fontId="7" fillId="5" borderId="18" xfId="0" applyFont="1" applyFill="1" applyBorder="1" applyAlignment="1">
      <alignment horizontal="justify" vertical="center" wrapText="1"/>
    </xf>
    <xf numFmtId="0" fontId="7" fillId="5" borderId="1"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15" xfId="0" applyFont="1" applyFill="1" applyBorder="1" applyAlignment="1">
      <alignment horizontal="center" vertical="center" wrapText="1"/>
    </xf>
    <xf numFmtId="9" fontId="7" fillId="0" borderId="18" xfId="5" applyFont="1" applyBorder="1" applyAlignment="1">
      <alignment horizontal="center" vertical="center"/>
    </xf>
    <xf numFmtId="0" fontId="7" fillId="0" borderId="18" xfId="0" applyFont="1" applyBorder="1" applyAlignment="1">
      <alignment horizontal="justify" vertical="center" wrapText="1"/>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5" borderId="7"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7" fillId="5" borderId="14" xfId="0" applyFont="1" applyFill="1" applyBorder="1" applyAlignment="1">
      <alignment horizontal="center" vertical="center" wrapText="1"/>
    </xf>
    <xf numFmtId="1" fontId="7" fillId="5" borderId="1" xfId="0" applyNumberFormat="1" applyFont="1" applyFill="1" applyBorder="1" applyAlignment="1">
      <alignment horizontal="center" vertical="center" wrapText="1"/>
    </xf>
    <xf numFmtId="9" fontId="7" fillId="5" borderId="8" xfId="5" applyFont="1" applyFill="1" applyBorder="1" applyAlignment="1">
      <alignment horizontal="center" vertical="center"/>
    </xf>
    <xf numFmtId="9" fontId="7" fillId="5" borderId="18" xfId="5" applyFont="1" applyFill="1" applyBorder="1" applyAlignment="1">
      <alignment horizontal="center" vertical="center"/>
    </xf>
    <xf numFmtId="0" fontId="7" fillId="5" borderId="8" xfId="0" applyFont="1" applyFill="1" applyBorder="1" applyAlignment="1">
      <alignment horizontal="center" vertical="center"/>
    </xf>
    <xf numFmtId="9" fontId="7" fillId="5" borderId="1" xfId="5" applyFont="1" applyFill="1" applyBorder="1" applyAlignment="1">
      <alignment horizontal="center" vertical="center"/>
    </xf>
    <xf numFmtId="0" fontId="7" fillId="5" borderId="1" xfId="0" applyFont="1" applyFill="1" applyBorder="1" applyAlignment="1">
      <alignment horizontal="justify" vertical="center" wrapText="1"/>
    </xf>
    <xf numFmtId="0" fontId="7" fillId="0" borderId="18" xfId="0" applyFont="1" applyFill="1" applyBorder="1" applyAlignment="1">
      <alignment horizontal="justify" vertical="center" wrapText="1"/>
    </xf>
    <xf numFmtId="0" fontId="7" fillId="0" borderId="5" xfId="0" applyFont="1" applyFill="1" applyBorder="1" applyAlignment="1">
      <alignment horizontal="center" vertical="center" wrapText="1"/>
    </xf>
    <xf numFmtId="192" fontId="8" fillId="5" borderId="8" xfId="0" applyNumberFormat="1" applyFont="1" applyFill="1" applyBorder="1" applyAlignment="1">
      <alignment horizontal="center" vertical="center"/>
    </xf>
    <xf numFmtId="0" fontId="7" fillId="5" borderId="1" xfId="0" applyFont="1" applyFill="1" applyBorder="1" applyAlignment="1">
      <alignment horizontal="justify" vertical="center"/>
    </xf>
    <xf numFmtId="0" fontId="7" fillId="5" borderId="8" xfId="0" applyFont="1" applyFill="1" applyBorder="1" applyAlignment="1">
      <alignment horizontal="justify" vertical="center"/>
    </xf>
    <xf numFmtId="0" fontId="7" fillId="0" borderId="1" xfId="0" applyFont="1" applyBorder="1" applyAlignment="1">
      <alignment horizontal="justify" vertical="center" wrapText="1"/>
    </xf>
    <xf numFmtId="0" fontId="7" fillId="5" borderId="1" xfId="0" applyFont="1" applyFill="1" applyBorder="1" applyAlignment="1">
      <alignment horizontal="center" vertical="center"/>
    </xf>
    <xf numFmtId="0" fontId="7" fillId="5" borderId="8" xfId="0" applyNumberFormat="1" applyFont="1" applyFill="1" applyBorder="1" applyAlignment="1">
      <alignment horizontal="center" vertical="center" wrapText="1"/>
    </xf>
    <xf numFmtId="0" fontId="7" fillId="5" borderId="15" xfId="0" applyNumberFormat="1"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8" xfId="0" applyFont="1" applyFill="1" applyBorder="1" applyAlignment="1">
      <alignment horizontal="center" vertical="center"/>
    </xf>
    <xf numFmtId="164" fontId="7" fillId="0" borderId="1" xfId="12" applyFont="1" applyBorder="1" applyAlignment="1">
      <alignment horizontal="center" vertical="center"/>
    </xf>
    <xf numFmtId="178" fontId="7" fillId="5" borderId="8" xfId="13" applyNumberFormat="1" applyFont="1" applyFill="1" applyBorder="1" applyAlignment="1">
      <alignment horizontal="center" vertical="center" wrapText="1"/>
    </xf>
    <xf numFmtId="178" fontId="7" fillId="5" borderId="18" xfId="13"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xf>
    <xf numFmtId="0" fontId="6" fillId="13" borderId="8" xfId="0" applyFont="1" applyFill="1" applyBorder="1" applyAlignment="1">
      <alignment horizontal="center" vertical="center" wrapText="1"/>
    </xf>
    <xf numFmtId="0" fontId="6" fillId="13" borderId="15"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12"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12" fillId="0" borderId="8" xfId="0"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0" fontId="12" fillId="5" borderId="1" xfId="0" applyFont="1" applyFill="1" applyBorder="1" applyAlignment="1">
      <alignment horizontal="justify" vertical="center" wrapText="1"/>
    </xf>
    <xf numFmtId="9" fontId="12" fillId="0" borderId="1" xfId="0" applyNumberFormat="1" applyFont="1" applyFill="1" applyBorder="1" applyAlignment="1">
      <alignment horizontal="center" vertical="center" wrapText="1"/>
    </xf>
    <xf numFmtId="0" fontId="12" fillId="0" borderId="8" xfId="0" applyFont="1" applyFill="1" applyBorder="1" applyAlignment="1">
      <alignment horizontal="center" wrapText="1"/>
    </xf>
    <xf numFmtId="9" fontId="12" fillId="0" borderId="8" xfId="0" applyNumberFormat="1" applyFont="1" applyFill="1" applyBorder="1" applyAlignment="1">
      <alignment horizontal="center" vertical="center" wrapText="1"/>
    </xf>
    <xf numFmtId="0" fontId="12" fillId="0" borderId="8" xfId="0" applyFont="1" applyFill="1" applyBorder="1" applyAlignment="1">
      <alignment horizontal="justify" vertical="center" wrapText="1"/>
    </xf>
    <xf numFmtId="179" fontId="12" fillId="0" borderId="8" xfId="0" applyNumberFormat="1" applyFont="1" applyFill="1" applyBorder="1" applyAlignment="1">
      <alignment horizontal="center" vertical="center" wrapText="1"/>
    </xf>
    <xf numFmtId="3" fontId="12" fillId="0" borderId="8" xfId="0" applyNumberFormat="1" applyFont="1" applyFill="1" applyBorder="1" applyAlignment="1">
      <alignment horizontal="center" vertical="center" wrapText="1"/>
    </xf>
    <xf numFmtId="3" fontId="12" fillId="0" borderId="8" xfId="0" applyNumberFormat="1" applyFont="1" applyFill="1" applyBorder="1" applyAlignment="1">
      <alignment horizontal="right" vertical="center" wrapText="1"/>
    </xf>
    <xf numFmtId="15" fontId="12" fillId="0" borderId="8" xfId="0" applyNumberFormat="1" applyFont="1" applyFill="1" applyBorder="1" applyAlignment="1">
      <alignment horizontal="center" vertical="center" wrapText="1"/>
    </xf>
    <xf numFmtId="176" fontId="12" fillId="0" borderId="1" xfId="4" applyNumberFormat="1" applyFont="1" applyFill="1" applyBorder="1" applyAlignment="1">
      <alignment horizontal="center" vertical="center"/>
    </xf>
    <xf numFmtId="176" fontId="12" fillId="0" borderId="18" xfId="4" applyNumberFormat="1" applyFont="1" applyFill="1" applyBorder="1" applyAlignment="1">
      <alignment vertical="center"/>
    </xf>
    <xf numFmtId="176" fontId="12" fillId="0" borderId="18" xfId="4" applyNumberFormat="1" applyFont="1" applyFill="1" applyBorder="1" applyAlignment="1">
      <alignment horizontal="center" vertical="center"/>
    </xf>
    <xf numFmtId="3" fontId="12" fillId="0" borderId="1" xfId="0" applyNumberFormat="1" applyFont="1" applyFill="1" applyBorder="1" applyAlignment="1">
      <alignment horizontal="justify" vertical="center" wrapText="1"/>
    </xf>
    <xf numFmtId="0" fontId="11" fillId="3" borderId="4" xfId="0" applyFont="1" applyFill="1" applyBorder="1" applyAlignment="1">
      <alignment horizontal="center" vertical="center"/>
    </xf>
    <xf numFmtId="0" fontId="6" fillId="4" borderId="1" xfId="0" applyFont="1" applyFill="1" applyBorder="1" applyAlignment="1">
      <alignment horizontal="center" vertical="center" wrapText="1"/>
    </xf>
    <xf numFmtId="169" fontId="6" fillId="3" borderId="1" xfId="2" applyFont="1" applyFill="1" applyBorder="1" applyAlignment="1">
      <alignment horizontal="center" vertical="center" wrapText="1"/>
    </xf>
    <xf numFmtId="0" fontId="6" fillId="5" borderId="0" xfId="0" applyFont="1" applyFill="1" applyAlignment="1">
      <alignment horizontal="center"/>
    </xf>
    <xf numFmtId="3" fontId="7" fillId="5" borderId="8" xfId="0" applyNumberFormat="1" applyFont="1" applyFill="1" applyBorder="1" applyAlignment="1">
      <alignment horizontal="justify" vertical="center" wrapText="1"/>
    </xf>
    <xf numFmtId="3" fontId="7" fillId="5" borderId="18" xfId="0" applyNumberFormat="1" applyFont="1" applyFill="1" applyBorder="1" applyAlignment="1">
      <alignment horizontal="justify" vertical="center" wrapText="1"/>
    </xf>
    <xf numFmtId="170" fontId="7" fillId="5" borderId="18" xfId="0" applyNumberFormat="1" applyFont="1" applyFill="1" applyBorder="1" applyAlignment="1">
      <alignment horizontal="center" vertical="center" wrapText="1"/>
    </xf>
    <xf numFmtId="9" fontId="7" fillId="5" borderId="8" xfId="5" applyFont="1" applyFill="1" applyBorder="1" applyAlignment="1">
      <alignment horizontal="center" vertical="center" wrapText="1"/>
    </xf>
    <xf numFmtId="0" fontId="7" fillId="5" borderId="18" xfId="0" applyFont="1" applyFill="1" applyBorder="1" applyAlignment="1">
      <alignment horizontal="justify" vertical="center" wrapText="1"/>
    </xf>
    <xf numFmtId="0" fontId="7" fillId="0" borderId="8" xfId="0" applyFont="1" applyFill="1" applyBorder="1" applyAlignment="1">
      <alignment horizontal="justify" vertical="center" wrapText="1"/>
    </xf>
    <xf numFmtId="0" fontId="7" fillId="0" borderId="15" xfId="0" applyFont="1" applyBorder="1" applyAlignment="1">
      <alignment horizontal="justify" vertical="center" wrapText="1"/>
    </xf>
    <xf numFmtId="0" fontId="7" fillId="0" borderId="18" xfId="0" applyFont="1" applyBorder="1" applyAlignment="1">
      <alignment horizontal="justify" vertical="center" wrapText="1"/>
    </xf>
    <xf numFmtId="0" fontId="7" fillId="5" borderId="1" xfId="0" applyFont="1" applyFill="1" applyBorder="1" applyAlignment="1">
      <alignment horizontal="justify" vertical="center" wrapText="1"/>
    </xf>
    <xf numFmtId="0" fontId="7" fillId="0" borderId="1" xfId="0" applyFont="1" applyBorder="1" applyAlignment="1">
      <alignment horizontal="justify" vertical="center" wrapText="1"/>
    </xf>
    <xf numFmtId="0" fontId="6" fillId="0" borderId="1" xfId="0" applyFont="1" applyBorder="1" applyAlignment="1">
      <alignment horizontal="left" vertical="center"/>
    </xf>
    <xf numFmtId="0" fontId="6" fillId="0" borderId="1" xfId="0" applyFont="1" applyBorder="1" applyAlignment="1">
      <alignment horizontal="left"/>
    </xf>
    <xf numFmtId="168" fontId="6" fillId="0" borderId="1" xfId="0" applyNumberFormat="1" applyFont="1" applyBorder="1" applyAlignment="1">
      <alignment horizontal="left" vertical="center"/>
    </xf>
    <xf numFmtId="17" fontId="6" fillId="0" borderId="1" xfId="0" applyNumberFormat="1" applyFont="1" applyBorder="1" applyAlignment="1">
      <alignment horizontal="left" vertical="center"/>
    </xf>
    <xf numFmtId="0" fontId="6" fillId="0" borderId="1" xfId="0" applyFont="1" applyBorder="1" applyAlignment="1">
      <alignment vertical="center"/>
    </xf>
    <xf numFmtId="0" fontId="6" fillId="0" borderId="9" xfId="0" applyFont="1" applyBorder="1" applyAlignment="1">
      <alignment vertical="center"/>
    </xf>
    <xf numFmtId="0" fontId="6" fillId="0" borderId="7" xfId="0" applyFont="1" applyBorder="1" applyAlignment="1">
      <alignment vertical="center"/>
    </xf>
    <xf numFmtId="43" fontId="6" fillId="0" borderId="2" xfId="7" applyNumberFormat="1" applyFont="1" applyBorder="1" applyAlignment="1">
      <alignment horizontal="center" vertical="center"/>
    </xf>
    <xf numFmtId="43" fontId="6" fillId="0" borderId="2" xfId="0" applyNumberFormat="1" applyFont="1" applyBorder="1" applyAlignment="1">
      <alignment horizontal="center" vertical="center"/>
    </xf>
    <xf numFmtId="1" fontId="6" fillId="3" borderId="8" xfId="0" applyNumberFormat="1" applyFont="1" applyFill="1" applyBorder="1" applyAlignment="1">
      <alignment horizontal="center" vertical="center" wrapText="1"/>
    </xf>
    <xf numFmtId="2" fontId="6" fillId="3" borderId="8" xfId="0" applyNumberFormat="1" applyFont="1" applyFill="1" applyBorder="1" applyAlignment="1">
      <alignment horizontal="center" vertical="center" wrapText="1"/>
    </xf>
    <xf numFmtId="2" fontId="6" fillId="3" borderId="8" xfId="0" applyNumberFormat="1" applyFont="1" applyFill="1" applyBorder="1" applyAlignment="1">
      <alignment horizontal="center" wrapText="1"/>
    </xf>
    <xf numFmtId="0" fontId="6" fillId="3" borderId="15" xfId="0" applyFont="1" applyFill="1" applyBorder="1" applyAlignment="1">
      <alignment horizontal="center" vertical="center" wrapText="1"/>
    </xf>
    <xf numFmtId="170" fontId="6" fillId="3" borderId="8" xfId="0" applyNumberFormat="1" applyFont="1" applyFill="1" applyBorder="1" applyAlignment="1">
      <alignment horizontal="center" vertical="center" wrapText="1"/>
    </xf>
    <xf numFmtId="1" fontId="6" fillId="6" borderId="3" xfId="0" applyNumberFormat="1" applyFont="1" applyFill="1" applyBorder="1" applyAlignment="1">
      <alignment horizontal="left" vertical="center" wrapText="1"/>
    </xf>
    <xf numFmtId="1" fontId="6" fillId="6" borderId="4" xfId="0" applyNumberFormat="1" applyFont="1" applyFill="1" applyBorder="1" applyAlignment="1">
      <alignment vertical="center" wrapText="1"/>
    </xf>
    <xf numFmtId="0" fontId="6" fillId="6" borderId="4" xfId="0" applyFont="1" applyFill="1" applyBorder="1"/>
    <xf numFmtId="1" fontId="6" fillId="6" borderId="4" xfId="0" applyNumberFormat="1" applyFont="1" applyFill="1" applyBorder="1" applyAlignment="1">
      <alignment horizontal="center" vertical="center" wrapText="1"/>
    </xf>
    <xf numFmtId="2" fontId="6" fillId="6" borderId="4" xfId="0" applyNumberFormat="1" applyFont="1" applyFill="1" applyBorder="1" applyAlignment="1">
      <alignment vertical="center" wrapText="1"/>
    </xf>
    <xf numFmtId="2" fontId="6" fillId="6" borderId="4" xfId="0" applyNumberFormat="1" applyFont="1" applyFill="1" applyBorder="1" applyAlignment="1">
      <alignment horizontal="center" wrapText="1"/>
    </xf>
    <xf numFmtId="43" fontId="6" fillId="6" borderId="4" xfId="7" applyNumberFormat="1" applyFont="1" applyFill="1" applyBorder="1" applyAlignment="1">
      <alignment vertical="center" wrapText="1"/>
    </xf>
    <xf numFmtId="43" fontId="6" fillId="6" borderId="4" xfId="0" applyNumberFormat="1" applyFont="1" applyFill="1" applyBorder="1" applyAlignment="1">
      <alignment vertical="center" wrapText="1"/>
    </xf>
    <xf numFmtId="1" fontId="6" fillId="6" borderId="5" xfId="0" applyNumberFormat="1" applyFont="1" applyFill="1" applyBorder="1" applyAlignment="1">
      <alignment horizontal="center" vertical="center" wrapText="1"/>
    </xf>
    <xf numFmtId="1" fontId="6" fillId="0" borderId="0" xfId="0" applyNumberFormat="1" applyFont="1" applyFill="1" applyBorder="1" applyAlignment="1">
      <alignment vertical="center" wrapText="1"/>
    </xf>
    <xf numFmtId="0" fontId="6" fillId="0" borderId="0" xfId="0" applyFont="1" applyFill="1" applyBorder="1"/>
    <xf numFmtId="0" fontId="6" fillId="10" borderId="9" xfId="0" applyFont="1" applyFill="1" applyBorder="1"/>
    <xf numFmtId="43" fontId="6" fillId="10" borderId="9" xfId="7" applyNumberFormat="1" applyFont="1" applyFill="1" applyBorder="1"/>
    <xf numFmtId="43" fontId="6" fillId="10" borderId="9" xfId="0" applyNumberFormat="1" applyFont="1" applyFill="1" applyBorder="1"/>
    <xf numFmtId="170" fontId="6" fillId="10" borderId="9" xfId="0" applyNumberFormat="1" applyFont="1" applyFill="1" applyBorder="1" applyAlignment="1">
      <alignment horizontal="center" vertical="center" wrapText="1"/>
    </xf>
    <xf numFmtId="3" fontId="6" fillId="10" borderId="7" xfId="0" applyNumberFormat="1" applyFont="1" applyFill="1" applyBorder="1" applyAlignment="1">
      <alignment horizontal="center" vertical="center" wrapText="1"/>
    </xf>
    <xf numFmtId="0" fontId="6" fillId="0" borderId="13" xfId="0" applyFont="1" applyBorder="1"/>
    <xf numFmtId="0" fontId="6" fillId="0" borderId="2" xfId="0" applyFont="1" applyBorder="1"/>
    <xf numFmtId="0" fontId="6" fillId="0" borderId="3" xfId="0" applyFont="1" applyBorder="1"/>
    <xf numFmtId="0" fontId="6" fillId="9" borderId="4" xfId="0" applyFont="1" applyFill="1" applyBorder="1"/>
    <xf numFmtId="43" fontId="6" fillId="9" borderId="4" xfId="7" applyNumberFormat="1" applyFont="1" applyFill="1" applyBorder="1"/>
    <xf numFmtId="43" fontId="6" fillId="9" borderId="4" xfId="0" applyNumberFormat="1" applyFont="1" applyFill="1" applyBorder="1"/>
    <xf numFmtId="170" fontId="6" fillId="9" borderId="4" xfId="0" applyNumberFormat="1" applyFont="1" applyFill="1" applyBorder="1" applyAlignment="1">
      <alignment horizontal="center" vertical="center" wrapText="1"/>
    </xf>
    <xf numFmtId="3" fontId="6" fillId="9" borderId="5" xfId="0" applyNumberFormat="1" applyFont="1" applyFill="1" applyBorder="1" applyAlignment="1">
      <alignment horizontal="center" vertical="center" wrapText="1"/>
    </xf>
    <xf numFmtId="0" fontId="7" fillId="0" borderId="6" xfId="0" applyFont="1" applyBorder="1"/>
    <xf numFmtId="0" fontId="7" fillId="0" borderId="9" xfId="0" applyFont="1" applyBorder="1"/>
    <xf numFmtId="0" fontId="7" fillId="0" borderId="0" xfId="0" applyFont="1" applyBorder="1"/>
    <xf numFmtId="0" fontId="7" fillId="0" borderId="17" xfId="0" applyFont="1" applyBorder="1"/>
    <xf numFmtId="0" fontId="7" fillId="0" borderId="14" xfId="0" applyFont="1" applyFill="1" applyBorder="1" applyAlignment="1">
      <alignment horizontal="center" vertical="center" wrapText="1"/>
    </xf>
    <xf numFmtId="0" fontId="7" fillId="0" borderId="18" xfId="0" applyFont="1" applyFill="1" applyBorder="1" applyAlignment="1">
      <alignment horizontal="center" vertical="center"/>
    </xf>
    <xf numFmtId="1" fontId="7" fillId="0" borderId="18" xfId="0" applyNumberFormat="1" applyFont="1" applyFill="1" applyBorder="1" applyAlignment="1">
      <alignment horizontal="center" vertical="center"/>
    </xf>
    <xf numFmtId="1" fontId="7" fillId="0" borderId="18" xfId="0" applyNumberFormat="1" applyFont="1" applyFill="1" applyBorder="1" applyAlignment="1">
      <alignment horizontal="center" vertical="center" wrapText="1"/>
    </xf>
    <xf numFmtId="42" fontId="7" fillId="0" borderId="18" xfId="8" applyFont="1" applyFill="1" applyBorder="1" applyAlignment="1">
      <alignment horizontal="center" vertical="center"/>
    </xf>
    <xf numFmtId="0" fontId="7" fillId="0" borderId="18" xfId="0" applyFont="1" applyFill="1" applyBorder="1" applyAlignment="1">
      <alignment horizontal="justify" vertical="center" wrapText="1" readingOrder="2"/>
    </xf>
    <xf numFmtId="174" fontId="7" fillId="0" borderId="18" xfId="7" applyNumberFormat="1" applyFont="1" applyFill="1" applyBorder="1" applyAlignment="1">
      <alignment horizontal="center" vertical="center"/>
    </xf>
    <xf numFmtId="174" fontId="7" fillId="0" borderId="18" xfId="7" applyNumberFormat="1" applyFont="1" applyFill="1" applyBorder="1" applyAlignment="1">
      <alignment vertical="center" wrapText="1"/>
    </xf>
    <xf numFmtId="41" fontId="7" fillId="5" borderId="18" xfId="1" applyFont="1" applyFill="1" applyBorder="1" applyAlignment="1">
      <alignment horizontal="center" vertical="center" wrapText="1"/>
    </xf>
    <xf numFmtId="43" fontId="7" fillId="0" borderId="18" xfId="7" applyNumberFormat="1" applyFont="1" applyBorder="1" applyAlignment="1">
      <alignment horizontal="center" vertical="center"/>
    </xf>
    <xf numFmtId="43" fontId="7" fillId="0" borderId="18" xfId="0" applyNumberFormat="1" applyFont="1" applyBorder="1" applyAlignment="1">
      <alignment horizontal="center" vertical="center"/>
    </xf>
    <xf numFmtId="170" fontId="7" fillId="5" borderId="14" xfId="0" applyNumberFormat="1" applyFont="1" applyFill="1" applyBorder="1" applyAlignment="1">
      <alignment horizontal="center" vertical="center" wrapText="1"/>
    </xf>
    <xf numFmtId="0" fontId="7" fillId="0" borderId="1" xfId="0" applyFont="1" applyFill="1" applyBorder="1" applyAlignment="1">
      <alignment horizontal="justify" vertical="center" wrapText="1"/>
    </xf>
    <xf numFmtId="0" fontId="7" fillId="11" borderId="1" xfId="0" applyFont="1" applyFill="1" applyBorder="1" applyAlignment="1">
      <alignment horizontal="justify" vertical="center" wrapText="1"/>
    </xf>
    <xf numFmtId="174" fontId="7" fillId="5" borderId="1" xfId="7" applyNumberFormat="1" applyFont="1" applyFill="1" applyBorder="1" applyAlignment="1">
      <alignment horizontal="center" vertical="center" wrapText="1"/>
    </xf>
    <xf numFmtId="174" fontId="7" fillId="0" borderId="1" xfId="7" applyNumberFormat="1" applyFont="1" applyFill="1" applyBorder="1" applyAlignment="1">
      <alignment vertical="center" wrapText="1"/>
    </xf>
    <xf numFmtId="0" fontId="7" fillId="0" borderId="1" xfId="0" applyFont="1" applyFill="1" applyBorder="1" applyAlignment="1">
      <alignment horizontal="center" vertical="center"/>
    </xf>
    <xf numFmtId="41" fontId="7" fillId="5" borderId="1" xfId="1" applyFont="1" applyFill="1" applyBorder="1" applyAlignment="1">
      <alignment horizontal="center" vertical="center" wrapText="1"/>
    </xf>
    <xf numFmtId="43" fontId="7" fillId="0" borderId="1" xfId="7" applyNumberFormat="1" applyFont="1" applyBorder="1" applyAlignment="1">
      <alignment horizontal="center" vertical="center"/>
    </xf>
    <xf numFmtId="43" fontId="7" fillId="0" borderId="1" xfId="0" applyNumberFormat="1" applyFont="1" applyBorder="1" applyAlignment="1">
      <alignment horizontal="center" vertical="center"/>
    </xf>
    <xf numFmtId="9" fontId="7" fillId="0" borderId="1" xfId="5" applyFont="1" applyBorder="1" applyAlignment="1">
      <alignment horizontal="center" vertical="center"/>
    </xf>
    <xf numFmtId="170" fontId="7" fillId="5" borderId="5" xfId="0" applyNumberFormat="1" applyFont="1" applyFill="1" applyBorder="1" applyAlignment="1">
      <alignment horizontal="center" vertical="center" wrapText="1"/>
    </xf>
    <xf numFmtId="170" fontId="7" fillId="5" borderId="1" xfId="0" applyNumberFormat="1" applyFont="1" applyFill="1" applyBorder="1" applyAlignment="1">
      <alignment horizontal="center" vertical="center" wrapText="1"/>
    </xf>
    <xf numFmtId="174" fontId="7" fillId="5" borderId="1" xfId="7" applyNumberFormat="1" applyFont="1" applyFill="1" applyBorder="1" applyAlignment="1">
      <alignment horizontal="center" vertical="center"/>
    </xf>
    <xf numFmtId="0" fontId="7" fillId="0" borderId="1" xfId="0" applyFont="1" applyFill="1" applyBorder="1" applyAlignment="1">
      <alignment horizontal="justify" vertical="center" wrapText="1" readingOrder="2"/>
    </xf>
    <xf numFmtId="0" fontId="7" fillId="0" borderId="5" xfId="0" applyFont="1" applyFill="1" applyBorder="1" applyAlignment="1">
      <alignment horizontal="center" vertical="center"/>
    </xf>
    <xf numFmtId="1" fontId="7" fillId="0" borderId="1" xfId="0" applyNumberFormat="1" applyFont="1" applyFill="1" applyBorder="1" applyAlignment="1">
      <alignment horizontal="center" vertical="center"/>
    </xf>
    <xf numFmtId="0" fontId="8" fillId="0" borderId="1" xfId="0" applyFont="1" applyBorder="1" applyAlignment="1">
      <alignment horizontal="center" vertical="center" wrapText="1"/>
    </xf>
    <xf numFmtId="1" fontId="7" fillId="0" borderId="1" xfId="0" applyNumberFormat="1" applyFont="1" applyFill="1" applyBorder="1" applyAlignment="1">
      <alignment horizontal="center" vertical="center" wrapText="1"/>
    </xf>
    <xf numFmtId="42" fontId="7" fillId="0" borderId="1" xfId="8" applyFont="1" applyFill="1" applyBorder="1" applyAlignment="1">
      <alignment horizontal="center" vertical="center"/>
    </xf>
    <xf numFmtId="174" fontId="7" fillId="0" borderId="1" xfId="7" applyNumberFormat="1" applyFont="1" applyFill="1" applyBorder="1" applyAlignment="1">
      <alignment horizontal="center" vertical="center"/>
    </xf>
    <xf numFmtId="175" fontId="7" fillId="5"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170" fontId="7" fillId="0" borderId="5" xfId="0" applyNumberFormat="1" applyFont="1" applyFill="1" applyBorder="1" applyAlignment="1">
      <alignment horizontal="center" vertical="center" wrapText="1"/>
    </xf>
    <xf numFmtId="170" fontId="7" fillId="0" borderId="1" xfId="0" applyNumberFormat="1" applyFont="1" applyFill="1" applyBorder="1" applyAlignment="1">
      <alignment horizontal="center" vertical="center" wrapText="1"/>
    </xf>
    <xf numFmtId="3" fontId="7" fillId="0" borderId="8" xfId="0" applyNumberFormat="1" applyFont="1" applyFill="1" applyBorder="1" applyAlignment="1">
      <alignment horizontal="justify" vertical="center" wrapText="1"/>
    </xf>
    <xf numFmtId="9" fontId="7" fillId="0" borderId="1" xfId="5" applyFont="1" applyFill="1" applyBorder="1" applyAlignment="1">
      <alignment horizontal="center" vertical="center" wrapText="1"/>
    </xf>
    <xf numFmtId="0" fontId="7" fillId="0" borderId="13" xfId="0" applyFont="1" applyBorder="1"/>
    <xf numFmtId="0" fontId="7" fillId="0" borderId="2" xfId="0" applyFont="1" applyBorder="1"/>
    <xf numFmtId="0" fontId="7" fillId="0" borderId="14" xfId="0" applyFont="1" applyBorder="1"/>
    <xf numFmtId="9" fontId="7" fillId="0" borderId="5" xfId="5" applyFont="1" applyFill="1" applyBorder="1" applyAlignment="1">
      <alignment horizontal="center" vertical="center" wrapText="1"/>
    </xf>
    <xf numFmtId="3" fontId="7" fillId="0" borderId="1" xfId="0" applyNumberFormat="1" applyFont="1" applyFill="1" applyBorder="1" applyAlignment="1">
      <alignment horizontal="justify" vertical="center" wrapText="1"/>
    </xf>
    <xf numFmtId="0" fontId="6" fillId="0" borderId="3" xfId="0" applyFont="1" applyBorder="1" applyAlignment="1">
      <alignment vertical="center"/>
    </xf>
    <xf numFmtId="0" fontId="6" fillId="0" borderId="4" xfId="0" applyFont="1" applyBorder="1" applyAlignment="1">
      <alignment vertical="center"/>
    </xf>
    <xf numFmtId="1" fontId="6" fillId="0" borderId="4" xfId="0" applyNumberFormat="1" applyFont="1" applyBorder="1" applyAlignment="1">
      <alignment vertical="center"/>
    </xf>
    <xf numFmtId="0" fontId="6" fillId="0" borderId="5" xfId="0" applyFont="1" applyBorder="1" applyAlignment="1">
      <alignment horizontal="center" vertical="center"/>
    </xf>
    <xf numFmtId="42" fontId="6" fillId="5" borderId="1" xfId="8" applyFont="1" applyFill="1" applyBorder="1" applyAlignment="1">
      <alignment vertical="center"/>
    </xf>
    <xf numFmtId="0" fontId="6" fillId="0" borderId="5" xfId="0" applyFont="1" applyBorder="1" applyAlignment="1">
      <alignment vertical="center"/>
    </xf>
    <xf numFmtId="174" fontId="6" fillId="5" borderId="1" xfId="7" applyNumberFormat="1" applyFont="1" applyFill="1" applyBorder="1" applyAlignment="1">
      <alignment horizontal="center" vertical="center"/>
    </xf>
    <xf numFmtId="43" fontId="6" fillId="0" borderId="1" xfId="7" applyNumberFormat="1" applyFont="1" applyBorder="1" applyAlignment="1">
      <alignment vertical="center"/>
    </xf>
    <xf numFmtId="43" fontId="6" fillId="0" borderId="1" xfId="0" applyNumberFormat="1" applyFont="1" applyBorder="1" applyAlignment="1">
      <alignment vertical="center"/>
    </xf>
    <xf numFmtId="0" fontId="6" fillId="0" borderId="4" xfId="0" applyFont="1" applyBorder="1" applyAlignment="1">
      <alignment horizontal="center" vertical="center"/>
    </xf>
    <xf numFmtId="0" fontId="6" fillId="0" borderId="0" xfId="0" applyFont="1" applyAlignment="1">
      <alignment vertical="center"/>
    </xf>
    <xf numFmtId="1" fontId="7" fillId="0" borderId="0" xfId="0" applyNumberFormat="1" applyFont="1"/>
    <xf numFmtId="0" fontId="7" fillId="0" borderId="0" xfId="0" applyFont="1" applyAlignment="1">
      <alignment horizontal="center" vertical="center"/>
    </xf>
    <xf numFmtId="2" fontId="7" fillId="0" borderId="0" xfId="0" applyNumberFormat="1" applyFont="1" applyAlignment="1">
      <alignment horizontal="center"/>
    </xf>
    <xf numFmtId="0" fontId="7" fillId="0" borderId="0" xfId="0" applyFont="1" applyAlignment="1">
      <alignment vertical="center"/>
    </xf>
    <xf numFmtId="0" fontId="7" fillId="0" borderId="0" xfId="0" applyFont="1" applyAlignment="1"/>
    <xf numFmtId="43" fontId="7" fillId="0" borderId="0" xfId="7" applyNumberFormat="1" applyFont="1"/>
    <xf numFmtId="43" fontId="7" fillId="0" borderId="0" xfId="0" applyNumberFormat="1" applyFont="1"/>
    <xf numFmtId="0" fontId="6" fillId="0" borderId="14" xfId="0" applyFont="1" applyBorder="1" applyAlignment="1">
      <alignment horizontal="left"/>
    </xf>
    <xf numFmtId="0" fontId="6" fillId="0" borderId="5" xfId="0" applyFont="1" applyBorder="1"/>
    <xf numFmtId="0" fontId="6" fillId="3" borderId="1" xfId="0" applyFont="1" applyFill="1" applyBorder="1" applyAlignment="1">
      <alignment horizontal="center" vertical="center" wrapText="1"/>
    </xf>
    <xf numFmtId="1" fontId="6" fillId="6" borderId="9" xfId="0" applyNumberFormat="1" applyFont="1" applyFill="1" applyBorder="1" applyAlignment="1">
      <alignment horizontal="left" vertical="center" wrapText="1"/>
    </xf>
    <xf numFmtId="0" fontId="6" fillId="6" borderId="4" xfId="0" applyFont="1" applyFill="1" applyBorder="1" applyAlignment="1">
      <alignment vertical="center"/>
    </xf>
    <xf numFmtId="0" fontId="6" fillId="6" borderId="4" xfId="0" applyFont="1" applyFill="1" applyBorder="1" applyAlignment="1">
      <alignment horizontal="justify" vertical="center"/>
    </xf>
    <xf numFmtId="0" fontId="6" fillId="6" borderId="4" xfId="0" applyFont="1" applyFill="1" applyBorder="1" applyAlignment="1">
      <alignment horizontal="center" vertical="center"/>
    </xf>
    <xf numFmtId="9" fontId="6" fillId="6" borderId="4" xfId="5" applyFont="1" applyFill="1" applyBorder="1" applyAlignment="1">
      <alignment horizontal="center" vertical="center"/>
    </xf>
    <xf numFmtId="178" fontId="6" fillId="6" borderId="4" xfId="0" applyNumberFormat="1" applyFont="1" applyFill="1" applyBorder="1" applyAlignment="1">
      <alignment horizontal="right" vertical="center"/>
    </xf>
    <xf numFmtId="1" fontId="6" fillId="6" borderId="4" xfId="0" applyNumberFormat="1" applyFont="1" applyFill="1" applyBorder="1" applyAlignment="1">
      <alignment horizontal="center" vertical="center"/>
    </xf>
    <xf numFmtId="43" fontId="6" fillId="6" borderId="4" xfId="6" applyFont="1" applyFill="1" applyBorder="1" applyAlignment="1">
      <alignment horizontal="right" vertical="center"/>
    </xf>
    <xf numFmtId="179" fontId="6" fillId="6" borderId="4" xfId="0" applyNumberFormat="1" applyFont="1" applyFill="1" applyBorder="1" applyAlignment="1">
      <alignment vertical="center"/>
    </xf>
    <xf numFmtId="0" fontId="6" fillId="6" borderId="5" xfId="0" applyFont="1" applyFill="1" applyBorder="1" applyAlignment="1">
      <alignment horizontal="justify" vertical="center"/>
    </xf>
    <xf numFmtId="1" fontId="6" fillId="5" borderId="6" xfId="0" applyNumberFormat="1"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7" xfId="0" applyFont="1" applyFill="1" applyBorder="1" applyAlignment="1">
      <alignment horizontal="center" vertical="center" wrapText="1"/>
    </xf>
    <xf numFmtId="1" fontId="6" fillId="10" borderId="0" xfId="0" applyNumberFormat="1" applyFont="1" applyFill="1" applyBorder="1" applyAlignment="1">
      <alignment horizontal="center" vertical="center"/>
    </xf>
    <xf numFmtId="0" fontId="6" fillId="10" borderId="2" xfId="0" applyFont="1" applyFill="1" applyBorder="1" applyAlignment="1">
      <alignment vertical="center"/>
    </xf>
    <xf numFmtId="0" fontId="6" fillId="10" borderId="2" xfId="0" applyFont="1" applyFill="1" applyBorder="1" applyAlignment="1">
      <alignment horizontal="justify" vertical="center"/>
    </xf>
    <xf numFmtId="0" fontId="6" fillId="10" borderId="2" xfId="0" applyFont="1" applyFill="1" applyBorder="1" applyAlignment="1">
      <alignment horizontal="center" vertical="center"/>
    </xf>
    <xf numFmtId="9" fontId="6" fillId="10" borderId="2" xfId="5" applyFont="1" applyFill="1" applyBorder="1" applyAlignment="1">
      <alignment horizontal="center" vertical="center"/>
    </xf>
    <xf numFmtId="178" fontId="6" fillId="10" borderId="2" xfId="0" applyNumberFormat="1" applyFont="1" applyFill="1" applyBorder="1" applyAlignment="1">
      <alignment horizontal="right" vertical="center"/>
    </xf>
    <xf numFmtId="1" fontId="6" fillId="10" borderId="2" xfId="0" applyNumberFormat="1" applyFont="1" applyFill="1" applyBorder="1" applyAlignment="1">
      <alignment horizontal="center" vertical="center"/>
    </xf>
    <xf numFmtId="43" fontId="6" fillId="10" borderId="2" xfId="6" applyFont="1" applyFill="1" applyBorder="1" applyAlignment="1">
      <alignment horizontal="right" vertical="center"/>
    </xf>
    <xf numFmtId="179" fontId="6" fillId="10" borderId="2" xfId="0" applyNumberFormat="1" applyFont="1" applyFill="1" applyBorder="1" applyAlignment="1">
      <alignment vertical="center"/>
    </xf>
    <xf numFmtId="0" fontId="6" fillId="10" borderId="14" xfId="0" applyFont="1" applyFill="1" applyBorder="1" applyAlignment="1">
      <alignment horizontal="justify" vertical="center"/>
    </xf>
    <xf numFmtId="1" fontId="6" fillId="5" borderId="16" xfId="0" applyNumberFormat="1"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6" xfId="0" applyFont="1" applyFill="1" applyBorder="1" applyAlignment="1">
      <alignment horizontal="center" vertical="center" wrapText="1"/>
    </xf>
    <xf numFmtId="1" fontId="6" fillId="9" borderId="4" xfId="0" applyNumberFormat="1" applyFont="1" applyFill="1" applyBorder="1" applyAlignment="1">
      <alignment horizontal="left" vertical="center" wrapText="1" indent="1"/>
    </xf>
    <xf numFmtId="9" fontId="6" fillId="9" borderId="4" xfId="5" applyFont="1" applyFill="1" applyBorder="1" applyAlignment="1">
      <alignment horizontal="center" vertical="center"/>
    </xf>
    <xf numFmtId="178" fontId="6" fillId="9" borderId="4" xfId="0" applyNumberFormat="1" applyFont="1" applyFill="1" applyBorder="1" applyAlignment="1">
      <alignment horizontal="right" vertical="center"/>
    </xf>
    <xf numFmtId="1" fontId="6" fillId="9" borderId="4" xfId="0" applyNumberFormat="1" applyFont="1" applyFill="1" applyBorder="1" applyAlignment="1">
      <alignment horizontal="center" vertical="center"/>
    </xf>
    <xf numFmtId="43" fontId="6" fillId="9" borderId="4" xfId="6" applyFont="1" applyFill="1" applyBorder="1" applyAlignment="1">
      <alignment horizontal="right" vertical="center"/>
    </xf>
    <xf numFmtId="179" fontId="6" fillId="9" borderId="4" xfId="0" applyNumberFormat="1" applyFont="1" applyFill="1" applyBorder="1" applyAlignment="1">
      <alignment vertical="center"/>
    </xf>
    <xf numFmtId="0" fontId="6" fillId="9" borderId="5" xfId="0" applyFont="1" applyFill="1" applyBorder="1" applyAlignment="1">
      <alignment horizontal="justify" vertical="center"/>
    </xf>
    <xf numFmtId="1" fontId="7" fillId="5" borderId="16" xfId="0" applyNumberFormat="1" applyFont="1" applyFill="1" applyBorder="1" applyAlignment="1">
      <alignment horizontal="center" vertical="center" wrapText="1"/>
    </xf>
    <xf numFmtId="0" fontId="7" fillId="5" borderId="9" xfId="0" applyFont="1" applyFill="1" applyBorder="1" applyAlignment="1">
      <alignment horizontal="center" vertical="center" wrapText="1"/>
    </xf>
    <xf numFmtId="178" fontId="7" fillId="5" borderId="1" xfId="0" applyNumberFormat="1" applyFont="1" applyFill="1" applyBorder="1" applyAlignment="1">
      <alignment horizontal="right" vertical="center" wrapText="1"/>
    </xf>
    <xf numFmtId="178" fontId="7" fillId="0" borderId="1" xfId="0" applyNumberFormat="1" applyFont="1" applyFill="1" applyBorder="1" applyAlignment="1">
      <alignment horizontal="right" vertical="center" wrapText="1"/>
    </xf>
    <xf numFmtId="1" fontId="7" fillId="5" borderId="16" xfId="0" applyNumberFormat="1" applyFont="1" applyFill="1" applyBorder="1"/>
    <xf numFmtId="0" fontId="7" fillId="5" borderId="16" xfId="0" applyFont="1" applyFill="1" applyBorder="1"/>
    <xf numFmtId="0" fontId="7" fillId="5" borderId="17" xfId="0" applyFont="1" applyFill="1" applyBorder="1"/>
    <xf numFmtId="0" fontId="6" fillId="9" borderId="1" xfId="0" applyFont="1" applyFill="1" applyBorder="1" applyAlignment="1">
      <alignment horizontal="justify" vertical="center"/>
    </xf>
    <xf numFmtId="0" fontId="6" fillId="9" borderId="1" xfId="0" applyFont="1" applyFill="1" applyBorder="1" applyAlignment="1">
      <alignment horizontal="center" vertical="center"/>
    </xf>
    <xf numFmtId="9" fontId="6" fillId="9" borderId="1" xfId="5" applyFont="1" applyFill="1" applyBorder="1" applyAlignment="1">
      <alignment horizontal="center" vertical="center"/>
    </xf>
    <xf numFmtId="178" fontId="6" fillId="9" borderId="1" xfId="0" applyNumberFormat="1" applyFont="1" applyFill="1" applyBorder="1" applyAlignment="1">
      <alignment horizontal="right" vertical="center"/>
    </xf>
    <xf numFmtId="0" fontId="6" fillId="9" borderId="1" xfId="0" applyFont="1" applyFill="1" applyBorder="1" applyAlignment="1">
      <alignment horizontal="justify" vertical="center" wrapText="1"/>
    </xf>
    <xf numFmtId="1" fontId="6" fillId="9" borderId="1" xfId="0" applyNumberFormat="1" applyFont="1" applyFill="1" applyBorder="1" applyAlignment="1">
      <alignment horizontal="center" vertical="center"/>
    </xf>
    <xf numFmtId="43" fontId="6" fillId="9" borderId="1" xfId="6" applyFont="1" applyFill="1" applyBorder="1" applyAlignment="1">
      <alignment horizontal="right" vertical="center"/>
    </xf>
    <xf numFmtId="179" fontId="6" fillId="9" borderId="1" xfId="0" applyNumberFormat="1" applyFont="1" applyFill="1" applyBorder="1" applyAlignment="1">
      <alignment vertical="center"/>
    </xf>
    <xf numFmtId="0" fontId="7" fillId="5" borderId="9" xfId="0" applyFont="1" applyFill="1" applyBorder="1"/>
    <xf numFmtId="178" fontId="7" fillId="5" borderId="1" xfId="0" applyNumberFormat="1" applyFont="1" applyFill="1" applyBorder="1" applyAlignment="1">
      <alignment horizontal="right" vertical="center"/>
    </xf>
    <xf numFmtId="0" fontId="7" fillId="5" borderId="13" xfId="0" applyFont="1" applyFill="1" applyBorder="1"/>
    <xf numFmtId="0" fontId="7" fillId="5" borderId="2" xfId="0" applyFont="1" applyFill="1" applyBorder="1"/>
    <xf numFmtId="0" fontId="7" fillId="5" borderId="14" xfId="0" applyFont="1" applyFill="1" applyBorder="1"/>
    <xf numFmtId="0" fontId="6" fillId="10" borderId="1" xfId="0" applyFont="1" applyFill="1" applyBorder="1" applyAlignment="1">
      <alignment vertical="center"/>
    </xf>
    <xf numFmtId="0" fontId="6" fillId="10" borderId="1" xfId="0" applyFont="1" applyFill="1" applyBorder="1" applyAlignment="1">
      <alignment horizontal="justify" vertical="center"/>
    </xf>
    <xf numFmtId="0" fontId="6" fillId="10" borderId="1" xfId="0" applyFont="1" applyFill="1" applyBorder="1" applyAlignment="1">
      <alignment horizontal="center" vertical="center"/>
    </xf>
    <xf numFmtId="9" fontId="6" fillId="10" borderId="1" xfId="5" applyFont="1" applyFill="1" applyBorder="1" applyAlignment="1">
      <alignment horizontal="center" vertical="center"/>
    </xf>
    <xf numFmtId="178" fontId="6" fillId="10" borderId="1" xfId="0" applyNumberFormat="1" applyFont="1" applyFill="1" applyBorder="1" applyAlignment="1">
      <alignment horizontal="right" vertical="center"/>
    </xf>
    <xf numFmtId="0" fontId="6" fillId="10" borderId="1" xfId="0" applyFont="1" applyFill="1" applyBorder="1" applyAlignment="1">
      <alignment horizontal="justify" vertical="center" wrapText="1"/>
    </xf>
    <xf numFmtId="1" fontId="6" fillId="10" borderId="1" xfId="0" applyNumberFormat="1" applyFont="1" applyFill="1" applyBorder="1" applyAlignment="1">
      <alignment vertical="center"/>
    </xf>
    <xf numFmtId="43" fontId="6" fillId="10" borderId="1" xfId="6" applyFont="1" applyFill="1" applyBorder="1" applyAlignment="1">
      <alignment horizontal="right" vertical="center"/>
    </xf>
    <xf numFmtId="179" fontId="6" fillId="10" borderId="1" xfId="0" applyNumberFormat="1" applyFont="1" applyFill="1" applyBorder="1" applyAlignment="1">
      <alignment vertical="center"/>
    </xf>
    <xf numFmtId="0" fontId="7" fillId="5" borderId="6" xfId="0" applyFont="1" applyFill="1" applyBorder="1"/>
    <xf numFmtId="0" fontId="7" fillId="5" borderId="7" xfId="0" applyFont="1" applyFill="1" applyBorder="1"/>
    <xf numFmtId="1" fontId="6" fillId="9" borderId="9" xfId="0" applyNumberFormat="1" applyFont="1" applyFill="1" applyBorder="1" applyAlignment="1">
      <alignment horizontal="left" vertical="center" wrapText="1" indent="1"/>
    </xf>
    <xf numFmtId="0" fontId="6" fillId="9" borderId="9" xfId="0" applyFont="1" applyFill="1" applyBorder="1" applyAlignment="1">
      <alignment vertical="center"/>
    </xf>
    <xf numFmtId="1" fontId="7" fillId="0" borderId="16"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9" xfId="0" applyFont="1" applyFill="1" applyBorder="1" applyAlignment="1">
      <alignment horizontal="center" vertical="center"/>
    </xf>
    <xf numFmtId="49" fontId="7" fillId="0" borderId="1" xfId="10" applyNumberFormat="1" applyFont="1" applyFill="1" applyBorder="1" applyAlignment="1">
      <alignment horizontal="justify" vertical="center" wrapText="1"/>
    </xf>
    <xf numFmtId="178" fontId="7" fillId="0" borderId="1" xfId="0" applyNumberFormat="1" applyFont="1" applyFill="1" applyBorder="1" applyAlignment="1">
      <alignment horizontal="right" vertical="center"/>
    </xf>
    <xf numFmtId="0" fontId="7" fillId="0" borderId="0" xfId="0" applyFont="1" applyFill="1" applyAlignment="1">
      <alignment horizontal="center" vertical="center"/>
    </xf>
    <xf numFmtId="0" fontId="7" fillId="0" borderId="13" xfId="0" applyFont="1" applyFill="1" applyBorder="1" applyAlignment="1">
      <alignment horizontal="center" vertical="center"/>
    </xf>
    <xf numFmtId="0" fontId="7" fillId="0" borderId="2" xfId="0" applyFont="1" applyFill="1" applyBorder="1" applyAlignment="1">
      <alignment horizontal="center" vertical="center"/>
    </xf>
    <xf numFmtId="1" fontId="6" fillId="10" borderId="9" xfId="0" applyNumberFormat="1" applyFont="1" applyFill="1" applyBorder="1" applyAlignment="1">
      <alignment horizontal="center" vertical="center"/>
    </xf>
    <xf numFmtId="1" fontId="6" fillId="9" borderId="0" xfId="0" applyNumberFormat="1" applyFont="1" applyFill="1" applyBorder="1" applyAlignment="1">
      <alignment horizontal="center" vertical="center" wrapText="1"/>
    </xf>
    <xf numFmtId="0" fontId="6" fillId="9" borderId="0" xfId="0" applyFont="1" applyFill="1" applyBorder="1" applyAlignment="1">
      <alignment vertical="center"/>
    </xf>
    <xf numFmtId="1" fontId="6" fillId="9" borderId="1" xfId="0" applyNumberFormat="1" applyFont="1" applyFill="1" applyBorder="1" applyAlignment="1">
      <alignment vertical="center"/>
    </xf>
    <xf numFmtId="1" fontId="7" fillId="0" borderId="16" xfId="0" applyNumberFormat="1" applyFont="1" applyFill="1" applyBorder="1"/>
    <xf numFmtId="0" fontId="7" fillId="0" borderId="0" xfId="0" applyFont="1" applyFill="1" applyBorder="1"/>
    <xf numFmtId="0" fontId="7" fillId="0" borderId="16" xfId="0" applyFont="1" applyFill="1" applyBorder="1"/>
    <xf numFmtId="0" fontId="7" fillId="0" borderId="6" xfId="0" applyFont="1" applyFill="1" applyBorder="1"/>
    <xf numFmtId="0" fontId="7" fillId="0" borderId="9" xfId="0" applyFont="1" applyFill="1" applyBorder="1"/>
    <xf numFmtId="176" fontId="7" fillId="0" borderId="1" xfId="0" applyNumberFormat="1" applyFont="1" applyFill="1" applyBorder="1" applyAlignment="1">
      <alignment horizontal="right" vertical="center"/>
    </xf>
    <xf numFmtId="0" fontId="7" fillId="0" borderId="0" xfId="0" applyFont="1" applyFill="1" applyBorder="1" applyAlignment="1">
      <alignment wrapText="1"/>
    </xf>
    <xf numFmtId="1" fontId="7" fillId="0" borderId="15" xfId="0" applyNumberFormat="1" applyFont="1" applyFill="1" applyBorder="1" applyAlignment="1">
      <alignment vertical="center" wrapText="1"/>
    </xf>
    <xf numFmtId="43" fontId="7" fillId="0" borderId="15" xfId="6" applyFont="1" applyFill="1" applyBorder="1" applyAlignment="1">
      <alignment horizontal="right" vertical="center" wrapText="1"/>
    </xf>
    <xf numFmtId="9" fontId="7" fillId="0" borderId="15" xfId="5" applyFont="1" applyFill="1" applyBorder="1" applyAlignment="1">
      <alignment horizontal="center" vertical="center" wrapText="1"/>
    </xf>
    <xf numFmtId="1" fontId="7" fillId="0" borderId="15" xfId="0" applyNumberFormat="1" applyFont="1" applyFill="1" applyBorder="1" applyAlignment="1">
      <alignment horizontal="justify" vertical="center" wrapText="1"/>
    </xf>
    <xf numFmtId="179" fontId="7" fillId="5" borderId="1" xfId="0" applyNumberFormat="1" applyFont="1" applyFill="1" applyBorder="1" applyAlignment="1">
      <alignment horizontal="center" vertical="center"/>
    </xf>
    <xf numFmtId="179" fontId="7" fillId="0" borderId="1" xfId="0" applyNumberFormat="1" applyFont="1" applyFill="1" applyBorder="1" applyAlignment="1">
      <alignment vertical="center"/>
    </xf>
    <xf numFmtId="182" fontId="7" fillId="0" borderId="1" xfId="0" applyNumberFormat="1" applyFont="1" applyFill="1" applyBorder="1" applyAlignment="1">
      <alignment horizontal="center" vertical="center"/>
    </xf>
    <xf numFmtId="43" fontId="7" fillId="0" borderId="1" xfId="6" applyFont="1" applyFill="1" applyBorder="1" applyAlignment="1">
      <alignment horizontal="right" vertical="center" wrapText="1"/>
    </xf>
    <xf numFmtId="1" fontId="7" fillId="0" borderId="1" xfId="0" applyNumberFormat="1" applyFont="1" applyFill="1" applyBorder="1" applyAlignment="1">
      <alignment horizontal="justify" vertical="center" wrapText="1"/>
    </xf>
    <xf numFmtId="179" fontId="7" fillId="0" borderId="1" xfId="0" applyNumberFormat="1" applyFont="1" applyFill="1" applyBorder="1" applyAlignment="1">
      <alignment horizontal="center" vertical="center"/>
    </xf>
    <xf numFmtId="1" fontId="7" fillId="0" borderId="1" xfId="0" applyNumberFormat="1" applyFont="1" applyFill="1" applyBorder="1" applyAlignment="1">
      <alignment vertical="center" wrapText="1"/>
    </xf>
    <xf numFmtId="179" fontId="7" fillId="0" borderId="15" xfId="0" applyNumberFormat="1" applyFont="1" applyFill="1" applyBorder="1" applyAlignment="1">
      <alignment vertical="center"/>
    </xf>
    <xf numFmtId="1" fontId="6" fillId="5" borderId="8" xfId="0" applyNumberFormat="1" applyFont="1" applyFill="1" applyBorder="1" applyAlignment="1">
      <alignment vertical="center" textRotation="180" wrapText="1"/>
    </xf>
    <xf numFmtId="1" fontId="6" fillId="5" borderId="15" xfId="0" applyNumberFormat="1" applyFont="1" applyFill="1" applyBorder="1" applyAlignment="1">
      <alignment vertical="center" textRotation="180" wrapText="1"/>
    </xf>
    <xf numFmtId="178" fontId="7" fillId="5" borderId="0" xfId="0" applyNumberFormat="1" applyFont="1" applyFill="1" applyAlignment="1">
      <alignment horizontal="center" vertical="center"/>
    </xf>
    <xf numFmtId="1" fontId="6" fillId="5" borderId="18" xfId="0" applyNumberFormat="1" applyFont="1" applyFill="1" applyBorder="1" applyAlignment="1">
      <alignment vertical="center" textRotation="180" wrapText="1"/>
    </xf>
    <xf numFmtId="0" fontId="8" fillId="0" borderId="18" xfId="0" applyFont="1" applyBorder="1" applyAlignment="1">
      <alignment horizontal="center" vertical="top"/>
    </xf>
    <xf numFmtId="1" fontId="7" fillId="5" borderId="18" xfId="0" applyNumberFormat="1" applyFont="1" applyFill="1" applyBorder="1" applyAlignment="1">
      <alignment horizontal="center" vertical="top" wrapText="1"/>
    </xf>
    <xf numFmtId="0" fontId="7" fillId="5" borderId="18" xfId="0" applyFont="1" applyFill="1" applyBorder="1" applyAlignment="1">
      <alignment horizontal="center" vertical="top" wrapText="1"/>
    </xf>
    <xf numFmtId="0" fontId="7" fillId="0" borderId="1" xfId="0" applyFont="1" applyBorder="1" applyAlignment="1">
      <alignment horizontal="justify" vertical="center"/>
    </xf>
    <xf numFmtId="4" fontId="7" fillId="0" borderId="0" xfId="0" applyNumberFormat="1" applyFont="1" applyFill="1" applyBorder="1" applyAlignment="1" applyProtection="1">
      <alignment horizontal="right" vertical="center"/>
    </xf>
    <xf numFmtId="3" fontId="7" fillId="5" borderId="1" xfId="0" applyNumberFormat="1" applyFont="1" applyFill="1" applyBorder="1" applyAlignment="1">
      <alignment horizontal="right" vertical="center"/>
    </xf>
    <xf numFmtId="3" fontId="7" fillId="0" borderId="1" xfId="0" applyNumberFormat="1" applyFont="1" applyFill="1" applyBorder="1" applyAlignment="1">
      <alignment horizontal="right" vertical="center"/>
    </xf>
    <xf numFmtId="0" fontId="7" fillId="0" borderId="1" xfId="0" applyFont="1" applyFill="1" applyBorder="1" applyAlignment="1">
      <alignment vertical="center"/>
    </xf>
    <xf numFmtId="1" fontId="7" fillId="5" borderId="1" xfId="0" applyNumberFormat="1" applyFont="1" applyFill="1" applyBorder="1" applyAlignment="1">
      <alignment horizontal="center" vertical="center"/>
    </xf>
    <xf numFmtId="43" fontId="7" fillId="0" borderId="1" xfId="6" applyFont="1" applyFill="1" applyBorder="1" applyAlignment="1">
      <alignment horizontal="right" vertical="center"/>
    </xf>
    <xf numFmtId="1" fontId="7" fillId="0" borderId="1" xfId="0" applyNumberFormat="1" applyFont="1" applyFill="1" applyBorder="1" applyAlignment="1">
      <alignment horizontal="justify" vertical="center"/>
    </xf>
    <xf numFmtId="179" fontId="7" fillId="5" borderId="1" xfId="0" applyNumberFormat="1" applyFont="1" applyFill="1" applyBorder="1" applyAlignment="1">
      <alignment vertical="center"/>
    </xf>
    <xf numFmtId="2" fontId="7" fillId="5" borderId="1" xfId="0" applyNumberFormat="1" applyFont="1" applyFill="1" applyBorder="1" applyAlignment="1">
      <alignment horizontal="center" vertical="center"/>
    </xf>
    <xf numFmtId="178" fontId="7" fillId="0" borderId="1" xfId="6" applyNumberFormat="1" applyFont="1" applyFill="1" applyBorder="1" applyAlignment="1">
      <alignment horizontal="right" vertical="center"/>
    </xf>
    <xf numFmtId="1" fontId="7" fillId="0" borderId="8" xfId="0" applyNumberFormat="1" applyFont="1" applyFill="1" applyBorder="1" applyAlignment="1">
      <alignment horizontal="justify" vertical="center"/>
    </xf>
    <xf numFmtId="1" fontId="7" fillId="0" borderId="1" xfId="0" applyNumberFormat="1" applyFont="1" applyFill="1" applyBorder="1" applyAlignment="1">
      <alignment vertical="center"/>
    </xf>
    <xf numFmtId="1" fontId="7" fillId="5" borderId="13" xfId="0" applyNumberFormat="1" applyFont="1" applyFill="1" applyBorder="1"/>
    <xf numFmtId="1" fontId="6" fillId="0" borderId="3" xfId="0" applyNumberFormat="1" applyFont="1" applyBorder="1" applyAlignment="1">
      <alignment vertical="center"/>
    </xf>
    <xf numFmtId="0" fontId="6" fillId="5" borderId="4" xfId="0" applyFont="1" applyFill="1" applyBorder="1" applyAlignment="1">
      <alignment horizontal="justify" vertical="center"/>
    </xf>
    <xf numFmtId="0" fontId="6" fillId="5" borderId="4" xfId="0" applyFont="1" applyFill="1" applyBorder="1" applyAlignment="1">
      <alignment vertical="center"/>
    </xf>
    <xf numFmtId="0" fontId="6" fillId="5" borderId="4" xfId="0" applyFont="1" applyFill="1" applyBorder="1" applyAlignment="1">
      <alignment horizontal="center" vertical="center"/>
    </xf>
    <xf numFmtId="9" fontId="6" fillId="5" borderId="5" xfId="5" applyFont="1" applyFill="1" applyBorder="1" applyAlignment="1">
      <alignment horizontal="center" vertical="center"/>
    </xf>
    <xf numFmtId="178" fontId="6" fillId="5" borderId="3" xfId="0" applyNumberFormat="1" applyFont="1" applyFill="1" applyBorder="1" applyAlignment="1">
      <alignment horizontal="right" vertical="center"/>
    </xf>
    <xf numFmtId="0" fontId="6" fillId="5" borderId="3" xfId="0" applyFont="1" applyFill="1" applyBorder="1" applyAlignment="1">
      <alignment horizontal="justify" vertical="center"/>
    </xf>
    <xf numFmtId="0" fontId="6" fillId="5" borderId="5" xfId="0" applyFont="1" applyFill="1" applyBorder="1" applyAlignment="1">
      <alignment horizontal="justify" vertical="center"/>
    </xf>
    <xf numFmtId="178" fontId="6" fillId="5" borderId="1" xfId="0" applyNumberFormat="1" applyFont="1" applyFill="1" applyBorder="1" applyAlignment="1">
      <alignment horizontal="right" vertical="center"/>
    </xf>
    <xf numFmtId="1" fontId="6" fillId="5" borderId="3" xfId="0" applyNumberFormat="1" applyFont="1" applyFill="1" applyBorder="1" applyAlignment="1">
      <alignment horizontal="center" vertical="center"/>
    </xf>
    <xf numFmtId="179" fontId="6" fillId="0" borderId="4" xfId="0" applyNumberFormat="1" applyFont="1" applyFill="1" applyBorder="1" applyAlignment="1">
      <alignment horizontal="right" vertical="center"/>
    </xf>
    <xf numFmtId="179" fontId="6" fillId="0" borderId="4" xfId="0" applyNumberFormat="1" applyFont="1" applyBorder="1" applyAlignment="1">
      <alignment horizontal="center" vertical="center"/>
    </xf>
    <xf numFmtId="0" fontId="6" fillId="0" borderId="5" xfId="0" applyFont="1" applyBorder="1" applyAlignment="1">
      <alignment horizontal="justify" vertical="center"/>
    </xf>
    <xf numFmtId="0" fontId="7" fillId="5" borderId="0" xfId="0" applyFont="1" applyFill="1" applyAlignment="1">
      <alignment horizontal="center"/>
    </xf>
    <xf numFmtId="9" fontId="7" fillId="5" borderId="0" xfId="5" applyFont="1" applyFill="1" applyAlignment="1">
      <alignment horizontal="center" vertical="center"/>
    </xf>
    <xf numFmtId="178" fontId="7" fillId="5" borderId="0" xfId="0" applyNumberFormat="1" applyFont="1" applyFill="1" applyAlignment="1">
      <alignment horizontal="right" vertical="center"/>
    </xf>
    <xf numFmtId="0" fontId="7" fillId="5" borderId="0" xfId="0" applyFont="1" applyFill="1" applyBorder="1" applyAlignment="1">
      <alignment horizontal="right" vertical="center"/>
    </xf>
    <xf numFmtId="43" fontId="7" fillId="0" borderId="0" xfId="6" applyFont="1" applyFill="1" applyBorder="1" applyAlignment="1">
      <alignment horizontal="right"/>
    </xf>
    <xf numFmtId="43" fontId="8" fillId="0" borderId="0" xfId="6" applyFont="1" applyFill="1" applyBorder="1" applyAlignment="1">
      <alignment horizontal="right"/>
    </xf>
    <xf numFmtId="1" fontId="7" fillId="5" borderId="0" xfId="0" applyNumberFormat="1" applyFont="1" applyFill="1" applyBorder="1" applyAlignment="1">
      <alignment horizontal="center" vertical="center"/>
    </xf>
    <xf numFmtId="178" fontId="7" fillId="0" borderId="0" xfId="6" applyNumberFormat="1" applyFont="1" applyAlignment="1">
      <alignment horizontal="right"/>
    </xf>
    <xf numFmtId="43" fontId="7" fillId="0" borderId="0" xfId="6" applyFont="1" applyAlignment="1">
      <alignment horizontal="right"/>
    </xf>
    <xf numFmtId="179" fontId="7" fillId="0" borderId="0" xfId="0" applyNumberFormat="1" applyFont="1" applyFill="1" applyAlignment="1">
      <alignment horizontal="right" vertical="center"/>
    </xf>
    <xf numFmtId="179" fontId="7" fillId="0" borderId="0" xfId="0" applyNumberFormat="1" applyFont="1" applyAlignment="1">
      <alignment horizontal="center"/>
    </xf>
    <xf numFmtId="176" fontId="7" fillId="5" borderId="0" xfId="0" applyNumberFormat="1" applyFont="1" applyFill="1" applyAlignment="1">
      <alignment horizontal="right" vertical="center"/>
    </xf>
    <xf numFmtId="1" fontId="7" fillId="5" borderId="0" xfId="0" applyNumberFormat="1" applyFont="1" applyFill="1" applyAlignment="1">
      <alignment horizontal="center" vertical="center"/>
    </xf>
    <xf numFmtId="9" fontId="7" fillId="5" borderId="0" xfId="5" applyFont="1" applyFill="1" applyAlignment="1">
      <alignment horizontal="justify" vertical="center"/>
    </xf>
    <xf numFmtId="182" fontId="7" fillId="5" borderId="0" xfId="0" applyNumberFormat="1" applyFont="1" applyFill="1" applyAlignment="1">
      <alignment horizontal="right" vertical="center"/>
    </xf>
    <xf numFmtId="178" fontId="7" fillId="5" borderId="0" xfId="0" applyNumberFormat="1" applyFont="1" applyFill="1" applyAlignment="1">
      <alignment vertical="center"/>
    </xf>
    <xf numFmtId="171" fontId="7" fillId="0" borderId="0" xfId="11" applyNumberFormat="1" applyFont="1"/>
    <xf numFmtId="43" fontId="6" fillId="3" borderId="1" xfId="7" applyNumberFormat="1" applyFont="1" applyFill="1" applyBorder="1" applyAlignment="1">
      <alignment horizontal="center" vertical="center" wrapText="1"/>
    </xf>
    <xf numFmtId="43" fontId="6" fillId="3" borderId="1" xfId="7" applyNumberFormat="1" applyFont="1" applyFill="1" applyBorder="1" applyAlignment="1">
      <alignment horizontal="center" wrapText="1"/>
    </xf>
    <xf numFmtId="170" fontId="6" fillId="3" borderId="1" xfId="0" applyNumberFormat="1" applyFont="1" applyFill="1" applyBorder="1" applyAlignment="1">
      <alignment horizontal="center" vertical="center" wrapText="1"/>
    </xf>
    <xf numFmtId="1" fontId="6" fillId="6" borderId="6" xfId="0" applyNumberFormat="1" applyFont="1" applyFill="1" applyBorder="1" applyAlignment="1">
      <alignment horizontal="left" vertical="center" wrapText="1"/>
    </xf>
    <xf numFmtId="1" fontId="6" fillId="6" borderId="4" xfId="0" applyNumberFormat="1" applyFont="1" applyFill="1" applyBorder="1" applyAlignment="1">
      <alignment vertical="center"/>
    </xf>
    <xf numFmtId="43" fontId="7" fillId="6" borderId="4" xfId="7" applyNumberFormat="1" applyFont="1" applyFill="1" applyBorder="1" applyAlignment="1">
      <alignment vertical="center"/>
    </xf>
    <xf numFmtId="43" fontId="6" fillId="6" borderId="4" xfId="7" applyNumberFormat="1" applyFont="1" applyFill="1" applyBorder="1" applyAlignment="1">
      <alignment horizontal="justify" vertical="center"/>
    </xf>
    <xf numFmtId="43" fontId="6" fillId="6" borderId="4" xfId="7" applyNumberFormat="1" applyFont="1" applyFill="1" applyBorder="1" applyAlignment="1">
      <alignment horizontal="center" vertical="center"/>
    </xf>
    <xf numFmtId="43" fontId="6" fillId="6" borderId="4" xfId="7" applyNumberFormat="1" applyFont="1" applyFill="1" applyBorder="1" applyAlignment="1">
      <alignment horizontal="left" vertical="center"/>
    </xf>
    <xf numFmtId="0" fontId="7" fillId="6" borderId="4" xfId="0" applyFont="1" applyFill="1" applyBorder="1" applyAlignment="1">
      <alignment vertical="center"/>
    </xf>
    <xf numFmtId="176" fontId="7" fillId="6" borderId="4" xfId="4" applyNumberFormat="1" applyFont="1" applyFill="1" applyBorder="1" applyAlignment="1">
      <alignment horizontal="justify" vertical="center"/>
    </xf>
    <xf numFmtId="0" fontId="7" fillId="6" borderId="5" xfId="0" applyFont="1" applyFill="1" applyBorder="1" applyAlignment="1">
      <alignment vertical="center"/>
    </xf>
    <xf numFmtId="0" fontId="7" fillId="0" borderId="0" xfId="0" applyFont="1" applyBorder="1" applyAlignment="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6" fillId="8" borderId="9" xfId="0" applyFont="1" applyFill="1" applyBorder="1" applyAlignment="1">
      <alignment horizontal="left" vertical="center"/>
    </xf>
    <xf numFmtId="0" fontId="6" fillId="8" borderId="9" xfId="0" applyFont="1" applyFill="1" applyBorder="1" applyAlignment="1">
      <alignment vertical="center"/>
    </xf>
    <xf numFmtId="0" fontId="7" fillId="8" borderId="4" xfId="0" applyFont="1" applyFill="1" applyBorder="1" applyAlignment="1">
      <alignment vertical="center"/>
    </xf>
    <xf numFmtId="0" fontId="7" fillId="8" borderId="4" xfId="0" applyFont="1" applyFill="1" applyBorder="1" applyAlignment="1">
      <alignment horizontal="left" vertical="center"/>
    </xf>
    <xf numFmtId="0" fontId="7" fillId="8" borderId="4" xfId="0" applyFont="1" applyFill="1" applyBorder="1" applyAlignment="1">
      <alignment horizontal="center" vertical="center"/>
    </xf>
    <xf numFmtId="1" fontId="7" fillId="8" borderId="4" xfId="0" applyNumberFormat="1" applyFont="1" applyFill="1" applyBorder="1" applyAlignment="1">
      <alignment vertical="center"/>
    </xf>
    <xf numFmtId="43" fontId="7" fillId="8" borderId="4" xfId="7" applyNumberFormat="1" applyFont="1" applyFill="1" applyBorder="1" applyAlignment="1">
      <alignment vertical="center"/>
    </xf>
    <xf numFmtId="43" fontId="7" fillId="8" borderId="4" xfId="7" applyNumberFormat="1" applyFont="1" applyFill="1" applyBorder="1" applyAlignment="1">
      <alignment horizontal="center" vertical="center"/>
    </xf>
    <xf numFmtId="1" fontId="7" fillId="8" borderId="4" xfId="0" applyNumberFormat="1" applyFont="1" applyFill="1" applyBorder="1" applyAlignment="1">
      <alignment horizontal="center" vertical="center"/>
    </xf>
    <xf numFmtId="177" fontId="7" fillId="8" borderId="4" xfId="7" applyNumberFormat="1" applyFont="1" applyFill="1" applyBorder="1" applyAlignment="1">
      <alignment vertical="center"/>
    </xf>
    <xf numFmtId="0" fontId="7" fillId="8" borderId="5" xfId="0" applyFont="1" applyFill="1" applyBorder="1" applyAlignment="1">
      <alignment vertical="center"/>
    </xf>
    <xf numFmtId="0" fontId="7" fillId="0" borderId="16" xfId="0" applyFont="1" applyFill="1" applyBorder="1" applyAlignment="1">
      <alignment vertical="center"/>
    </xf>
    <xf numFmtId="0" fontId="7" fillId="0" borderId="0" xfId="0" applyFont="1" applyFill="1" applyBorder="1" applyAlignment="1">
      <alignment vertical="center"/>
    </xf>
    <xf numFmtId="0" fontId="7" fillId="0" borderId="9" xfId="0" applyFont="1" applyFill="1" applyBorder="1" applyAlignment="1">
      <alignment vertical="center"/>
    </xf>
    <xf numFmtId="0" fontId="7" fillId="9" borderId="4" xfId="0" applyFont="1" applyFill="1" applyBorder="1" applyAlignment="1">
      <alignment horizontal="left" vertical="center"/>
    </xf>
    <xf numFmtId="0" fontId="7" fillId="9" borderId="4" xfId="0" applyFont="1" applyFill="1" applyBorder="1" applyAlignment="1">
      <alignment horizontal="center" vertical="center"/>
    </xf>
    <xf numFmtId="0" fontId="7" fillId="9" borderId="4" xfId="0" applyFont="1" applyFill="1" applyBorder="1" applyAlignment="1">
      <alignment vertical="center"/>
    </xf>
    <xf numFmtId="1" fontId="7" fillId="9" borderId="4" xfId="0" applyNumberFormat="1" applyFont="1" applyFill="1" applyBorder="1" applyAlignment="1">
      <alignment vertical="center"/>
    </xf>
    <xf numFmtId="43" fontId="7" fillId="9" borderId="4" xfId="7" applyNumberFormat="1" applyFont="1" applyFill="1" applyBorder="1" applyAlignment="1">
      <alignment vertical="center"/>
    </xf>
    <xf numFmtId="43" fontId="7" fillId="9" borderId="4" xfId="7" applyNumberFormat="1" applyFont="1" applyFill="1" applyBorder="1" applyAlignment="1">
      <alignment horizontal="center" vertical="center"/>
    </xf>
    <xf numFmtId="1" fontId="7" fillId="9" borderId="4" xfId="0" applyNumberFormat="1" applyFont="1" applyFill="1" applyBorder="1" applyAlignment="1">
      <alignment horizontal="center" vertical="center"/>
    </xf>
    <xf numFmtId="0" fontId="7" fillId="9" borderId="5" xfId="0" applyFont="1" applyFill="1" applyBorder="1" applyAlignment="1">
      <alignment vertical="center"/>
    </xf>
    <xf numFmtId="0" fontId="7" fillId="0" borderId="7" xfId="0" applyFont="1" applyBorder="1"/>
    <xf numFmtId="0" fontId="7" fillId="5" borderId="1" xfId="0" applyFont="1" applyFill="1" applyBorder="1" applyAlignment="1">
      <alignment horizontal="justify" vertical="center" wrapText="1" readingOrder="2"/>
    </xf>
    <xf numFmtId="43" fontId="7" fillId="0" borderId="8" xfId="7" applyNumberFormat="1" applyFont="1" applyFill="1" applyBorder="1" applyAlignment="1">
      <alignment vertical="center" wrapText="1"/>
    </xf>
    <xf numFmtId="43" fontId="7" fillId="0" borderId="1" xfId="7" applyNumberFormat="1" applyFont="1" applyFill="1" applyBorder="1" applyAlignment="1">
      <alignment horizontal="center" vertical="center"/>
    </xf>
    <xf numFmtId="0" fontId="7" fillId="5" borderId="8" xfId="0" applyFont="1" applyFill="1" applyBorder="1" applyAlignment="1">
      <alignment horizontal="justify" vertical="center" wrapText="1" readingOrder="2"/>
    </xf>
    <xf numFmtId="43" fontId="7" fillId="0" borderId="1" xfId="7" applyNumberFormat="1" applyFont="1" applyFill="1" applyBorder="1" applyAlignment="1">
      <alignment vertical="center" wrapText="1"/>
    </xf>
    <xf numFmtId="43" fontId="7" fillId="0" borderId="1" xfId="7" applyNumberFormat="1" applyFont="1" applyFill="1" applyBorder="1" applyAlignment="1">
      <alignment vertical="center"/>
    </xf>
    <xf numFmtId="1" fontId="7" fillId="0" borderId="15" xfId="6" applyNumberFormat="1" applyFont="1" applyFill="1" applyBorder="1" applyAlignment="1">
      <alignment horizontal="center" vertical="center" wrapText="1"/>
    </xf>
    <xf numFmtId="9" fontId="7" fillId="5" borderId="1" xfId="5" applyNumberFormat="1" applyFont="1" applyFill="1" applyBorder="1" applyAlignment="1">
      <alignment vertical="center"/>
    </xf>
    <xf numFmtId="170" fontId="7" fillId="0" borderId="8" xfId="0" applyNumberFormat="1" applyFont="1" applyFill="1" applyBorder="1" applyAlignment="1">
      <alignment vertical="center" wrapText="1"/>
    </xf>
    <xf numFmtId="14" fontId="7" fillId="0" borderId="8" xfId="0" applyNumberFormat="1" applyFont="1" applyBorder="1" applyAlignment="1">
      <alignment vertical="center"/>
    </xf>
    <xf numFmtId="3" fontId="7" fillId="0" borderId="15" xfId="0" applyNumberFormat="1" applyFont="1" applyFill="1" applyBorder="1" applyAlignment="1">
      <alignment horizontal="left" vertical="center" wrapText="1"/>
    </xf>
    <xf numFmtId="43" fontId="7" fillId="0" borderId="1" xfId="7" applyNumberFormat="1" applyFont="1" applyBorder="1" applyAlignment="1">
      <alignment vertical="center"/>
    </xf>
    <xf numFmtId="0" fontId="7" fillId="0" borderId="1" xfId="0" applyFont="1" applyBorder="1" applyAlignment="1">
      <alignment vertical="center" wrapText="1"/>
    </xf>
    <xf numFmtId="170" fontId="7" fillId="0" borderId="1" xfId="0" applyNumberFormat="1" applyFont="1" applyFill="1" applyBorder="1" applyAlignment="1">
      <alignment vertical="center" wrapText="1"/>
    </xf>
    <xf numFmtId="14" fontId="7" fillId="0" borderId="1" xfId="0" applyNumberFormat="1" applyFont="1" applyBorder="1" applyAlignment="1">
      <alignment vertical="center"/>
    </xf>
    <xf numFmtId="9" fontId="7" fillId="5" borderId="18" xfId="5" applyNumberFormat="1" applyFont="1" applyFill="1" applyBorder="1" applyAlignment="1">
      <alignment horizontal="center" vertical="center"/>
    </xf>
    <xf numFmtId="0" fontId="7" fillId="0" borderId="17" xfId="0" applyFont="1" applyFill="1" applyBorder="1"/>
    <xf numFmtId="43" fontId="7" fillId="0" borderId="5" xfId="7" applyNumberFormat="1" applyFont="1" applyFill="1" applyBorder="1" applyAlignment="1">
      <alignment vertical="center"/>
    </xf>
    <xf numFmtId="0" fontId="7" fillId="0" borderId="8" xfId="0" applyFont="1" applyFill="1" applyBorder="1" applyAlignment="1">
      <alignment vertical="center" wrapText="1"/>
    </xf>
    <xf numFmtId="9" fontId="7" fillId="5" borderId="1" xfId="5" applyNumberFormat="1" applyFont="1" applyFill="1" applyBorder="1" applyAlignment="1">
      <alignment horizontal="center" vertical="center"/>
    </xf>
    <xf numFmtId="43" fontId="7" fillId="5" borderId="5" xfId="7" applyNumberFormat="1" applyFont="1" applyFill="1" applyBorder="1" applyAlignment="1">
      <alignment vertical="center"/>
    </xf>
    <xf numFmtId="43" fontId="7" fillId="5" borderId="1" xfId="7" applyNumberFormat="1" applyFont="1" applyFill="1" applyBorder="1" applyAlignment="1">
      <alignment horizontal="center" vertical="center"/>
    </xf>
    <xf numFmtId="43" fontId="7" fillId="5" borderId="1" xfId="7" applyNumberFormat="1" applyFont="1" applyFill="1" applyBorder="1" applyAlignment="1">
      <alignment vertical="center"/>
    </xf>
    <xf numFmtId="14" fontId="7" fillId="5" borderId="1" xfId="0" applyNumberFormat="1" applyFont="1" applyFill="1" applyBorder="1" applyAlignment="1">
      <alignment horizontal="center" vertical="center"/>
    </xf>
    <xf numFmtId="43" fontId="7" fillId="0" borderId="5" xfId="7" applyNumberFormat="1" applyFont="1" applyFill="1" applyBorder="1" applyAlignment="1">
      <alignment horizontal="center" vertical="center"/>
    </xf>
    <xf numFmtId="43" fontId="7" fillId="0" borderId="1" xfId="7" applyNumberFormat="1" applyFont="1" applyFill="1" applyBorder="1" applyAlignment="1">
      <alignment horizontal="right" vertical="center" wrapText="1"/>
    </xf>
    <xf numFmtId="1" fontId="7" fillId="0" borderId="1" xfId="6" applyNumberFormat="1" applyFont="1" applyFill="1" applyBorder="1" applyAlignment="1">
      <alignment horizontal="center" vertical="center" wrapText="1"/>
    </xf>
    <xf numFmtId="0" fontId="7" fillId="0" borderId="1" xfId="0" applyFont="1" applyBorder="1"/>
    <xf numFmtId="3" fontId="7" fillId="0" borderId="1" xfId="0" applyNumberFormat="1" applyFont="1" applyFill="1" applyBorder="1" applyAlignment="1">
      <alignment horizontal="left" vertical="center" wrapText="1"/>
    </xf>
    <xf numFmtId="1" fontId="7" fillId="0" borderId="1" xfId="0" applyNumberFormat="1" applyFont="1" applyBorder="1" applyAlignment="1">
      <alignment horizontal="center" vertical="center"/>
    </xf>
    <xf numFmtId="0" fontId="7" fillId="0" borderId="1" xfId="0" applyFont="1" applyBorder="1" applyAlignment="1">
      <alignment wrapText="1"/>
    </xf>
    <xf numFmtId="43" fontId="7" fillId="0" borderId="1" xfId="7" applyNumberFormat="1" applyFont="1" applyBorder="1"/>
    <xf numFmtId="0" fontId="7" fillId="0" borderId="8" xfId="0" applyFont="1" applyFill="1" applyBorder="1" applyAlignment="1">
      <alignment horizontal="left" vertical="center" wrapText="1"/>
    </xf>
    <xf numFmtId="1" fontId="7" fillId="0" borderId="8" xfId="0" applyNumberFormat="1" applyFont="1" applyFill="1" applyBorder="1" applyAlignment="1">
      <alignment horizontal="center" vertical="center" wrapText="1"/>
    </xf>
    <xf numFmtId="9" fontId="7" fillId="0" borderId="8" xfId="5" applyFont="1" applyFill="1" applyBorder="1" applyAlignment="1">
      <alignment horizontal="center" vertical="center" wrapText="1"/>
    </xf>
    <xf numFmtId="43" fontId="7" fillId="0" borderId="1" xfId="7" applyNumberFormat="1" applyFont="1" applyFill="1" applyBorder="1" applyAlignment="1">
      <alignment horizontal="center" vertical="center" wrapText="1"/>
    </xf>
    <xf numFmtId="43" fontId="7" fillId="0" borderId="1" xfId="7" applyNumberFormat="1" applyFont="1" applyFill="1" applyBorder="1" applyAlignment="1">
      <alignment horizontal="center"/>
    </xf>
    <xf numFmtId="43" fontId="7" fillId="0" borderId="1" xfId="7" applyNumberFormat="1" applyFont="1" applyFill="1" applyBorder="1"/>
    <xf numFmtId="1" fontId="7" fillId="0" borderId="8" xfId="0" applyNumberFormat="1" applyFont="1" applyBorder="1" applyAlignment="1">
      <alignment horizontal="center" vertical="center"/>
    </xf>
    <xf numFmtId="0" fontId="7" fillId="0" borderId="8" xfId="0" applyFont="1" applyBorder="1"/>
    <xf numFmtId="9" fontId="7" fillId="5" borderId="1" xfId="0" applyNumberFormat="1" applyFont="1" applyFill="1" applyBorder="1"/>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vertical="center"/>
    </xf>
    <xf numFmtId="0" fontId="7" fillId="0" borderId="4" xfId="0" applyFont="1" applyBorder="1" applyAlignment="1">
      <alignment horizontal="left" vertical="center"/>
    </xf>
    <xf numFmtId="0" fontId="7" fillId="0" borderId="4" xfId="0" applyFont="1" applyBorder="1" applyAlignment="1">
      <alignment horizontal="center" vertical="center"/>
    </xf>
    <xf numFmtId="1" fontId="7" fillId="0" borderId="4" xfId="0" applyNumberFormat="1" applyFont="1" applyBorder="1" applyAlignment="1">
      <alignment vertical="center"/>
    </xf>
    <xf numFmtId="43" fontId="6" fillId="5" borderId="4" xfId="7" applyNumberFormat="1" applyFont="1" applyFill="1" applyBorder="1" applyAlignment="1">
      <alignment vertical="center"/>
    </xf>
    <xf numFmtId="0" fontId="7" fillId="0" borderId="5" xfId="0" applyFont="1" applyBorder="1" applyAlignment="1">
      <alignment vertical="center"/>
    </xf>
    <xf numFmtId="43" fontId="6" fillId="5" borderId="5" xfId="7" applyNumberFormat="1" applyFont="1" applyFill="1" applyBorder="1" applyAlignment="1">
      <alignment horizontal="right" vertical="center"/>
    </xf>
    <xf numFmtId="43" fontId="6" fillId="0" borderId="1" xfId="7" applyNumberFormat="1" applyFont="1" applyFill="1" applyBorder="1" applyAlignment="1">
      <alignment horizontal="center" vertical="center"/>
    </xf>
    <xf numFmtId="43" fontId="6" fillId="0" borderId="3" xfId="7" applyNumberFormat="1" applyFont="1" applyFill="1" applyBorder="1" applyAlignment="1">
      <alignment vertical="center"/>
    </xf>
    <xf numFmtId="1" fontId="7" fillId="0" borderId="3" xfId="0" applyNumberFormat="1" applyFont="1" applyBorder="1" applyAlignment="1">
      <alignment horizontal="center" vertical="center"/>
    </xf>
    <xf numFmtId="43" fontId="6" fillId="0" borderId="5" xfId="7" applyNumberFormat="1" applyFont="1" applyBorder="1" applyAlignment="1">
      <alignment vertical="center"/>
    </xf>
    <xf numFmtId="9" fontId="6" fillId="5" borderId="1" xfId="0" applyNumberFormat="1" applyFont="1" applyFill="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center"/>
    </xf>
    <xf numFmtId="1" fontId="7" fillId="0" borderId="0" xfId="0" applyNumberFormat="1" applyFont="1" applyBorder="1"/>
    <xf numFmtId="43" fontId="6" fillId="5" borderId="0" xfId="7" applyNumberFormat="1" applyFont="1" applyFill="1" applyBorder="1" applyAlignment="1">
      <alignment vertical="center"/>
    </xf>
    <xf numFmtId="43" fontId="6" fillId="5" borderId="0" xfId="7" applyNumberFormat="1" applyFont="1" applyFill="1" applyBorder="1" applyAlignment="1">
      <alignment horizontal="right" vertical="center"/>
    </xf>
    <xf numFmtId="43" fontId="7" fillId="0" borderId="0" xfId="7" applyNumberFormat="1" applyFont="1" applyFill="1" applyBorder="1" applyAlignment="1">
      <alignment horizontal="center"/>
    </xf>
    <xf numFmtId="43" fontId="7" fillId="0" borderId="0" xfId="7" applyNumberFormat="1" applyFont="1" applyFill="1" applyBorder="1"/>
    <xf numFmtId="1" fontId="7" fillId="0" borderId="0" xfId="0" applyNumberFormat="1" applyFont="1" applyBorder="1" applyAlignment="1">
      <alignment horizontal="center" vertical="center"/>
    </xf>
    <xf numFmtId="43" fontId="7" fillId="0" borderId="0" xfId="7" applyNumberFormat="1" applyFont="1" applyBorder="1"/>
    <xf numFmtId="9" fontId="7" fillId="5" borderId="0" xfId="0" applyNumberFormat="1" applyFont="1" applyFill="1" applyBorder="1"/>
    <xf numFmtId="12" fontId="7" fillId="0" borderId="0" xfId="8" applyNumberFormat="1" applyFont="1" applyBorder="1"/>
    <xf numFmtId="43" fontId="7" fillId="0" borderId="0" xfId="7" applyNumberFormat="1" applyFont="1" applyBorder="1" applyAlignment="1">
      <alignment horizontal="center"/>
    </xf>
    <xf numFmtId="0" fontId="7" fillId="0" borderId="0" xfId="0" applyFont="1" applyAlignment="1">
      <alignment horizontal="left" vertical="center"/>
    </xf>
    <xf numFmtId="43" fontId="7" fillId="0" borderId="0" xfId="7" applyNumberFormat="1" applyFont="1" applyAlignment="1">
      <alignment horizontal="center"/>
    </xf>
    <xf numFmtId="1" fontId="7" fillId="0" borderId="0" xfId="0" applyNumberFormat="1" applyFont="1" applyAlignment="1">
      <alignment horizontal="center" vertical="center"/>
    </xf>
    <xf numFmtId="9" fontId="7" fillId="5" borderId="0" xfId="0" applyNumberFormat="1" applyFont="1" applyFill="1"/>
    <xf numFmtId="0" fontId="6" fillId="5" borderId="1" xfId="0" applyFont="1" applyFill="1" applyBorder="1"/>
    <xf numFmtId="0" fontId="6" fillId="5" borderId="1" xfId="0" applyFont="1" applyFill="1" applyBorder="1" applyAlignment="1">
      <alignment horizontal="left"/>
    </xf>
    <xf numFmtId="168" fontId="6" fillId="5" borderId="1" xfId="0" applyNumberFormat="1" applyFont="1" applyFill="1" applyBorder="1" applyAlignment="1">
      <alignment horizontal="left"/>
    </xf>
    <xf numFmtId="17" fontId="6" fillId="5" borderId="1" xfId="0" applyNumberFormat="1" applyFont="1" applyFill="1" applyBorder="1" applyAlignment="1">
      <alignment horizontal="left"/>
    </xf>
    <xf numFmtId="0" fontId="6" fillId="5" borderId="2" xfId="0" applyFont="1" applyFill="1" applyBorder="1" applyAlignment="1">
      <alignment horizontal="center" vertical="center" wrapText="1"/>
    </xf>
    <xf numFmtId="0" fontId="7" fillId="5" borderId="0" xfId="0" applyFont="1" applyFill="1" applyAlignment="1">
      <alignment wrapText="1"/>
    </xf>
    <xf numFmtId="0" fontId="6" fillId="5" borderId="1" xfId="0" applyFont="1" applyFill="1" applyBorder="1" applyAlignment="1">
      <alignment vertical="center"/>
    </xf>
    <xf numFmtId="3" fontId="6" fillId="5" borderId="1" xfId="0" applyNumberFormat="1" applyFont="1" applyFill="1" applyBorder="1" applyAlignment="1">
      <alignment horizontal="left" vertical="center" wrapText="1"/>
    </xf>
    <xf numFmtId="0" fontId="6" fillId="5" borderId="1" xfId="0" applyFont="1" applyFill="1" applyBorder="1" applyAlignment="1">
      <alignment horizontal="center" vertical="center"/>
    </xf>
    <xf numFmtId="0" fontId="6" fillId="5" borderId="3" xfId="0" applyFont="1" applyFill="1" applyBorder="1" applyAlignment="1">
      <alignment horizontal="center" vertical="center"/>
    </xf>
    <xf numFmtId="1" fontId="6" fillId="5" borderId="4" xfId="0" applyNumberFormat="1" applyFont="1" applyFill="1" applyBorder="1" applyAlignment="1">
      <alignment horizontal="center" vertical="center"/>
    </xf>
    <xf numFmtId="44" fontId="6" fillId="5" borderId="4" xfId="11" applyNumberFormat="1" applyFont="1" applyFill="1" applyBorder="1" applyAlignment="1">
      <alignment horizontal="center" vertical="center"/>
    </xf>
    <xf numFmtId="0" fontId="6" fillId="17" borderId="1" xfId="0" applyFont="1" applyFill="1" applyBorder="1" applyAlignment="1">
      <alignment horizontal="center" vertical="center" wrapText="1"/>
    </xf>
    <xf numFmtId="167" fontId="6" fillId="17" borderId="1" xfId="11" applyFont="1" applyFill="1" applyBorder="1" applyAlignment="1">
      <alignment horizontal="center" vertical="center" wrapText="1"/>
    </xf>
    <xf numFmtId="2" fontId="6" fillId="17" borderId="1" xfId="11" applyNumberFormat="1" applyFont="1" applyFill="1" applyBorder="1" applyAlignment="1">
      <alignment horizontal="center" vertical="center" wrapText="1"/>
    </xf>
    <xf numFmtId="0" fontId="6" fillId="17" borderId="18" xfId="0" applyFont="1" applyFill="1" applyBorder="1" applyAlignment="1">
      <alignment horizontal="center" vertical="center" wrapText="1"/>
    </xf>
    <xf numFmtId="170" fontId="6" fillId="17" borderId="1" xfId="0" applyNumberFormat="1" applyFont="1" applyFill="1" applyBorder="1" applyAlignment="1">
      <alignment horizontal="center" vertical="center" wrapText="1"/>
    </xf>
    <xf numFmtId="0" fontId="7" fillId="5" borderId="0" xfId="0" applyFont="1" applyFill="1" applyAlignment="1">
      <alignment vertical="center"/>
    </xf>
    <xf numFmtId="0" fontId="7" fillId="5" borderId="1" xfId="0" applyFont="1" applyFill="1" applyBorder="1" applyAlignment="1">
      <alignment vertical="center"/>
    </xf>
    <xf numFmtId="167" fontId="7" fillId="5" borderId="1" xfId="11" applyFont="1" applyFill="1" applyBorder="1" applyAlignment="1">
      <alignment horizontal="center" vertical="center"/>
    </xf>
    <xf numFmtId="2" fontId="7" fillId="5" borderId="1" xfId="11" applyNumberFormat="1" applyFont="1" applyFill="1" applyBorder="1" applyAlignment="1">
      <alignment horizontal="center" vertical="center"/>
    </xf>
    <xf numFmtId="0" fontId="7" fillId="5" borderId="1" xfId="0" applyFont="1" applyFill="1" applyBorder="1" applyAlignment="1">
      <alignment horizontal="left" vertical="center" wrapText="1"/>
    </xf>
    <xf numFmtId="167" fontId="7" fillId="5" borderId="1" xfId="11" applyFont="1" applyFill="1" applyBorder="1" applyAlignment="1">
      <alignment vertical="center"/>
    </xf>
    <xf numFmtId="44" fontId="7" fillId="5" borderId="1" xfId="11" applyNumberFormat="1" applyFont="1" applyFill="1" applyBorder="1" applyAlignment="1">
      <alignment horizontal="center" vertical="center"/>
    </xf>
    <xf numFmtId="167" fontId="7" fillId="5" borderId="18" xfId="11" applyFont="1" applyFill="1" applyBorder="1" applyAlignment="1">
      <alignment vertical="center"/>
    </xf>
    <xf numFmtId="0" fontId="7" fillId="5" borderId="15" xfId="0" applyFont="1" applyFill="1" applyBorder="1" applyAlignment="1">
      <alignment vertical="center"/>
    </xf>
    <xf numFmtId="0" fontId="7" fillId="5" borderId="18" xfId="0" applyFont="1" applyFill="1" applyBorder="1" applyAlignment="1">
      <alignment vertical="center"/>
    </xf>
    <xf numFmtId="1" fontId="7" fillId="5" borderId="1" xfId="1" applyNumberFormat="1" applyFont="1" applyFill="1" applyBorder="1" applyAlignment="1">
      <alignment horizontal="center" vertical="center"/>
    </xf>
    <xf numFmtId="0" fontId="7" fillId="5" borderId="8" xfId="0" applyFont="1" applyFill="1" applyBorder="1" applyAlignment="1">
      <alignment vertical="center"/>
    </xf>
    <xf numFmtId="0" fontId="6" fillId="5" borderId="8" xfId="0" applyFont="1" applyFill="1" applyBorder="1" applyAlignment="1">
      <alignment vertical="center" textRotation="90"/>
    </xf>
    <xf numFmtId="0" fontId="6" fillId="5" borderId="15" xfId="0" applyFont="1" applyFill="1" applyBorder="1" applyAlignment="1">
      <alignment vertical="center" textRotation="90"/>
    </xf>
    <xf numFmtId="0" fontId="7" fillId="5" borderId="6" xfId="0" applyFont="1" applyFill="1" applyBorder="1" applyAlignment="1">
      <alignment vertical="center" textRotation="90"/>
    </xf>
    <xf numFmtId="0" fontId="7" fillId="5" borderId="7" xfId="0" applyFont="1" applyFill="1" applyBorder="1" applyAlignment="1">
      <alignment vertical="center" textRotation="90"/>
    </xf>
    <xf numFmtId="0" fontId="7" fillId="5" borderId="16" xfId="0" applyFont="1" applyFill="1" applyBorder="1" applyAlignment="1">
      <alignment vertical="center" textRotation="90"/>
    </xf>
    <xf numFmtId="0" fontId="7" fillId="5" borderId="17" xfId="0" applyFont="1" applyFill="1" applyBorder="1" applyAlignment="1">
      <alignment vertical="center" textRotation="90"/>
    </xf>
    <xf numFmtId="44" fontId="7" fillId="5" borderId="1" xfId="11" applyNumberFormat="1" applyFont="1" applyFill="1" applyBorder="1" applyAlignment="1">
      <alignment vertical="center"/>
    </xf>
    <xf numFmtId="44" fontId="8" fillId="5" borderId="1" xfId="1" applyNumberFormat="1" applyFont="1" applyFill="1" applyBorder="1" applyAlignment="1">
      <alignment vertical="center"/>
    </xf>
    <xf numFmtId="44" fontId="7" fillId="5" borderId="1" xfId="0" applyNumberFormat="1" applyFont="1" applyFill="1" applyBorder="1" applyAlignment="1">
      <alignment vertical="center"/>
    </xf>
    <xf numFmtId="44" fontId="7" fillId="5" borderId="1" xfId="1" applyNumberFormat="1" applyFont="1" applyFill="1" applyBorder="1" applyAlignment="1">
      <alignment vertical="center"/>
    </xf>
    <xf numFmtId="12" fontId="7" fillId="5" borderId="1" xfId="8" applyNumberFormat="1" applyFont="1" applyFill="1" applyBorder="1" applyAlignment="1">
      <alignment vertical="center"/>
    </xf>
    <xf numFmtId="44" fontId="7" fillId="5" borderId="1" xfId="0" applyNumberFormat="1" applyFont="1" applyFill="1" applyBorder="1" applyAlignment="1">
      <alignment horizontal="center" vertical="center"/>
    </xf>
    <xf numFmtId="12" fontId="7" fillId="5" borderId="1" xfId="8" applyNumberFormat="1" applyFont="1" applyFill="1" applyBorder="1" applyAlignment="1">
      <alignment horizontal="center" vertical="center" wrapText="1"/>
    </xf>
    <xf numFmtId="1" fontId="7" fillId="5" borderId="1" xfId="0" applyNumberFormat="1" applyFont="1" applyFill="1" applyBorder="1" applyAlignment="1">
      <alignment vertical="center"/>
    </xf>
    <xf numFmtId="167" fontId="7" fillId="5" borderId="1" xfId="0" applyNumberFormat="1" applyFont="1" applyFill="1" applyBorder="1" applyAlignment="1">
      <alignment vertical="center"/>
    </xf>
    <xf numFmtId="14" fontId="7" fillId="0" borderId="1" xfId="0" applyNumberFormat="1" applyFont="1" applyFill="1" applyBorder="1" applyAlignment="1">
      <alignment horizontal="center" vertical="center" wrapText="1"/>
    </xf>
    <xf numFmtId="12" fontId="7" fillId="5" borderId="1" xfId="8" applyNumberFormat="1" applyFont="1" applyFill="1" applyBorder="1" applyAlignment="1">
      <alignment vertical="center" wrapText="1"/>
    </xf>
    <xf numFmtId="14" fontId="7" fillId="5" borderId="1" xfId="0" applyNumberFormat="1" applyFont="1" applyFill="1" applyBorder="1" applyAlignment="1">
      <alignment horizontal="center" vertical="center" wrapText="1"/>
    </xf>
    <xf numFmtId="0" fontId="7" fillId="5" borderId="1" xfId="0" applyFont="1" applyFill="1" applyBorder="1" applyAlignment="1">
      <alignment wrapText="1"/>
    </xf>
    <xf numFmtId="3" fontId="6" fillId="5" borderId="1" xfId="0" applyNumberFormat="1" applyFont="1" applyFill="1" applyBorder="1" applyAlignment="1">
      <alignment horizontal="center" vertical="center"/>
    </xf>
    <xf numFmtId="167" fontId="7" fillId="5" borderId="1" xfId="0" applyNumberFormat="1" applyFont="1" applyFill="1" applyBorder="1"/>
    <xf numFmtId="44" fontId="7" fillId="5" borderId="1" xfId="11" applyNumberFormat="1" applyFont="1" applyFill="1" applyBorder="1"/>
    <xf numFmtId="0" fontId="6" fillId="5" borderId="18" xfId="0" applyFont="1" applyFill="1" applyBorder="1" applyAlignment="1">
      <alignment vertical="center" textRotation="90"/>
    </xf>
    <xf numFmtId="0" fontId="7" fillId="5" borderId="13" xfId="0" applyFont="1" applyFill="1" applyBorder="1" applyAlignment="1">
      <alignment vertical="center" textRotation="90"/>
    </xf>
    <xf numFmtId="0" fontId="7" fillId="5" borderId="14" xfId="0" applyFont="1" applyFill="1" applyBorder="1" applyAlignment="1">
      <alignment vertical="center" textRotation="90"/>
    </xf>
    <xf numFmtId="1" fontId="7" fillId="5" borderId="18" xfId="0" applyNumberFormat="1" applyFont="1" applyFill="1" applyBorder="1" applyAlignment="1">
      <alignment horizontal="center" vertical="center"/>
    </xf>
    <xf numFmtId="0" fontId="6" fillId="5" borderId="4" xfId="0" applyFont="1" applyFill="1" applyBorder="1"/>
    <xf numFmtId="0" fontId="6" fillId="5" borderId="4" xfId="0" applyFont="1" applyFill="1" applyBorder="1" applyAlignment="1">
      <alignment vertical="center" wrapText="1"/>
    </xf>
    <xf numFmtId="166" fontId="6" fillId="5" borderId="4" xfId="0" applyNumberFormat="1" applyFont="1" applyFill="1" applyBorder="1" applyAlignment="1">
      <alignment horizontal="center" vertical="center"/>
    </xf>
    <xf numFmtId="0" fontId="6" fillId="5" borderId="5" xfId="0" applyFont="1" applyFill="1" applyBorder="1" applyAlignment="1">
      <alignment horizontal="right" vertical="center"/>
    </xf>
    <xf numFmtId="167" fontId="6" fillId="5" borderId="1" xfId="11" applyFont="1" applyFill="1" applyBorder="1" applyAlignment="1">
      <alignment horizontal="center" vertic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5" borderId="5" xfId="0" applyFont="1" applyFill="1" applyBorder="1"/>
    <xf numFmtId="1" fontId="6" fillId="5" borderId="1" xfId="0" applyNumberFormat="1" applyFont="1" applyFill="1" applyBorder="1" applyAlignment="1">
      <alignment horizontal="center"/>
    </xf>
    <xf numFmtId="44" fontId="6" fillId="5" borderId="1" xfId="11" applyNumberFormat="1" applyFont="1" applyFill="1" applyBorder="1"/>
    <xf numFmtId="9" fontId="6" fillId="5" borderId="1" xfId="5" applyFont="1" applyFill="1" applyBorder="1" applyAlignment="1">
      <alignment horizontal="center"/>
    </xf>
    <xf numFmtId="0" fontId="6" fillId="5" borderId="0" xfId="0" applyFont="1" applyFill="1"/>
    <xf numFmtId="0" fontId="6" fillId="5" borderId="0" xfId="0" applyFont="1" applyFill="1" applyAlignment="1">
      <alignment horizontal="center" vertical="center"/>
    </xf>
    <xf numFmtId="0" fontId="7" fillId="5" borderId="0" xfId="0" applyFont="1" applyFill="1" applyBorder="1" applyAlignment="1">
      <alignment horizontal="center" vertical="center"/>
    </xf>
    <xf numFmtId="166" fontId="7" fillId="5" borderId="0" xfId="0" applyNumberFormat="1" applyFont="1" applyFill="1" applyBorder="1" applyAlignment="1">
      <alignment horizontal="center" vertical="center"/>
    </xf>
    <xf numFmtId="167" fontId="7" fillId="5" borderId="0" xfId="11" applyFont="1" applyFill="1" applyAlignment="1">
      <alignment horizontal="center" vertical="center"/>
    </xf>
    <xf numFmtId="2" fontId="7" fillId="5" borderId="0" xfId="11" applyNumberFormat="1" applyFont="1" applyFill="1" applyAlignment="1">
      <alignment horizontal="center" vertical="center"/>
    </xf>
    <xf numFmtId="43" fontId="7" fillId="5" borderId="0" xfId="0" applyNumberFormat="1" applyFont="1" applyFill="1" applyAlignment="1">
      <alignment horizontal="center" vertical="center"/>
    </xf>
    <xf numFmtId="1" fontId="7" fillId="5" borderId="0" xfId="0" applyNumberFormat="1" applyFont="1" applyFill="1" applyAlignment="1">
      <alignment horizontal="center"/>
    </xf>
    <xf numFmtId="44" fontId="7" fillId="5" borderId="0" xfId="11" applyNumberFormat="1" applyFont="1" applyFill="1"/>
    <xf numFmtId="167" fontId="7" fillId="5" borderId="0" xfId="11" applyFont="1" applyFill="1" applyAlignment="1">
      <alignment horizontal="center"/>
    </xf>
    <xf numFmtId="0" fontId="6" fillId="5" borderId="4" xfId="0" applyFont="1" applyFill="1" applyBorder="1" applyAlignment="1">
      <alignment horizontal="justify"/>
    </xf>
    <xf numFmtId="0" fontId="6" fillId="5" borderId="4" xfId="0" applyFont="1" applyFill="1" applyBorder="1" applyAlignment="1">
      <alignment horizontal="justify" vertical="center" wrapText="1"/>
    </xf>
    <xf numFmtId="0" fontId="7" fillId="5" borderId="0" xfId="0" applyFont="1" applyFill="1" applyBorder="1" applyAlignment="1">
      <alignment horizontal="justify" vertical="center" wrapText="1"/>
    </xf>
    <xf numFmtId="0" fontId="7" fillId="5" borderId="1" xfId="0" applyFont="1" applyFill="1" applyBorder="1" applyAlignment="1">
      <alignment horizontal="justify" wrapText="1"/>
    </xf>
    <xf numFmtId="0" fontId="6" fillId="5" borderId="0" xfId="0" applyFont="1" applyFill="1" applyAlignment="1">
      <alignment horizontal="justify"/>
    </xf>
    <xf numFmtId="0" fontId="6" fillId="3" borderId="18" xfId="0" applyFont="1" applyFill="1" applyBorder="1" applyAlignment="1">
      <alignment horizontal="center" vertical="center" wrapText="1"/>
    </xf>
    <xf numFmtId="0" fontId="6" fillId="3" borderId="18" xfId="0" applyFont="1" applyFill="1" applyBorder="1" applyAlignment="1">
      <alignment horizontal="center" wrapText="1"/>
    </xf>
    <xf numFmtId="0" fontId="6" fillId="6" borderId="5" xfId="0" applyFont="1" applyFill="1" applyBorder="1" applyAlignment="1">
      <alignment horizontal="left" vertical="center"/>
    </xf>
    <xf numFmtId="0" fontId="6" fillId="6" borderId="9" xfId="0" applyFont="1" applyFill="1" applyBorder="1" applyAlignment="1">
      <alignment horizontal="center" vertical="center" wrapText="1"/>
    </xf>
    <xf numFmtId="0" fontId="6" fillId="6" borderId="9" xfId="0" applyFont="1" applyFill="1" applyBorder="1" applyAlignment="1">
      <alignment horizontal="left" vertical="center" wrapText="1"/>
    </xf>
    <xf numFmtId="0" fontId="6" fillId="6" borderId="4" xfId="0" applyFont="1" applyFill="1" applyBorder="1" applyAlignment="1">
      <alignment horizontal="center" vertical="center" wrapText="1"/>
    </xf>
    <xf numFmtId="0" fontId="6" fillId="6" borderId="4" xfId="0" applyFont="1" applyFill="1" applyBorder="1" applyAlignment="1">
      <alignment vertical="center" wrapText="1"/>
    </xf>
    <xf numFmtId="0" fontId="6" fillId="6" borderId="4" xfId="0" applyFont="1" applyFill="1" applyBorder="1" applyAlignment="1">
      <alignment horizontal="center" wrapText="1"/>
    </xf>
    <xf numFmtId="3" fontId="6" fillId="6" borderId="4" xfId="0" applyNumberFormat="1" applyFont="1" applyFill="1" applyBorder="1" applyAlignment="1">
      <alignment horizontal="center" vertical="center" wrapText="1"/>
    </xf>
    <xf numFmtId="9" fontId="6" fillId="6" borderId="4" xfId="3" applyFont="1" applyFill="1" applyBorder="1" applyAlignment="1">
      <alignment horizontal="center" vertical="center" wrapText="1"/>
    </xf>
    <xf numFmtId="170" fontId="6" fillId="6" borderId="4" xfId="0" applyNumberFormat="1" applyFont="1" applyFill="1" applyBorder="1" applyAlignment="1">
      <alignment horizontal="center" vertical="center" wrapText="1"/>
    </xf>
    <xf numFmtId="3" fontId="6" fillId="6" borderId="7"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5" xfId="0" applyFont="1" applyFill="1" applyBorder="1" applyAlignment="1">
      <alignment horizontal="left" vertical="center"/>
    </xf>
    <xf numFmtId="0" fontId="6" fillId="7" borderId="4" xfId="0" applyFont="1" applyFill="1" applyBorder="1" applyAlignment="1">
      <alignment horizontal="center" vertical="center" wrapText="1"/>
    </xf>
    <xf numFmtId="0" fontId="6" fillId="7" borderId="4" xfId="0" applyFont="1" applyFill="1" applyBorder="1" applyAlignment="1">
      <alignment vertical="center" wrapText="1"/>
    </xf>
    <xf numFmtId="0" fontId="6" fillId="7" borderId="4" xfId="0" applyFont="1" applyFill="1" applyBorder="1" applyAlignment="1">
      <alignment horizontal="center" wrapText="1"/>
    </xf>
    <xf numFmtId="3" fontId="6" fillId="7" borderId="4" xfId="0" applyNumberFormat="1" applyFont="1" applyFill="1" applyBorder="1" applyAlignment="1">
      <alignment horizontal="center" vertical="center" wrapText="1"/>
    </xf>
    <xf numFmtId="9" fontId="6" fillId="7" borderId="4" xfId="3" applyFont="1" applyFill="1" applyBorder="1" applyAlignment="1">
      <alignment horizontal="center" vertical="center" wrapText="1"/>
    </xf>
    <xf numFmtId="170" fontId="6" fillId="7" borderId="4" xfId="0" applyNumberFormat="1" applyFont="1" applyFill="1" applyBorder="1" applyAlignment="1">
      <alignment horizontal="center" vertical="center" wrapText="1"/>
    </xf>
    <xf numFmtId="3" fontId="6" fillId="7" borderId="5"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9" borderId="4" xfId="0" applyFont="1" applyFill="1" applyBorder="1" applyAlignment="1">
      <alignment vertical="center" wrapText="1"/>
    </xf>
    <xf numFmtId="0" fontId="6" fillId="9" borderId="4" xfId="0" applyFont="1" applyFill="1" applyBorder="1" applyAlignment="1">
      <alignment horizontal="center" wrapText="1"/>
    </xf>
    <xf numFmtId="3" fontId="6" fillId="9" borderId="4" xfId="0" applyNumberFormat="1" applyFont="1" applyFill="1" applyBorder="1" applyAlignment="1">
      <alignment horizontal="center" vertical="center" wrapText="1"/>
    </xf>
    <xf numFmtId="9" fontId="6" fillId="9" borderId="4" xfId="3" applyFont="1" applyFill="1" applyBorder="1" applyAlignment="1">
      <alignment horizontal="center" vertical="center" wrapText="1"/>
    </xf>
    <xf numFmtId="0" fontId="7" fillId="0" borderId="1" xfId="0" applyFont="1" applyBorder="1" applyAlignment="1">
      <alignment horizontal="justify" wrapText="1"/>
    </xf>
    <xf numFmtId="9" fontId="7" fillId="0" borderId="1" xfId="0" applyNumberFormat="1" applyFont="1" applyBorder="1" applyAlignment="1">
      <alignment horizontal="center" vertical="center" wrapText="1"/>
    </xf>
    <xf numFmtId="3" fontId="7" fillId="0" borderId="1" xfId="0" applyNumberFormat="1" applyFont="1" applyFill="1" applyBorder="1" applyAlignment="1">
      <alignment horizontal="center" vertical="center"/>
    </xf>
    <xf numFmtId="172" fontId="7" fillId="0" borderId="1" xfId="0" applyNumberFormat="1" applyFont="1" applyFill="1" applyBorder="1" applyAlignment="1">
      <alignment horizontal="center" vertical="center"/>
    </xf>
    <xf numFmtId="3" fontId="7" fillId="0" borderId="1" xfId="0" applyNumberFormat="1" applyFont="1" applyBorder="1" applyAlignment="1">
      <alignment horizontal="center" vertical="center"/>
    </xf>
    <xf numFmtId="171" fontId="7" fillId="0" borderId="1" xfId="0" applyNumberFormat="1" applyFont="1" applyBorder="1"/>
    <xf numFmtId="10" fontId="7" fillId="0" borderId="1" xfId="0" applyNumberFormat="1" applyFont="1" applyBorder="1" applyAlignment="1">
      <alignment horizontal="center" vertical="center"/>
    </xf>
    <xf numFmtId="172" fontId="7" fillId="0" borderId="1" xfId="1" applyNumberFormat="1" applyFont="1" applyFill="1" applyBorder="1" applyAlignment="1">
      <alignment horizontal="center" vertical="center"/>
    </xf>
    <xf numFmtId="41" fontId="7" fillId="0" borderId="1" xfId="1" applyFont="1" applyFill="1" applyBorder="1" applyAlignment="1">
      <alignment vertical="center"/>
    </xf>
    <xf numFmtId="172" fontId="7" fillId="0" borderId="1" xfId="0" applyNumberFormat="1" applyFont="1" applyBorder="1" applyAlignment="1">
      <alignment vertical="center"/>
    </xf>
    <xf numFmtId="172" fontId="7" fillId="0" borderId="1" xfId="0" applyNumberFormat="1" applyFont="1" applyBorder="1" applyAlignment="1">
      <alignment horizontal="center" vertical="center"/>
    </xf>
    <xf numFmtId="172" fontId="7" fillId="0" borderId="1" xfId="0" applyNumberFormat="1" applyFont="1" applyBorder="1"/>
    <xf numFmtId="0" fontId="7" fillId="0" borderId="2"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xf numFmtId="0" fontId="7" fillId="0" borderId="16" xfId="0" applyFont="1" applyBorder="1" applyAlignment="1"/>
    <xf numFmtId="0" fontId="7" fillId="0" borderId="17" xfId="0" applyFont="1" applyBorder="1" applyAlignment="1"/>
    <xf numFmtId="0" fontId="7" fillId="0" borderId="0" xfId="0" applyFont="1" applyBorder="1" applyAlignment="1"/>
    <xf numFmtId="0" fontId="7" fillId="0" borderId="4" xfId="0" applyFont="1" applyBorder="1" applyAlignment="1"/>
    <xf numFmtId="0" fontId="7" fillId="0" borderId="5" xfId="0" applyFont="1" applyBorder="1" applyAlignment="1"/>
    <xf numFmtId="0" fontId="7" fillId="0" borderId="16" xfId="0" applyFont="1" applyBorder="1" applyAlignment="1">
      <alignment horizontal="center"/>
    </xf>
    <xf numFmtId="0" fontId="7" fillId="0" borderId="17" xfId="0" applyFont="1" applyBorder="1" applyAlignment="1">
      <alignment horizontal="center"/>
    </xf>
    <xf numFmtId="0" fontId="7" fillId="0" borderId="4" xfId="0" applyFont="1" applyBorder="1" applyAlignment="1">
      <alignment horizontal="center"/>
    </xf>
    <xf numFmtId="0" fontId="7" fillId="5" borderId="18" xfId="0" applyFont="1" applyFill="1" applyBorder="1" applyAlignment="1">
      <alignment horizontal="left" vertical="center" wrapText="1"/>
    </xf>
    <xf numFmtId="172" fontId="7" fillId="0" borderId="1" xfId="0" applyNumberFormat="1" applyFont="1" applyBorder="1" applyAlignment="1">
      <alignment horizontal="right" vertical="center"/>
    </xf>
    <xf numFmtId="0" fontId="7" fillId="0" borderId="16" xfId="0" applyFont="1" applyBorder="1" applyAlignment="1">
      <alignment vertical="center"/>
    </xf>
    <xf numFmtId="0" fontId="7" fillId="0" borderId="17" xfId="0" applyFont="1" applyBorder="1" applyAlignment="1">
      <alignment vertical="center"/>
    </xf>
    <xf numFmtId="0" fontId="6" fillId="7" borderId="6" xfId="0" applyFont="1" applyFill="1" applyBorder="1" applyAlignment="1">
      <alignment horizontal="center" vertical="center" wrapText="1"/>
    </xf>
    <xf numFmtId="0" fontId="6" fillId="7" borderId="7" xfId="0" applyFont="1" applyFill="1" applyBorder="1" applyAlignment="1">
      <alignment horizontal="left" vertical="center"/>
    </xf>
    <xf numFmtId="173" fontId="7" fillId="0" borderId="1" xfId="0" applyNumberFormat="1" applyFont="1" applyBorder="1" applyAlignment="1">
      <alignment vertical="center"/>
    </xf>
    <xf numFmtId="0" fontId="7" fillId="0" borderId="1" xfId="0" applyFont="1" applyBorder="1" applyAlignment="1">
      <alignment vertical="center"/>
    </xf>
    <xf numFmtId="0" fontId="7" fillId="0" borderId="5" xfId="0" applyFont="1" applyBorder="1" applyAlignment="1">
      <alignment horizontal="center" vertical="center"/>
    </xf>
    <xf numFmtId="0" fontId="6" fillId="0" borderId="3" xfId="0" applyFont="1" applyBorder="1" applyAlignment="1">
      <alignment horizontal="center" vertical="center"/>
    </xf>
    <xf numFmtId="172" fontId="6" fillId="0" borderId="1" xfId="0" applyNumberFormat="1" applyFont="1" applyBorder="1" applyAlignment="1">
      <alignment vertical="center"/>
    </xf>
    <xf numFmtId="167" fontId="6" fillId="0" borderId="1" xfId="0" applyNumberFormat="1" applyFont="1" applyBorder="1" applyAlignment="1">
      <alignment vertical="center"/>
    </xf>
    <xf numFmtId="9" fontId="6" fillId="0" borderId="1" xfId="5" applyFont="1" applyBorder="1" applyAlignment="1">
      <alignment horizontal="center" vertical="center"/>
    </xf>
    <xf numFmtId="167" fontId="7" fillId="0" borderId="0" xfId="0" applyNumberFormat="1" applyFont="1"/>
    <xf numFmtId="0" fontId="6" fillId="0" borderId="1" xfId="0" applyFont="1" applyBorder="1" applyProtection="1">
      <protection locked="0"/>
    </xf>
    <xf numFmtId="0" fontId="6" fillId="0" borderId="1" xfId="0" applyFont="1" applyBorder="1" applyAlignment="1" applyProtection="1">
      <alignment horizontal="left"/>
      <protection locked="0"/>
    </xf>
    <xf numFmtId="0" fontId="7" fillId="0" borderId="0" xfId="0" applyFont="1" applyProtection="1">
      <protection locked="0"/>
    </xf>
    <xf numFmtId="14" fontId="6" fillId="0" borderId="1" xfId="0" applyNumberFormat="1" applyFont="1" applyBorder="1" applyAlignment="1" applyProtection="1">
      <alignment horizontal="left"/>
      <protection locked="0"/>
    </xf>
    <xf numFmtId="0" fontId="6" fillId="0" borderId="1" xfId="0" applyFont="1" applyBorder="1" applyAlignment="1" applyProtection="1">
      <alignment vertical="center"/>
      <protection locked="0"/>
    </xf>
    <xf numFmtId="3" fontId="6" fillId="2" borderId="1" xfId="0" applyNumberFormat="1" applyFont="1" applyFill="1" applyBorder="1" applyAlignment="1" applyProtection="1">
      <alignment horizontal="left" vertical="center" wrapText="1"/>
      <protection locked="0"/>
    </xf>
    <xf numFmtId="0" fontId="6" fillId="0" borderId="9"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6" xfId="0" applyFont="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0" borderId="0" xfId="0" applyFont="1" applyBorder="1" applyAlignment="1" applyProtection="1">
      <alignment horizontal="justify" vertical="center" wrapText="1"/>
      <protection locked="0"/>
    </xf>
    <xf numFmtId="0" fontId="7" fillId="0" borderId="0" xfId="0" applyFont="1" applyBorder="1" applyAlignment="1" applyProtection="1">
      <alignment vertical="center"/>
      <protection locked="0"/>
    </xf>
    <xf numFmtId="0" fontId="6" fillId="0" borderId="0" xfId="0" applyFont="1" applyBorder="1" applyAlignment="1" applyProtection="1">
      <alignment horizontal="right" vertical="center"/>
      <protection locked="0"/>
    </xf>
    <xf numFmtId="0" fontId="6" fillId="0" borderId="0" xfId="0" applyFont="1" applyBorder="1" applyAlignment="1" applyProtection="1">
      <alignment vertical="center"/>
      <protection locked="0"/>
    </xf>
    <xf numFmtId="0" fontId="13" fillId="3" borderId="8" xfId="0" applyFont="1" applyFill="1" applyBorder="1" applyAlignment="1" applyProtection="1">
      <alignment horizontal="center" vertical="center" wrapText="1"/>
      <protection locked="0"/>
    </xf>
    <xf numFmtId="0" fontId="14" fillId="0" borderId="0" xfId="0" applyFont="1" applyProtection="1">
      <protection locked="0"/>
    </xf>
    <xf numFmtId="0" fontId="6" fillId="6" borderId="9" xfId="0" applyFont="1" applyFill="1" applyBorder="1" applyAlignment="1" applyProtection="1">
      <alignment horizontal="left" vertical="center" wrapText="1"/>
      <protection locked="0"/>
    </xf>
    <xf numFmtId="0" fontId="14" fillId="6" borderId="7" xfId="0" applyFont="1" applyFill="1" applyBorder="1" applyAlignment="1" applyProtection="1">
      <alignment horizontal="left"/>
      <protection locked="0"/>
    </xf>
    <xf numFmtId="0" fontId="6" fillId="6" borderId="2" xfId="0" applyFont="1" applyFill="1" applyBorder="1" applyAlignment="1" applyProtection="1">
      <alignment horizontal="left" vertical="center" wrapText="1"/>
      <protection locked="0"/>
    </xf>
    <xf numFmtId="0" fontId="14" fillId="6" borderId="14" xfId="0" applyFont="1" applyFill="1" applyBorder="1" applyAlignment="1" applyProtection="1">
      <alignment horizontal="left"/>
      <protection locked="0"/>
    </xf>
    <xf numFmtId="0" fontId="14" fillId="5" borderId="0" xfId="0" applyFont="1" applyFill="1" applyProtection="1">
      <protection locked="0"/>
    </xf>
    <xf numFmtId="0" fontId="6" fillId="7" borderId="0" xfId="0" applyFont="1" applyFill="1" applyBorder="1" applyAlignment="1" applyProtection="1">
      <alignment horizontal="left" vertical="center" wrapText="1"/>
      <protection locked="0"/>
    </xf>
    <xf numFmtId="0" fontId="14" fillId="7" borderId="17" xfId="0" applyFont="1" applyFill="1" applyBorder="1" applyAlignment="1" applyProtection="1">
      <alignment horizontal="left"/>
      <protection locked="0"/>
    </xf>
    <xf numFmtId="0" fontId="6" fillId="7" borderId="2" xfId="0" applyFont="1" applyFill="1" applyBorder="1" applyAlignment="1" applyProtection="1">
      <alignment horizontal="left" vertical="center" wrapText="1"/>
      <protection locked="0"/>
    </xf>
    <xf numFmtId="0" fontId="14" fillId="7" borderId="14" xfId="0" applyFont="1" applyFill="1" applyBorder="1" applyAlignment="1" applyProtection="1">
      <alignment horizontal="left"/>
      <protection locked="0"/>
    </xf>
    <xf numFmtId="0" fontId="6" fillId="9" borderId="9" xfId="0" applyFont="1" applyFill="1" applyBorder="1" applyAlignment="1" applyProtection="1">
      <alignment horizontal="left" vertical="center" wrapText="1"/>
      <protection locked="0"/>
    </xf>
    <xf numFmtId="0" fontId="14" fillId="9" borderId="7" xfId="0" applyFont="1" applyFill="1" applyBorder="1" applyAlignment="1" applyProtection="1">
      <alignment horizontal="left"/>
      <protection locked="0"/>
    </xf>
    <xf numFmtId="0" fontId="6" fillId="9" borderId="2" xfId="0" applyFont="1" applyFill="1" applyBorder="1" applyAlignment="1" applyProtection="1">
      <alignment horizontal="left" vertical="center" wrapText="1"/>
      <protection locked="0"/>
    </xf>
    <xf numFmtId="0" fontId="14" fillId="9" borderId="14" xfId="0" applyFont="1" applyFill="1" applyBorder="1" applyAlignment="1" applyProtection="1">
      <alignment horizontal="left"/>
      <protection locked="0"/>
    </xf>
    <xf numFmtId="175" fontId="7" fillId="5" borderId="8" xfId="0" applyNumberFormat="1" applyFont="1" applyFill="1" applyBorder="1" applyAlignment="1" applyProtection="1">
      <alignment horizontal="right" vertical="center" wrapText="1"/>
      <protection locked="0"/>
    </xf>
    <xf numFmtId="0" fontId="14" fillId="5" borderId="0" xfId="0" applyFont="1" applyFill="1" applyAlignment="1" applyProtection="1">
      <alignment horizontal="right"/>
      <protection locked="0"/>
    </xf>
    <xf numFmtId="0" fontId="14" fillId="0" borderId="0" xfId="0" applyFont="1" applyFill="1" applyAlignment="1" applyProtection="1">
      <alignment horizontal="right" vertical="center"/>
      <protection locked="0"/>
    </xf>
    <xf numFmtId="175" fontId="7" fillId="5" borderId="18" xfId="0" applyNumberFormat="1" applyFont="1" applyFill="1" applyBorder="1" applyAlignment="1" applyProtection="1">
      <alignment horizontal="right" vertical="center" wrapText="1"/>
      <protection locked="0"/>
    </xf>
    <xf numFmtId="0" fontId="14" fillId="0" borderId="0" xfId="0" applyFont="1" applyFill="1" applyProtection="1">
      <protection locked="0"/>
    </xf>
    <xf numFmtId="175" fontId="7" fillId="5" borderId="15" xfId="0" applyNumberFormat="1" applyFont="1" applyFill="1" applyBorder="1" applyAlignment="1" applyProtection="1">
      <alignment horizontal="right" vertical="center"/>
      <protection locked="0"/>
    </xf>
    <xf numFmtId="175" fontId="7" fillId="5" borderId="18" xfId="0" applyNumberFormat="1" applyFont="1" applyFill="1" applyBorder="1" applyAlignment="1" applyProtection="1">
      <alignment horizontal="right" vertical="center"/>
      <protection locked="0"/>
    </xf>
    <xf numFmtId="0" fontId="14" fillId="5" borderId="15" xfId="0" applyFont="1" applyFill="1" applyBorder="1" applyAlignment="1" applyProtection="1">
      <alignment vertical="center"/>
      <protection locked="0"/>
    </xf>
    <xf numFmtId="0" fontId="14" fillId="5" borderId="18" xfId="0" applyFont="1" applyFill="1" applyBorder="1" applyAlignment="1" applyProtection="1">
      <alignment vertical="center"/>
      <protection locked="0"/>
    </xf>
    <xf numFmtId="0" fontId="6" fillId="9" borderId="9" xfId="0" applyFont="1" applyFill="1" applyBorder="1" applyAlignment="1" applyProtection="1">
      <alignment vertical="center" wrapText="1"/>
      <protection locked="0"/>
    </xf>
    <xf numFmtId="0" fontId="6" fillId="9" borderId="9" xfId="0" applyFont="1" applyFill="1" applyBorder="1" applyAlignment="1" applyProtection="1">
      <alignment horizontal="right" vertical="center" wrapText="1"/>
      <protection locked="0"/>
    </xf>
    <xf numFmtId="0" fontId="6" fillId="9" borderId="9" xfId="0" applyFont="1" applyFill="1" applyBorder="1" applyAlignment="1" applyProtection="1">
      <alignment horizontal="justify" vertical="center" wrapText="1"/>
      <protection locked="0"/>
    </xf>
    <xf numFmtId="176" fontId="6" fillId="9" borderId="9" xfId="6" applyNumberFormat="1" applyFont="1" applyFill="1" applyBorder="1" applyAlignment="1" applyProtection="1">
      <alignment horizontal="right" vertical="center" wrapText="1"/>
      <protection locked="0"/>
    </xf>
    <xf numFmtId="0" fontId="6" fillId="9" borderId="2" xfId="0" applyFont="1" applyFill="1" applyBorder="1" applyAlignment="1" applyProtection="1">
      <alignment vertical="center" wrapText="1"/>
      <protection locked="0"/>
    </xf>
    <xf numFmtId="0" fontId="6" fillId="9" borderId="2" xfId="0" applyFont="1" applyFill="1" applyBorder="1" applyAlignment="1" applyProtection="1">
      <alignment horizontal="right" vertical="center" wrapText="1"/>
      <protection locked="0"/>
    </xf>
    <xf numFmtId="0" fontId="6" fillId="9" borderId="2" xfId="0" applyFont="1" applyFill="1" applyBorder="1" applyAlignment="1" applyProtection="1">
      <alignment horizontal="justify" vertical="center" wrapText="1"/>
      <protection locked="0"/>
    </xf>
    <xf numFmtId="176" fontId="6" fillId="9" borderId="2" xfId="6" applyNumberFormat="1" applyFont="1" applyFill="1" applyBorder="1" applyAlignment="1" applyProtection="1">
      <alignment horizontal="right" vertical="center" wrapText="1"/>
      <protection locked="0"/>
    </xf>
    <xf numFmtId="1" fontId="7" fillId="5" borderId="8" xfId="0" applyNumberFormat="1" applyFont="1" applyFill="1" applyBorder="1" applyAlignment="1" applyProtection="1">
      <alignment vertical="center" wrapText="1"/>
      <protection locked="0"/>
    </xf>
    <xf numFmtId="1" fontId="7" fillId="5" borderId="15" xfId="0" applyNumberFormat="1" applyFont="1" applyFill="1" applyBorder="1" applyAlignment="1" applyProtection="1">
      <alignment vertical="center" wrapText="1"/>
      <protection locked="0"/>
    </xf>
    <xf numFmtId="1" fontId="7" fillId="5" borderId="18" xfId="0" applyNumberFormat="1" applyFont="1" applyFill="1" applyBorder="1" applyAlignment="1" applyProtection="1">
      <alignment vertical="center" wrapText="1"/>
      <protection locked="0"/>
    </xf>
    <xf numFmtId="0" fontId="6" fillId="7" borderId="9" xfId="0" applyFont="1" applyFill="1" applyBorder="1" applyAlignment="1" applyProtection="1">
      <alignment vertical="center" wrapText="1"/>
      <protection locked="0"/>
    </xf>
    <xf numFmtId="0" fontId="6" fillId="7" borderId="9" xfId="0" applyFont="1" applyFill="1" applyBorder="1" applyAlignment="1" applyProtection="1">
      <alignment horizontal="right" vertical="center" wrapText="1"/>
      <protection locked="0"/>
    </xf>
    <xf numFmtId="0" fontId="6" fillId="7" borderId="9" xfId="0" applyFont="1" applyFill="1" applyBorder="1" applyAlignment="1" applyProtection="1">
      <alignment horizontal="justify" vertical="center" wrapText="1"/>
      <protection locked="0"/>
    </xf>
    <xf numFmtId="176" fontId="6" fillId="7" borderId="9" xfId="6" applyNumberFormat="1" applyFont="1" applyFill="1" applyBorder="1" applyAlignment="1" applyProtection="1">
      <alignment horizontal="right" vertical="center" wrapText="1"/>
      <protection locked="0"/>
    </xf>
    <xf numFmtId="0" fontId="6" fillId="7" borderId="2" xfId="0" applyFont="1" applyFill="1" applyBorder="1" applyAlignment="1" applyProtection="1">
      <alignment vertical="center" wrapText="1"/>
      <protection locked="0"/>
    </xf>
    <xf numFmtId="0" fontId="6" fillId="7" borderId="2" xfId="0" applyFont="1" applyFill="1" applyBorder="1" applyAlignment="1" applyProtection="1">
      <alignment horizontal="right" vertical="center" wrapText="1"/>
      <protection locked="0"/>
    </xf>
    <xf numFmtId="0" fontId="6" fillId="7" borderId="2" xfId="0" applyFont="1" applyFill="1" applyBorder="1" applyAlignment="1" applyProtection="1">
      <alignment horizontal="justify" vertical="center" wrapText="1"/>
      <protection locked="0"/>
    </xf>
    <xf numFmtId="176" fontId="6" fillId="7" borderId="2" xfId="6" applyNumberFormat="1" applyFont="1" applyFill="1" applyBorder="1" applyAlignment="1" applyProtection="1">
      <alignment horizontal="right" vertical="center" wrapText="1"/>
      <protection locked="0"/>
    </xf>
    <xf numFmtId="1" fontId="6" fillId="12" borderId="1" xfId="0" applyNumberFormat="1" applyFont="1" applyFill="1" applyBorder="1" applyAlignment="1" applyProtection="1">
      <alignment horizontal="center" vertical="center" wrapText="1"/>
      <protection locked="0"/>
    </xf>
    <xf numFmtId="0" fontId="6" fillId="12" borderId="4" xfId="0" applyFont="1" applyFill="1" applyBorder="1" applyAlignment="1" applyProtection="1">
      <alignment vertical="center" wrapText="1"/>
      <protection locked="0"/>
    </xf>
    <xf numFmtId="0" fontId="6" fillId="12" borderId="4" xfId="0" applyFont="1" applyFill="1" applyBorder="1" applyAlignment="1" applyProtection="1">
      <alignment horizontal="right" vertical="center" wrapText="1"/>
      <protection locked="0"/>
    </xf>
    <xf numFmtId="0" fontId="6" fillId="12" borderId="4" xfId="0" applyFont="1" applyFill="1" applyBorder="1" applyAlignment="1" applyProtection="1">
      <alignment horizontal="justify" vertical="center" wrapText="1"/>
      <protection locked="0"/>
    </xf>
    <xf numFmtId="176" fontId="6" fillId="12" borderId="4" xfId="6" applyNumberFormat="1" applyFont="1" applyFill="1" applyBorder="1" applyAlignment="1" applyProtection="1">
      <alignment horizontal="right" vertical="center" wrapText="1"/>
      <protection locked="0"/>
    </xf>
    <xf numFmtId="0" fontId="6" fillId="12" borderId="1" xfId="0" applyFont="1" applyFill="1" applyBorder="1" applyAlignment="1" applyProtection="1">
      <alignment vertical="center" wrapText="1"/>
      <protection locked="0"/>
    </xf>
    <xf numFmtId="0" fontId="6" fillId="12" borderId="5" xfId="0" applyFont="1" applyFill="1" applyBorder="1" applyAlignment="1" applyProtection="1">
      <alignment vertical="center" wrapText="1"/>
      <protection locked="0"/>
    </xf>
    <xf numFmtId="0" fontId="14" fillId="0" borderId="0" xfId="0" applyFont="1" applyFill="1" applyBorder="1" applyProtection="1">
      <protection locked="0"/>
    </xf>
    <xf numFmtId="0" fontId="14" fillId="0" borderId="1" xfId="0" applyFont="1" applyFill="1" applyBorder="1" applyProtection="1">
      <protection locked="0"/>
    </xf>
    <xf numFmtId="0" fontId="14" fillId="0" borderId="3" xfId="0" applyFont="1" applyBorder="1" applyAlignment="1" applyProtection="1">
      <protection locked="0"/>
    </xf>
    <xf numFmtId="0" fontId="14" fillId="0" borderId="4" xfId="0" applyFont="1" applyBorder="1" applyAlignment="1" applyProtection="1">
      <protection locked="0"/>
    </xf>
    <xf numFmtId="175" fontId="6" fillId="5" borderId="1" xfId="0" applyNumberFormat="1" applyFont="1" applyFill="1" applyBorder="1" applyAlignment="1" applyProtection="1">
      <alignment horizontal="right" vertical="center"/>
      <protection locked="0"/>
    </xf>
    <xf numFmtId="0" fontId="14" fillId="5" borderId="3" xfId="0" applyFont="1" applyFill="1" applyBorder="1" applyAlignment="1" applyProtection="1">
      <alignment horizontal="justify" vertical="center" wrapText="1"/>
      <protection locked="0"/>
    </xf>
    <xf numFmtId="0" fontId="14" fillId="5" borderId="4" xfId="0" applyFont="1" applyFill="1" applyBorder="1" applyAlignment="1" applyProtection="1">
      <alignment horizontal="justify" vertical="center" wrapText="1"/>
      <protection locked="0"/>
    </xf>
    <xf numFmtId="0" fontId="14" fillId="5" borderId="5" xfId="0" applyFont="1" applyFill="1" applyBorder="1" applyAlignment="1" applyProtection="1">
      <alignment horizontal="justify" vertical="center"/>
      <protection locked="0"/>
    </xf>
    <xf numFmtId="0" fontId="14" fillId="5" borderId="3" xfId="0" applyFont="1" applyFill="1" applyBorder="1" applyAlignment="1" applyProtection="1">
      <alignment horizontal="justify" vertical="center"/>
      <protection locked="0"/>
    </xf>
    <xf numFmtId="0" fontId="14" fillId="0" borderId="4" xfId="0" applyFont="1" applyBorder="1" applyProtection="1">
      <protection locked="0"/>
    </xf>
    <xf numFmtId="0" fontId="14" fillId="0" borderId="4" xfId="0" applyFont="1" applyFill="1" applyBorder="1" applyAlignment="1" applyProtection="1">
      <alignment horizontal="right" vertical="center"/>
      <protection locked="0"/>
    </xf>
    <xf numFmtId="0" fontId="14" fillId="0" borderId="5" xfId="0" applyFont="1" applyFill="1" applyBorder="1" applyAlignment="1" applyProtection="1">
      <alignment horizontal="right" vertical="center"/>
      <protection locked="0"/>
    </xf>
    <xf numFmtId="175" fontId="13" fillId="0" borderId="1" xfId="0" applyNumberFormat="1" applyFont="1" applyFill="1" applyBorder="1" applyAlignment="1" applyProtection="1">
      <alignment horizontal="right" vertical="center"/>
      <protection locked="0"/>
    </xf>
    <xf numFmtId="9" fontId="14" fillId="0" borderId="3" xfId="5" applyFont="1" applyFill="1" applyBorder="1" applyAlignment="1" applyProtection="1">
      <alignment horizontal="center" vertical="center"/>
      <protection locked="0"/>
    </xf>
    <xf numFmtId="0" fontId="14" fillId="0" borderId="4" xfId="0" applyFont="1" applyFill="1" applyBorder="1" applyAlignment="1" applyProtection="1">
      <alignment horizontal="right" vertical="center" wrapText="1"/>
      <protection locked="0"/>
    </xf>
    <xf numFmtId="170" fontId="14" fillId="0" borderId="4" xfId="0" applyNumberFormat="1" applyFont="1" applyBorder="1" applyAlignment="1" applyProtection="1">
      <alignment horizontal="center"/>
      <protection locked="0"/>
    </xf>
    <xf numFmtId="0" fontId="14" fillId="0" borderId="4" xfId="0" applyFont="1" applyBorder="1" applyAlignment="1" applyProtection="1">
      <alignment horizontal="left"/>
      <protection locked="0"/>
    </xf>
    <xf numFmtId="0" fontId="14" fillId="0" borderId="5" xfId="0" applyFont="1" applyFill="1" applyBorder="1" applyAlignment="1" applyProtection="1">
      <alignment horizontal="left"/>
      <protection locked="0"/>
    </xf>
    <xf numFmtId="0" fontId="14" fillId="5" borderId="0" xfId="0" applyFont="1" applyFill="1" applyAlignment="1" applyProtection="1">
      <alignment horizontal="justify" vertical="center" wrapText="1"/>
      <protection locked="0"/>
    </xf>
    <xf numFmtId="0" fontId="14" fillId="5" borderId="0" xfId="0" applyFont="1" applyFill="1" applyAlignment="1" applyProtection="1">
      <alignment horizontal="center" vertical="center"/>
      <protection locked="0"/>
    </xf>
    <xf numFmtId="175" fontId="7" fillId="5" borderId="0" xfId="0" applyNumberFormat="1" applyFont="1" applyFill="1" applyBorder="1" applyAlignment="1" applyProtection="1">
      <alignment horizontal="right" vertical="center"/>
      <protection locked="0"/>
    </xf>
    <xf numFmtId="0" fontId="14" fillId="5" borderId="0" xfId="0" applyFont="1" applyFill="1" applyAlignment="1" applyProtection="1">
      <alignment horizontal="justify" vertical="center"/>
      <protection locked="0"/>
    </xf>
    <xf numFmtId="0" fontId="14" fillId="5" borderId="0" xfId="0" applyFont="1" applyFill="1" applyAlignment="1" applyProtection="1">
      <alignment horizontal="right" vertical="center"/>
      <protection locked="0"/>
    </xf>
    <xf numFmtId="0" fontId="14" fillId="0" borderId="0" xfId="0" applyFont="1" applyFill="1" applyAlignment="1" applyProtection="1">
      <alignment horizontal="right" vertical="center" wrapText="1"/>
      <protection locked="0"/>
    </xf>
    <xf numFmtId="170" fontId="14" fillId="0" borderId="0" xfId="0" applyNumberFormat="1" applyFont="1" applyAlignment="1" applyProtection="1">
      <alignment horizontal="center"/>
      <protection locked="0"/>
    </xf>
    <xf numFmtId="0" fontId="14" fillId="0" borderId="0" xfId="0" applyFont="1" applyAlignment="1" applyProtection="1">
      <alignment horizontal="left"/>
      <protection locked="0"/>
    </xf>
    <xf numFmtId="0" fontId="14" fillId="0" borderId="0" xfId="0" applyFont="1" applyFill="1" applyAlignment="1" applyProtection="1">
      <alignment horizontal="left"/>
      <protection locked="0"/>
    </xf>
    <xf numFmtId="169" fontId="7" fillId="0" borderId="0" xfId="2" applyFont="1" applyFill="1" applyProtection="1">
      <protection locked="0"/>
    </xf>
    <xf numFmtId="169" fontId="6" fillId="0" borderId="0" xfId="2" applyFont="1" applyFill="1" applyAlignment="1" applyProtection="1">
      <protection locked="0"/>
    </xf>
    <xf numFmtId="0" fontId="7" fillId="0" borderId="0" xfId="2" applyNumberFormat="1" applyFont="1" applyFill="1" applyProtection="1">
      <protection locked="0"/>
    </xf>
    <xf numFmtId="169" fontId="7" fillId="0" borderId="0" xfId="2" applyFont="1" applyFill="1" applyAlignment="1" applyProtection="1">
      <protection locked="0"/>
    </xf>
    <xf numFmtId="169" fontId="7" fillId="0" borderId="0" xfId="2" applyFont="1" applyFill="1" applyAlignment="1" applyProtection="1">
      <alignment horizontal="right" vertical="center"/>
      <protection locked="0"/>
    </xf>
    <xf numFmtId="178" fontId="7" fillId="0" borderId="0" xfId="2" applyNumberFormat="1" applyFont="1" applyFill="1" applyBorder="1" applyAlignment="1" applyProtection="1">
      <alignment vertical="center"/>
      <protection locked="0"/>
    </xf>
    <xf numFmtId="176" fontId="7" fillId="0" borderId="0" xfId="2" applyNumberFormat="1" applyFont="1" applyFill="1" applyAlignment="1" applyProtection="1">
      <alignment horizontal="right" vertical="center"/>
      <protection locked="0"/>
    </xf>
    <xf numFmtId="178" fontId="7" fillId="0" borderId="0" xfId="2" applyNumberFormat="1" applyFont="1" applyFill="1" applyAlignment="1" applyProtection="1">
      <alignment horizontal="justify" vertical="center"/>
      <protection locked="0"/>
    </xf>
    <xf numFmtId="0" fontId="7" fillId="0" borderId="0" xfId="2" applyNumberFormat="1" applyFont="1" applyFill="1" applyAlignment="1" applyProtection="1">
      <alignment horizontal="center" vertical="center"/>
      <protection locked="0"/>
    </xf>
    <xf numFmtId="169" fontId="7" fillId="0" borderId="0" xfId="2" applyFont="1" applyFill="1" applyAlignment="1" applyProtection="1">
      <alignment horizontal="right"/>
      <protection locked="0"/>
    </xf>
    <xf numFmtId="169" fontId="7" fillId="0" borderId="0" xfId="2" applyFont="1" applyFill="1" applyAlignment="1" applyProtection="1">
      <alignment wrapText="1"/>
      <protection locked="0"/>
    </xf>
    <xf numFmtId="169" fontId="7" fillId="0" borderId="0" xfId="2" applyFont="1" applyFill="1" applyAlignment="1" applyProtection="1">
      <alignment horizontal="left"/>
      <protection locked="0"/>
    </xf>
    <xf numFmtId="171" fontId="7" fillId="0" borderId="0" xfId="11" applyNumberFormat="1" applyFont="1" applyFill="1" applyAlignment="1" applyProtection="1">
      <alignment horizontal="center" vertical="center"/>
      <protection locked="0"/>
    </xf>
    <xf numFmtId="169" fontId="7" fillId="0" borderId="0" xfId="2" applyFont="1" applyFill="1" applyAlignment="1" applyProtection="1">
      <alignment horizontal="center" vertical="center"/>
      <protection locked="0"/>
    </xf>
    <xf numFmtId="170" fontId="7" fillId="0" borderId="0" xfId="2" applyNumberFormat="1" applyFont="1" applyFill="1" applyAlignment="1" applyProtection="1">
      <alignment horizontal="center"/>
      <protection locked="0"/>
    </xf>
    <xf numFmtId="187" fontId="15" fillId="0" borderId="0" xfId="0" applyNumberFormat="1" applyFont="1" applyAlignment="1">
      <alignment horizontal="right" vertical="center"/>
    </xf>
    <xf numFmtId="4" fontId="14" fillId="5" borderId="0" xfId="0" applyNumberFormat="1" applyFont="1" applyFill="1" applyAlignment="1" applyProtection="1">
      <alignment horizontal="right" vertical="center"/>
      <protection locked="0"/>
    </xf>
    <xf numFmtId="0" fontId="6" fillId="0" borderId="16" xfId="0" applyFont="1" applyBorder="1" applyAlignment="1">
      <alignment vertical="center"/>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justify" vertical="center" wrapText="1"/>
    </xf>
    <xf numFmtId="169" fontId="7" fillId="0" borderId="0" xfId="2" applyFont="1"/>
    <xf numFmtId="1" fontId="6" fillId="6" borderId="4" xfId="0" applyNumberFormat="1" applyFont="1" applyFill="1" applyBorder="1" applyAlignment="1">
      <alignment horizontal="left" vertical="center" wrapText="1"/>
    </xf>
    <xf numFmtId="0" fontId="6" fillId="6" borderId="4" xfId="0" applyFont="1" applyFill="1" applyBorder="1" applyAlignment="1">
      <alignment horizontal="justify" vertical="center" wrapText="1"/>
    </xf>
    <xf numFmtId="182" fontId="7" fillId="6" borderId="4" xfId="0" applyNumberFormat="1" applyFont="1" applyFill="1" applyBorder="1" applyAlignment="1">
      <alignment horizontal="center" vertical="center"/>
    </xf>
    <xf numFmtId="178" fontId="6" fillId="6" borderId="4" xfId="0" applyNumberFormat="1" applyFont="1" applyFill="1" applyBorder="1" applyAlignment="1">
      <alignment vertical="center"/>
    </xf>
    <xf numFmtId="178" fontId="6" fillId="6" borderId="4" xfId="0" applyNumberFormat="1" applyFont="1" applyFill="1" applyBorder="1" applyAlignment="1">
      <alignment horizontal="center" vertical="center"/>
    </xf>
    <xf numFmtId="10" fontId="6" fillId="6" borderId="4" xfId="0" applyNumberFormat="1" applyFont="1" applyFill="1" applyBorder="1" applyAlignment="1">
      <alignment horizontal="center" vertical="center"/>
    </xf>
    <xf numFmtId="1" fontId="6" fillId="5" borderId="9" xfId="2" applyNumberFormat="1" applyFont="1" applyFill="1" applyBorder="1" applyAlignment="1">
      <alignment vertical="center" wrapText="1"/>
    </xf>
    <xf numFmtId="1" fontId="6" fillId="5" borderId="7" xfId="2" applyNumberFormat="1" applyFont="1" applyFill="1" applyBorder="1" applyAlignment="1">
      <alignment vertical="center" wrapText="1"/>
    </xf>
    <xf numFmtId="1" fontId="6" fillId="10" borderId="13" xfId="0" applyNumberFormat="1" applyFont="1" applyFill="1" applyBorder="1" applyAlignment="1">
      <alignment horizontal="center" vertical="center"/>
    </xf>
    <xf numFmtId="0" fontId="6" fillId="10" borderId="2" xfId="0" applyFont="1" applyFill="1" applyBorder="1" applyAlignment="1">
      <alignment horizontal="justify" vertical="center" wrapText="1"/>
    </xf>
    <xf numFmtId="182" fontId="7" fillId="10" borderId="2" xfId="0" applyNumberFormat="1" applyFont="1" applyFill="1" applyBorder="1" applyAlignment="1">
      <alignment horizontal="center" vertical="center"/>
    </xf>
    <xf numFmtId="178" fontId="6" fillId="10" borderId="2" xfId="0" applyNumberFormat="1" applyFont="1" applyFill="1" applyBorder="1" applyAlignment="1">
      <alignment vertical="center"/>
    </xf>
    <xf numFmtId="178" fontId="6" fillId="10" borderId="2" xfId="0" applyNumberFormat="1" applyFont="1" applyFill="1" applyBorder="1" applyAlignment="1">
      <alignment horizontal="center" vertical="center"/>
    </xf>
    <xf numFmtId="0" fontId="6" fillId="10" borderId="2" xfId="0" applyFont="1" applyFill="1" applyBorder="1" applyAlignment="1">
      <alignment horizontal="center" vertical="center" wrapText="1"/>
    </xf>
    <xf numFmtId="10" fontId="6" fillId="10" borderId="2" xfId="0" applyNumberFormat="1" applyFont="1" applyFill="1" applyBorder="1" applyAlignment="1">
      <alignment horizontal="center" vertical="center"/>
    </xf>
    <xf numFmtId="1" fontId="6" fillId="5" borderId="0" xfId="2" applyNumberFormat="1" applyFont="1" applyFill="1" applyBorder="1" applyAlignment="1">
      <alignment vertical="center" wrapText="1"/>
    </xf>
    <xf numFmtId="1" fontId="6" fillId="5" borderId="17" xfId="2" applyNumberFormat="1" applyFont="1" applyFill="1" applyBorder="1" applyAlignment="1">
      <alignment vertical="center" wrapText="1"/>
    </xf>
    <xf numFmtId="1" fontId="6" fillId="9" borderId="3" xfId="0" applyNumberFormat="1" applyFont="1" applyFill="1" applyBorder="1" applyAlignment="1">
      <alignment horizontal="left" vertical="center" wrapText="1" indent="1"/>
    </xf>
    <xf numFmtId="0" fontId="6" fillId="9" borderId="4" xfId="0" applyFont="1" applyFill="1" applyBorder="1" applyAlignment="1">
      <alignment horizontal="justify" vertical="center" wrapText="1"/>
    </xf>
    <xf numFmtId="182" fontId="7" fillId="9" borderId="4" xfId="0" applyNumberFormat="1" applyFont="1" applyFill="1" applyBorder="1" applyAlignment="1">
      <alignment horizontal="center" vertical="center"/>
    </xf>
    <xf numFmtId="178" fontId="6" fillId="9" borderId="4" xfId="0" applyNumberFormat="1" applyFont="1" applyFill="1" applyBorder="1" applyAlignment="1">
      <alignment vertical="center"/>
    </xf>
    <xf numFmtId="178" fontId="6" fillId="9" borderId="4" xfId="0" applyNumberFormat="1" applyFont="1" applyFill="1" applyBorder="1" applyAlignment="1">
      <alignment horizontal="center" vertical="center"/>
    </xf>
    <xf numFmtId="10" fontId="6" fillId="9" borderId="4" xfId="0" applyNumberFormat="1" applyFont="1" applyFill="1" applyBorder="1" applyAlignment="1">
      <alignment horizontal="center" vertical="center"/>
    </xf>
    <xf numFmtId="3" fontId="7" fillId="0" borderId="8" xfId="2" applyNumberFormat="1" applyFont="1" applyFill="1" applyBorder="1" applyAlignment="1">
      <alignment vertical="center" wrapText="1"/>
    </xf>
    <xf numFmtId="3" fontId="7" fillId="5" borderId="8" xfId="2" applyNumberFormat="1" applyFont="1" applyFill="1" applyBorder="1" applyAlignment="1">
      <alignment horizontal="center" vertical="center" wrapText="1"/>
    </xf>
    <xf numFmtId="3" fontId="7" fillId="0" borderId="8" xfId="2" applyNumberFormat="1" applyFont="1" applyFill="1" applyBorder="1" applyAlignment="1">
      <alignment horizontal="center" vertical="center" wrapText="1"/>
    </xf>
    <xf numFmtId="169" fontId="6" fillId="0" borderId="8" xfId="2" applyFont="1" applyFill="1" applyBorder="1" applyAlignment="1">
      <alignment horizontal="center" vertical="center" textRotation="180" wrapText="1"/>
    </xf>
    <xf numFmtId="169" fontId="7" fillId="0" borderId="0" xfId="2" applyFont="1" applyFill="1"/>
    <xf numFmtId="3" fontId="7" fillId="0" borderId="15" xfId="2" applyNumberFormat="1" applyFont="1" applyFill="1" applyBorder="1" applyAlignment="1">
      <alignment vertical="center" wrapText="1"/>
    </xf>
    <xf numFmtId="3" fontId="7" fillId="5" borderId="15" xfId="2" applyNumberFormat="1" applyFont="1" applyFill="1" applyBorder="1" applyAlignment="1">
      <alignment horizontal="center" vertical="center" wrapText="1"/>
    </xf>
    <xf numFmtId="3" fontId="7" fillId="0" borderId="15" xfId="2" applyNumberFormat="1" applyFont="1" applyFill="1" applyBorder="1" applyAlignment="1">
      <alignment horizontal="center" vertical="center" wrapText="1"/>
    </xf>
    <xf numFmtId="169" fontId="6" fillId="0" borderId="15" xfId="2" applyFont="1" applyFill="1" applyBorder="1" applyAlignment="1">
      <alignment horizontal="center" vertical="center" textRotation="180" wrapText="1"/>
    </xf>
    <xf numFmtId="169" fontId="7" fillId="5" borderId="0" xfId="2" applyFont="1" applyFill="1"/>
    <xf numFmtId="3" fontId="6" fillId="5" borderId="1" xfId="2" applyNumberFormat="1" applyFont="1" applyFill="1" applyBorder="1" applyAlignment="1">
      <alignment horizontal="center" vertical="center" wrapText="1"/>
    </xf>
    <xf numFmtId="169" fontId="7" fillId="5" borderId="1" xfId="2" applyFont="1" applyFill="1" applyBorder="1" applyAlignment="1">
      <alignment horizontal="justify" vertical="center" wrapText="1"/>
    </xf>
    <xf numFmtId="169" fontId="7" fillId="0" borderId="1" xfId="2" applyFont="1" applyFill="1" applyBorder="1" applyAlignment="1">
      <alignment horizontal="center" vertical="center" wrapText="1"/>
    </xf>
    <xf numFmtId="3" fontId="7" fillId="5" borderId="1" xfId="2" applyNumberFormat="1" applyFont="1" applyFill="1" applyBorder="1" applyAlignment="1">
      <alignment horizontal="center" vertical="center"/>
    </xf>
    <xf numFmtId="10" fontId="7" fillId="5" borderId="13" xfId="2" applyNumberFormat="1" applyFont="1" applyFill="1" applyBorder="1" applyAlignment="1">
      <alignment horizontal="center" vertical="center" wrapText="1"/>
    </xf>
    <xf numFmtId="174" fontId="7" fillId="5" borderId="1" xfId="2" applyNumberFormat="1" applyFont="1" applyFill="1" applyBorder="1" applyAlignment="1">
      <alignment vertical="center" wrapText="1"/>
    </xf>
    <xf numFmtId="169" fontId="7" fillId="0" borderId="18" xfId="2" applyFont="1" applyFill="1" applyBorder="1" applyAlignment="1">
      <alignment horizontal="justify" vertical="center" wrapText="1"/>
    </xf>
    <xf numFmtId="42" fontId="7" fillId="0" borderId="18" xfId="2" applyNumberFormat="1" applyFont="1" applyFill="1" applyBorder="1" applyAlignment="1">
      <alignment horizontal="center" vertical="center" wrapText="1"/>
    </xf>
    <xf numFmtId="42" fontId="7" fillId="0" borderId="1" xfId="2" applyNumberFormat="1" applyFont="1" applyFill="1" applyBorder="1" applyAlignment="1">
      <alignment horizontal="center" vertical="center" wrapText="1"/>
    </xf>
    <xf numFmtId="3" fontId="7" fillId="0" borderId="1" xfId="2" applyNumberFormat="1" applyFont="1" applyFill="1" applyBorder="1" applyAlignment="1">
      <alignment horizontal="center" vertical="center" wrapText="1"/>
    </xf>
    <xf numFmtId="10" fontId="7" fillId="0" borderId="1" xfId="2" applyNumberFormat="1" applyFont="1" applyFill="1" applyBorder="1" applyAlignment="1">
      <alignment horizontal="center" vertical="center" wrapText="1"/>
    </xf>
    <xf numFmtId="170" fontId="7" fillId="5" borderId="1" xfId="2" applyNumberFormat="1" applyFont="1" applyFill="1" applyBorder="1" applyAlignment="1">
      <alignment horizontal="center" vertical="center" wrapText="1"/>
    </xf>
    <xf numFmtId="169" fontId="7" fillId="0" borderId="1" xfId="2" applyFont="1" applyFill="1" applyBorder="1" applyAlignment="1">
      <alignment horizontal="justify" vertical="center" wrapText="1"/>
    </xf>
    <xf numFmtId="169" fontId="7" fillId="5" borderId="1" xfId="2" applyFont="1" applyFill="1" applyBorder="1" applyAlignment="1">
      <alignment wrapText="1"/>
    </xf>
    <xf numFmtId="42" fontId="7" fillId="5" borderId="18" xfId="2" applyNumberFormat="1" applyFont="1" applyFill="1" applyBorder="1" applyAlignment="1">
      <alignment horizontal="center" vertical="center" wrapText="1"/>
    </xf>
    <xf numFmtId="42" fontId="7" fillId="5" borderId="1" xfId="2" applyNumberFormat="1" applyFont="1" applyFill="1" applyBorder="1" applyAlignment="1">
      <alignment horizontal="center" vertical="center" wrapText="1"/>
    </xf>
    <xf numFmtId="42" fontId="7" fillId="0" borderId="1" xfId="2" applyNumberFormat="1" applyFont="1" applyFill="1" applyBorder="1" applyAlignment="1">
      <alignment horizontal="center" vertical="center"/>
    </xf>
    <xf numFmtId="0" fontId="7" fillId="5" borderId="15" xfId="2" applyNumberFormat="1" applyFont="1" applyFill="1" applyBorder="1" applyAlignment="1">
      <alignment horizontal="center" vertical="center" wrapText="1"/>
    </xf>
    <xf numFmtId="3" fontId="7" fillId="5" borderId="17" xfId="2" applyNumberFormat="1" applyFont="1" applyFill="1" applyBorder="1" applyAlignment="1">
      <alignment horizontal="center" vertical="center" wrapText="1"/>
    </xf>
    <xf numFmtId="0" fontId="7" fillId="5" borderId="15" xfId="2" applyNumberFormat="1" applyFont="1" applyFill="1" applyBorder="1" applyAlignment="1">
      <alignment horizontal="center" vertical="center"/>
    </xf>
    <xf numFmtId="169" fontId="7" fillId="0" borderId="8" xfId="2" applyFont="1" applyFill="1" applyBorder="1" applyAlignment="1">
      <alignment horizontal="justify" vertical="center" wrapText="1"/>
    </xf>
    <xf numFmtId="169" fontId="7" fillId="5" borderId="8" xfId="2" applyFont="1" applyFill="1" applyBorder="1" applyAlignment="1">
      <alignment horizontal="justify" vertical="center" wrapText="1"/>
    </xf>
    <xf numFmtId="42" fontId="7" fillId="5" borderId="18" xfId="2" applyNumberFormat="1" applyFont="1" applyFill="1" applyBorder="1" applyAlignment="1">
      <alignment horizontal="center" vertical="center"/>
    </xf>
    <xf numFmtId="42" fontId="7" fillId="5" borderId="1" xfId="2" applyNumberFormat="1" applyFont="1" applyFill="1" applyBorder="1" applyAlignment="1">
      <alignment horizontal="center" vertical="center"/>
    </xf>
    <xf numFmtId="3" fontId="7" fillId="0" borderId="18" xfId="2" applyNumberFormat="1" applyFont="1" applyFill="1" applyBorder="1" applyAlignment="1">
      <alignment vertical="center" wrapText="1"/>
    </xf>
    <xf numFmtId="3" fontId="7" fillId="5" borderId="18" xfId="2" applyNumberFormat="1" applyFont="1" applyFill="1" applyBorder="1" applyAlignment="1">
      <alignment horizontal="center" vertical="center" wrapText="1"/>
    </xf>
    <xf numFmtId="3" fontId="7" fillId="0" borderId="18" xfId="2" applyNumberFormat="1" applyFont="1" applyFill="1" applyBorder="1" applyAlignment="1">
      <alignment horizontal="center" vertical="center" wrapText="1"/>
    </xf>
    <xf numFmtId="169" fontId="6" fillId="0" borderId="18" xfId="2" applyFont="1" applyFill="1" applyBorder="1" applyAlignment="1">
      <alignment horizontal="center" vertical="center" textRotation="180" wrapText="1"/>
    </xf>
    <xf numFmtId="0" fontId="6" fillId="9" borderId="9" xfId="0" applyFont="1" applyFill="1" applyBorder="1" applyAlignment="1">
      <alignment horizontal="center" vertical="center" wrapText="1"/>
    </xf>
    <xf numFmtId="179" fontId="6" fillId="9" borderId="9" xfId="0" applyNumberFormat="1" applyFont="1" applyFill="1" applyBorder="1" applyAlignment="1">
      <alignment vertical="center"/>
    </xf>
    <xf numFmtId="1" fontId="6" fillId="5" borderId="8" xfId="2" applyNumberFormat="1" applyFont="1" applyFill="1" applyBorder="1" applyAlignment="1">
      <alignment horizontal="center" vertical="center" textRotation="180" wrapText="1"/>
    </xf>
    <xf numFmtId="1" fontId="6" fillId="0" borderId="8" xfId="2" applyNumberFormat="1" applyFont="1" applyFill="1" applyBorder="1" applyAlignment="1">
      <alignment horizontal="center" vertical="center" textRotation="180" wrapText="1"/>
    </xf>
    <xf numFmtId="1" fontId="6" fillId="5" borderId="15" xfId="2" applyNumberFormat="1" applyFont="1" applyFill="1" applyBorder="1" applyAlignment="1">
      <alignment horizontal="center" vertical="center" textRotation="180" wrapText="1"/>
    </xf>
    <xf numFmtId="1" fontId="6" fillId="0" borderId="15" xfId="2" applyNumberFormat="1" applyFont="1" applyFill="1" applyBorder="1" applyAlignment="1">
      <alignment horizontal="center" vertical="center" textRotation="180" wrapText="1"/>
    </xf>
    <xf numFmtId="169" fontId="7" fillId="5" borderId="15" xfId="2" applyFont="1" applyFill="1" applyBorder="1" applyAlignment="1">
      <alignment horizontal="center" vertical="center" wrapText="1"/>
    </xf>
    <xf numFmtId="42" fontId="7" fillId="5" borderId="8" xfId="2" applyNumberFormat="1" applyFont="1" applyFill="1" applyBorder="1" applyAlignment="1">
      <alignment horizontal="center" vertical="center" wrapText="1"/>
    </xf>
    <xf numFmtId="0" fontId="7" fillId="0" borderId="0" xfId="2" applyNumberFormat="1" applyFont="1" applyFill="1" applyBorder="1" applyAlignment="1">
      <alignment horizontal="center" vertical="center"/>
    </xf>
    <xf numFmtId="3" fontId="7" fillId="0" borderId="0" xfId="2" applyNumberFormat="1" applyFont="1" applyFill="1" applyBorder="1" applyAlignment="1">
      <alignment horizontal="center" vertical="center" wrapText="1"/>
    </xf>
    <xf numFmtId="169" fontId="7" fillId="5" borderId="15" xfId="2" applyFont="1" applyFill="1" applyBorder="1" applyAlignment="1">
      <alignment vertical="center" wrapText="1"/>
    </xf>
    <xf numFmtId="1" fontId="7" fillId="5" borderId="1" xfId="10" applyNumberFormat="1" applyFont="1" applyFill="1" applyBorder="1" applyAlignment="1">
      <alignment horizontal="center" vertical="center" wrapText="1"/>
    </xf>
    <xf numFmtId="169" fontId="7" fillId="0" borderId="1" xfId="2" applyFont="1" applyBorder="1" applyAlignment="1">
      <alignment horizontal="justify" vertical="center" wrapText="1"/>
    </xf>
    <xf numFmtId="169" fontId="7" fillId="0" borderId="1" xfId="2" applyFont="1" applyFill="1" applyBorder="1" applyAlignment="1">
      <alignment horizontal="center" vertical="center"/>
    </xf>
    <xf numFmtId="1" fontId="7" fillId="0" borderId="1" xfId="2" applyNumberFormat="1" applyFont="1" applyBorder="1" applyAlignment="1">
      <alignment horizontal="center" vertical="center"/>
    </xf>
    <xf numFmtId="1" fontId="7" fillId="0" borderId="18" xfId="2" applyNumberFormat="1" applyFont="1" applyBorder="1" applyAlignment="1">
      <alignment horizontal="center" vertical="center"/>
    </xf>
    <xf numFmtId="169" fontId="7" fillId="5" borderId="18" xfId="2" applyFont="1" applyFill="1" applyBorder="1" applyAlignment="1">
      <alignment vertical="center" wrapText="1"/>
    </xf>
    <xf numFmtId="10" fontId="7" fillId="5" borderId="1" xfId="2" applyNumberFormat="1" applyFont="1" applyFill="1" applyBorder="1" applyAlignment="1">
      <alignment horizontal="center" vertical="center" wrapText="1"/>
    </xf>
    <xf numFmtId="174" fontId="7" fillId="5" borderId="18" xfId="2" applyNumberFormat="1" applyFont="1" applyFill="1" applyBorder="1" applyAlignment="1">
      <alignment vertical="center" wrapText="1"/>
    </xf>
    <xf numFmtId="42" fontId="7" fillId="5" borderId="1" xfId="2" applyNumberFormat="1" applyFont="1" applyFill="1" applyBorder="1" applyAlignment="1">
      <alignment vertical="center" wrapText="1"/>
    </xf>
    <xf numFmtId="1" fontId="6" fillId="5" borderId="18" xfId="2" applyNumberFormat="1" applyFont="1" applyFill="1" applyBorder="1" applyAlignment="1">
      <alignment horizontal="center" vertical="center" textRotation="180" wrapText="1"/>
    </xf>
    <xf numFmtId="1" fontId="6" fillId="0" borderId="18" xfId="2" applyNumberFormat="1" applyFont="1" applyFill="1" applyBorder="1" applyAlignment="1">
      <alignment horizontal="center" vertical="center" textRotation="180" wrapText="1"/>
    </xf>
    <xf numFmtId="3" fontId="7" fillId="0" borderId="18" xfId="2" applyNumberFormat="1" applyFont="1" applyFill="1" applyBorder="1" applyAlignment="1">
      <alignment horizontal="center" vertical="center" wrapText="1" readingOrder="1"/>
    </xf>
    <xf numFmtId="3" fontId="7" fillId="0" borderId="18" xfId="2" applyNumberFormat="1" applyFont="1" applyFill="1" applyBorder="1" applyAlignment="1">
      <alignment vertical="center" wrapText="1" readingOrder="1"/>
    </xf>
    <xf numFmtId="10" fontId="6" fillId="0" borderId="18" xfId="2" applyNumberFormat="1" applyFont="1" applyFill="1" applyBorder="1" applyAlignment="1">
      <alignment horizontal="center" vertical="center" wrapText="1" readingOrder="1"/>
    </xf>
    <xf numFmtId="178" fontId="6" fillId="10" borderId="2" xfId="0" applyNumberFormat="1" applyFont="1" applyFill="1" applyBorder="1" applyAlignment="1">
      <alignment horizontal="center" vertical="center" wrapText="1"/>
    </xf>
    <xf numFmtId="1" fontId="6" fillId="5" borderId="16" xfId="2" applyNumberFormat="1" applyFont="1" applyFill="1" applyBorder="1" applyAlignment="1">
      <alignment horizontal="center" vertical="center" wrapText="1"/>
    </xf>
    <xf numFmtId="1" fontId="6" fillId="5" borderId="0" xfId="2" applyNumberFormat="1" applyFont="1" applyFill="1" applyBorder="1" applyAlignment="1">
      <alignment horizontal="center" vertical="center" wrapText="1"/>
    </xf>
    <xf numFmtId="1" fontId="6" fillId="5" borderId="17" xfId="2" applyNumberFormat="1" applyFont="1" applyFill="1" applyBorder="1" applyAlignment="1">
      <alignment horizontal="center" vertical="center" wrapText="1"/>
    </xf>
    <xf numFmtId="178" fontId="6" fillId="9" borderId="4" xfId="0" applyNumberFormat="1" applyFont="1" applyFill="1" applyBorder="1" applyAlignment="1">
      <alignment horizontal="center" vertical="center" wrapText="1"/>
    </xf>
    <xf numFmtId="178" fontId="6" fillId="9" borderId="5" xfId="0" applyNumberFormat="1" applyFont="1" applyFill="1" applyBorder="1" applyAlignment="1">
      <alignment horizontal="center" vertical="center"/>
    </xf>
    <xf numFmtId="169" fontId="7" fillId="5" borderId="8" xfId="2" applyFont="1" applyFill="1" applyBorder="1" applyAlignment="1">
      <alignment horizontal="center" vertical="center" wrapText="1"/>
    </xf>
    <xf numFmtId="1" fontId="7" fillId="0" borderId="8" xfId="2" applyNumberFormat="1" applyFont="1" applyFill="1" applyBorder="1" applyAlignment="1">
      <alignment horizontal="center" vertical="center" wrapText="1"/>
    </xf>
    <xf numFmtId="170" fontId="7" fillId="5" borderId="3" xfId="2" applyNumberFormat="1" applyFont="1" applyFill="1" applyBorder="1" applyAlignment="1">
      <alignment horizontal="center" vertical="center" wrapText="1"/>
    </xf>
    <xf numFmtId="1" fontId="7" fillId="0" borderId="15" xfId="2" applyNumberFormat="1" applyFont="1" applyFill="1" applyBorder="1" applyAlignment="1">
      <alignment horizontal="center" vertical="center" wrapText="1"/>
    </xf>
    <xf numFmtId="169" fontId="7" fillId="5" borderId="18" xfId="2" applyFont="1" applyFill="1" applyBorder="1" applyAlignment="1">
      <alignment horizontal="center" vertical="center" wrapText="1"/>
    </xf>
    <xf numFmtId="1" fontId="7" fillId="0" borderId="18" xfId="2" applyNumberFormat="1" applyFont="1" applyFill="1" applyBorder="1" applyAlignment="1">
      <alignment horizontal="center" vertical="center" wrapText="1"/>
    </xf>
    <xf numFmtId="178" fontId="6" fillId="9" borderId="2" xfId="0" applyNumberFormat="1" applyFont="1" applyFill="1" applyBorder="1" applyAlignment="1">
      <alignment horizontal="center" vertical="center"/>
    </xf>
    <xf numFmtId="42" fontId="7" fillId="5" borderId="1" xfId="2" applyNumberFormat="1" applyFont="1" applyFill="1" applyBorder="1" applyAlignment="1">
      <alignment horizontal="justify" vertical="center"/>
    </xf>
    <xf numFmtId="3" fontId="7" fillId="5" borderId="7" xfId="2" applyNumberFormat="1" applyFont="1" applyFill="1" applyBorder="1" applyAlignment="1">
      <alignment horizontal="center" vertical="center"/>
    </xf>
    <xf numFmtId="3" fontId="7" fillId="5" borderId="8" xfId="2" applyNumberFormat="1" applyFont="1" applyFill="1" applyBorder="1" applyAlignment="1">
      <alignment horizontal="center" vertical="center"/>
    </xf>
    <xf numFmtId="3" fontId="6" fillId="5" borderId="8" xfId="2" applyNumberFormat="1" applyFont="1" applyFill="1" applyBorder="1" applyAlignment="1">
      <alignment horizontal="center" vertical="center"/>
    </xf>
    <xf numFmtId="3" fontId="7" fillId="0" borderId="8" xfId="2" applyNumberFormat="1" applyFont="1" applyFill="1" applyBorder="1" applyAlignment="1">
      <alignment horizontal="center" vertical="center"/>
    </xf>
    <xf numFmtId="3" fontId="6" fillId="0" borderId="8" xfId="2" applyNumberFormat="1" applyFont="1" applyFill="1" applyBorder="1" applyAlignment="1">
      <alignment horizontal="center" vertical="center"/>
    </xf>
    <xf numFmtId="3" fontId="7" fillId="5" borderId="17" xfId="2" applyNumberFormat="1" applyFont="1" applyFill="1" applyBorder="1" applyAlignment="1">
      <alignment horizontal="center" vertical="center"/>
    </xf>
    <xf numFmtId="3" fontId="7" fillId="5" borderId="15" xfId="2" applyNumberFormat="1" applyFont="1" applyFill="1" applyBorder="1" applyAlignment="1">
      <alignment horizontal="center" vertical="center"/>
    </xf>
    <xf numFmtId="3" fontId="6" fillId="5" borderId="15" xfId="2" applyNumberFormat="1" applyFont="1" applyFill="1" applyBorder="1" applyAlignment="1">
      <alignment horizontal="center" vertical="center"/>
    </xf>
    <xf numFmtId="3" fontId="7" fillId="0" borderId="15" xfId="2" applyNumberFormat="1" applyFont="1" applyFill="1" applyBorder="1" applyAlignment="1">
      <alignment horizontal="center" vertical="center"/>
    </xf>
    <xf numFmtId="3" fontId="6" fillId="0" borderId="15" xfId="2" applyNumberFormat="1" applyFont="1" applyFill="1" applyBorder="1" applyAlignment="1">
      <alignment horizontal="center" vertical="center"/>
    </xf>
    <xf numFmtId="170" fontId="7" fillId="0" borderId="1" xfId="2" applyNumberFormat="1" applyFont="1" applyFill="1" applyBorder="1" applyAlignment="1">
      <alignment horizontal="center" vertical="center"/>
    </xf>
    <xf numFmtId="170" fontId="7" fillId="0" borderId="1" xfId="2" applyNumberFormat="1" applyFont="1" applyBorder="1" applyAlignment="1">
      <alignment horizontal="center" vertical="center"/>
    </xf>
    <xf numFmtId="3" fontId="7" fillId="5" borderId="14" xfId="2" applyNumberFormat="1" applyFont="1" applyFill="1" applyBorder="1" applyAlignment="1">
      <alignment horizontal="center" vertical="center"/>
    </xf>
    <xf numFmtId="3" fontId="7" fillId="5" borderId="18" xfId="2" applyNumberFormat="1" applyFont="1" applyFill="1" applyBorder="1" applyAlignment="1">
      <alignment horizontal="center" vertical="center"/>
    </xf>
    <xf numFmtId="3" fontId="6" fillId="5" borderId="18" xfId="2" applyNumberFormat="1" applyFont="1" applyFill="1" applyBorder="1" applyAlignment="1">
      <alignment horizontal="center" vertical="center"/>
    </xf>
    <xf numFmtId="3" fontId="7" fillId="0" borderId="18" xfId="2" applyNumberFormat="1" applyFont="1" applyFill="1" applyBorder="1" applyAlignment="1">
      <alignment horizontal="center" vertical="center"/>
    </xf>
    <xf numFmtId="3" fontId="6" fillId="0" borderId="18" xfId="2" applyNumberFormat="1" applyFont="1" applyFill="1" applyBorder="1" applyAlignment="1">
      <alignment horizontal="center" vertical="center"/>
    </xf>
    <xf numFmtId="197" fontId="7" fillId="5" borderId="1" xfId="2" applyNumberFormat="1" applyFont="1" applyFill="1" applyBorder="1" applyAlignment="1">
      <alignment horizontal="justify" vertical="center"/>
    </xf>
    <xf numFmtId="3" fontId="7" fillId="0" borderId="8" xfId="2" applyNumberFormat="1" applyFont="1" applyBorder="1" applyAlignment="1">
      <alignment horizontal="center" vertical="center"/>
    </xf>
    <xf numFmtId="170" fontId="7" fillId="0" borderId="3" xfId="2" applyNumberFormat="1" applyFont="1" applyBorder="1" applyAlignment="1">
      <alignment horizontal="center" vertical="center"/>
    </xf>
    <xf numFmtId="3" fontId="7" fillId="0" borderId="15" xfId="2" applyNumberFormat="1" applyFont="1" applyBorder="1" applyAlignment="1">
      <alignment horizontal="center" vertical="center"/>
    </xf>
    <xf numFmtId="3" fontId="7" fillId="0" borderId="18" xfId="2" applyNumberFormat="1" applyFont="1" applyBorder="1" applyAlignment="1">
      <alignment horizontal="center" vertical="center"/>
    </xf>
    <xf numFmtId="37" fontId="7" fillId="0" borderId="8" xfId="2" applyNumberFormat="1" applyFont="1" applyBorder="1" applyAlignment="1">
      <alignment horizontal="center" vertical="center"/>
    </xf>
    <xf numFmtId="37" fontId="7" fillId="0" borderId="8" xfId="2" applyNumberFormat="1" applyFont="1" applyFill="1" applyBorder="1" applyAlignment="1">
      <alignment horizontal="center" vertical="center"/>
    </xf>
    <xf numFmtId="37" fontId="7" fillId="0" borderId="15" xfId="2" applyNumberFormat="1" applyFont="1" applyBorder="1" applyAlignment="1">
      <alignment horizontal="center" vertical="center"/>
    </xf>
    <xf numFmtId="37" fontId="7" fillId="0" borderId="15" xfId="2" applyNumberFormat="1" applyFont="1" applyFill="1" applyBorder="1" applyAlignment="1">
      <alignment horizontal="center" vertical="center"/>
    </xf>
    <xf numFmtId="42" fontId="7" fillId="0" borderId="8" xfId="2" applyNumberFormat="1" applyFont="1" applyFill="1" applyBorder="1" applyAlignment="1">
      <alignment horizontal="center" vertical="center"/>
    </xf>
    <xf numFmtId="42" fontId="7" fillId="5" borderId="8" xfId="2" applyNumberFormat="1" applyFont="1" applyFill="1" applyBorder="1" applyAlignment="1">
      <alignment horizontal="center" vertical="center"/>
    </xf>
    <xf numFmtId="37" fontId="7" fillId="0" borderId="18" xfId="2" applyNumberFormat="1" applyFont="1" applyBorder="1" applyAlignment="1">
      <alignment horizontal="center" vertical="center"/>
    </xf>
    <xf numFmtId="37" fontId="7" fillId="0" borderId="18" xfId="2" applyNumberFormat="1" applyFont="1" applyFill="1" applyBorder="1" applyAlignment="1">
      <alignment horizontal="center" vertical="center"/>
    </xf>
    <xf numFmtId="14" fontId="7" fillId="0" borderId="1" xfId="2" applyNumberFormat="1" applyFont="1" applyBorder="1" applyAlignment="1">
      <alignment horizontal="center" vertical="center"/>
    </xf>
    <xf numFmtId="169" fontId="7" fillId="0" borderId="1" xfId="2" applyFont="1" applyBorder="1" applyAlignment="1">
      <alignment horizontal="justify" vertical="center" wrapText="1" readingOrder="2"/>
    </xf>
    <xf numFmtId="169" fontId="7" fillId="0" borderId="1" xfId="2" applyFont="1" applyFill="1" applyBorder="1" applyAlignment="1">
      <alignment horizontal="justify" vertical="center" wrapText="1" readingOrder="2"/>
    </xf>
    <xf numFmtId="3" fontId="7" fillId="0" borderId="1" xfId="2" applyNumberFormat="1" applyFont="1" applyBorder="1" applyAlignment="1">
      <alignment horizontal="center" vertical="center"/>
    </xf>
    <xf numFmtId="169" fontId="7" fillId="0" borderId="8" xfId="2" applyFont="1" applyBorder="1" applyAlignment="1">
      <alignment horizontal="justify" vertical="center" wrapText="1"/>
    </xf>
    <xf numFmtId="169" fontId="7" fillId="0" borderId="8" xfId="2" applyFont="1" applyFill="1" applyBorder="1" applyAlignment="1">
      <alignment horizontal="center" vertical="center" wrapText="1"/>
    </xf>
    <xf numFmtId="10" fontId="7" fillId="0" borderId="1" xfId="2" applyNumberFormat="1" applyFont="1" applyFill="1" applyBorder="1" applyAlignment="1">
      <alignment horizontal="center" vertical="center"/>
    </xf>
    <xf numFmtId="197" fontId="7" fillId="5" borderId="18" xfId="2" applyNumberFormat="1" applyFont="1" applyFill="1" applyBorder="1" applyAlignment="1">
      <alignment vertical="center"/>
    </xf>
    <xf numFmtId="10" fontId="7" fillId="0" borderId="18" xfId="2" applyNumberFormat="1" applyFont="1" applyFill="1" applyBorder="1" applyAlignment="1">
      <alignment vertical="center"/>
    </xf>
    <xf numFmtId="1" fontId="6" fillId="10" borderId="3" xfId="0" applyNumberFormat="1" applyFont="1" applyFill="1" applyBorder="1" applyAlignment="1">
      <alignment horizontal="center" vertical="center"/>
    </xf>
    <xf numFmtId="1" fontId="6" fillId="10" borderId="4" xfId="0" applyNumberFormat="1" applyFont="1" applyFill="1" applyBorder="1" applyAlignment="1">
      <alignment vertical="center"/>
    </xf>
    <xf numFmtId="0" fontId="6" fillId="10" borderId="4" xfId="0" applyFont="1" applyFill="1" applyBorder="1" applyAlignment="1">
      <alignment horizontal="justify" vertical="center" wrapText="1"/>
    </xf>
    <xf numFmtId="182" fontId="7" fillId="10" borderId="4" xfId="0" applyNumberFormat="1" applyFont="1" applyFill="1" applyBorder="1" applyAlignment="1">
      <alignment horizontal="center" vertical="center"/>
    </xf>
    <xf numFmtId="178" fontId="6" fillId="10" borderId="4" xfId="0" applyNumberFormat="1" applyFont="1" applyFill="1" applyBorder="1" applyAlignment="1">
      <alignment vertical="center"/>
    </xf>
    <xf numFmtId="178" fontId="6" fillId="10" borderId="4" xfId="0" applyNumberFormat="1" applyFont="1" applyFill="1" applyBorder="1" applyAlignment="1">
      <alignment horizontal="center" vertical="center"/>
    </xf>
    <xf numFmtId="0" fontId="6" fillId="10" borderId="4" xfId="0" applyFont="1" applyFill="1" applyBorder="1" applyAlignment="1">
      <alignment horizontal="center" vertical="center" wrapText="1"/>
    </xf>
    <xf numFmtId="10" fontId="6" fillId="10" borderId="4" xfId="0" applyNumberFormat="1" applyFont="1" applyFill="1" applyBorder="1" applyAlignment="1">
      <alignment horizontal="center" vertical="center"/>
    </xf>
    <xf numFmtId="1" fontId="6" fillId="9" borderId="13" xfId="0" applyNumberFormat="1" applyFont="1" applyFill="1" applyBorder="1" applyAlignment="1">
      <alignment horizontal="left" vertical="center" wrapText="1" indent="1"/>
    </xf>
    <xf numFmtId="0" fontId="6" fillId="9" borderId="2" xfId="0" applyFont="1" applyFill="1" applyBorder="1" applyAlignment="1">
      <alignment vertical="center"/>
    </xf>
    <xf numFmtId="0" fontId="6" fillId="9" borderId="2" xfId="0" applyFont="1" applyFill="1" applyBorder="1" applyAlignment="1">
      <alignment horizontal="justify" vertical="center" wrapText="1"/>
    </xf>
    <xf numFmtId="182" fontId="7" fillId="9" borderId="2" xfId="0" applyNumberFormat="1" applyFont="1" applyFill="1" applyBorder="1" applyAlignment="1">
      <alignment horizontal="center" vertical="center"/>
    </xf>
    <xf numFmtId="178" fontId="6" fillId="9" borderId="2" xfId="0" applyNumberFormat="1" applyFont="1" applyFill="1" applyBorder="1" applyAlignment="1">
      <alignment vertical="center"/>
    </xf>
    <xf numFmtId="178" fontId="6" fillId="9" borderId="2" xfId="0" applyNumberFormat="1" applyFont="1" applyFill="1" applyBorder="1" applyAlignment="1">
      <alignment horizontal="center" vertical="center" wrapText="1"/>
    </xf>
    <xf numFmtId="10" fontId="6" fillId="9" borderId="2" xfId="0" applyNumberFormat="1" applyFont="1" applyFill="1" applyBorder="1" applyAlignment="1">
      <alignment horizontal="center" vertical="center"/>
    </xf>
    <xf numFmtId="178" fontId="6" fillId="9" borderId="14" xfId="0" applyNumberFormat="1" applyFont="1" applyFill="1" applyBorder="1" applyAlignment="1">
      <alignment horizontal="center" vertical="center"/>
    </xf>
    <xf numFmtId="1" fontId="7" fillId="0" borderId="8" xfId="2" applyNumberFormat="1" applyFont="1" applyFill="1" applyBorder="1" applyAlignment="1">
      <alignment vertical="center"/>
    </xf>
    <xf numFmtId="3" fontId="7" fillId="0" borderId="8" xfId="2" applyNumberFormat="1" applyFont="1" applyBorder="1" applyAlignment="1">
      <alignment horizontal="center"/>
    </xf>
    <xf numFmtId="3" fontId="7" fillId="0" borderId="8" xfId="2" applyNumberFormat="1" applyFont="1" applyFill="1" applyBorder="1" applyAlignment="1">
      <alignment horizontal="center"/>
    </xf>
    <xf numFmtId="3" fontId="7" fillId="0" borderId="8" xfId="2" applyNumberFormat="1" applyFont="1" applyFill="1" applyBorder="1" applyAlignment="1">
      <alignment vertical="center"/>
    </xf>
    <xf numFmtId="1" fontId="7" fillId="0" borderId="15" xfId="2" applyNumberFormat="1" applyFont="1" applyFill="1" applyBorder="1" applyAlignment="1">
      <alignment vertical="center"/>
    </xf>
    <xf numFmtId="3" fontId="7" fillId="0" borderId="15" xfId="2" applyNumberFormat="1" applyFont="1" applyBorder="1" applyAlignment="1">
      <alignment horizontal="center"/>
    </xf>
    <xf numFmtId="3" fontId="7" fillId="0" borderId="15" xfId="2" applyNumberFormat="1" applyFont="1" applyFill="1" applyBorder="1" applyAlignment="1">
      <alignment horizontal="center"/>
    </xf>
    <xf numFmtId="3" fontId="7" fillId="0" borderId="15" xfId="2" applyNumberFormat="1" applyFont="1" applyFill="1" applyBorder="1" applyAlignment="1">
      <alignment vertical="center"/>
    </xf>
    <xf numFmtId="170" fontId="7" fillId="0" borderId="3" xfId="2" applyNumberFormat="1" applyFont="1" applyFill="1" applyBorder="1" applyAlignment="1">
      <alignment horizontal="center" vertical="center"/>
    </xf>
    <xf numFmtId="169" fontId="7" fillId="5" borderId="42" xfId="2" applyFont="1" applyFill="1" applyBorder="1" applyAlignment="1">
      <alignment horizontal="justify" vertical="center" wrapText="1"/>
    </xf>
    <xf numFmtId="42" fontId="7" fillId="5" borderId="42" xfId="2" applyNumberFormat="1" applyFont="1" applyFill="1" applyBorder="1" applyAlignment="1">
      <alignment horizontal="justify" vertical="center"/>
    </xf>
    <xf numFmtId="1" fontId="7" fillId="0" borderId="40" xfId="2" applyNumberFormat="1" applyFont="1" applyFill="1" applyBorder="1" applyAlignment="1">
      <alignment vertical="center"/>
    </xf>
    <xf numFmtId="3" fontId="7" fillId="0" borderId="40" xfId="2" applyNumberFormat="1" applyFont="1" applyBorder="1" applyAlignment="1">
      <alignment horizontal="center"/>
    </xf>
    <xf numFmtId="3" fontId="7" fillId="0" borderId="40" xfId="2" applyNumberFormat="1" applyFont="1" applyFill="1" applyBorder="1" applyAlignment="1">
      <alignment horizontal="center"/>
    </xf>
    <xf numFmtId="3" fontId="7" fillId="0" borderId="40" xfId="2" applyNumberFormat="1" applyFont="1" applyFill="1" applyBorder="1" applyAlignment="1">
      <alignment vertical="center"/>
    </xf>
    <xf numFmtId="170" fontId="7" fillId="0" borderId="42" xfId="2" applyNumberFormat="1" applyFont="1" applyFill="1" applyBorder="1" applyAlignment="1">
      <alignment horizontal="center" vertical="center"/>
    </xf>
    <xf numFmtId="170" fontId="7" fillId="0" borderId="43" xfId="2" applyNumberFormat="1" applyFont="1" applyBorder="1" applyAlignment="1">
      <alignment horizontal="center" vertical="center"/>
    </xf>
    <xf numFmtId="169" fontId="7" fillId="0" borderId="7" xfId="2" applyFont="1" applyBorder="1" applyAlignment="1">
      <alignment horizontal="center"/>
    </xf>
    <xf numFmtId="169" fontId="7" fillId="0" borderId="8" xfId="2" applyFont="1" applyBorder="1" applyAlignment="1">
      <alignment horizontal="center"/>
    </xf>
    <xf numFmtId="169" fontId="7" fillId="0" borderId="8" xfId="2" applyFont="1" applyFill="1" applyBorder="1" applyAlignment="1">
      <alignment horizontal="center"/>
    </xf>
    <xf numFmtId="169" fontId="7" fillId="5" borderId="1" xfId="2" applyFont="1" applyFill="1" applyBorder="1" applyAlignment="1">
      <alignment horizontal="justify" vertical="center" wrapText="1" readingOrder="2"/>
    </xf>
    <xf numFmtId="169" fontId="7" fillId="0" borderId="17" xfId="2" applyFont="1" applyBorder="1" applyAlignment="1">
      <alignment horizontal="center"/>
    </xf>
    <xf numFmtId="169" fontId="7" fillId="0" borderId="15" xfId="2" applyFont="1" applyBorder="1" applyAlignment="1">
      <alignment horizontal="center"/>
    </xf>
    <xf numFmtId="169" fontId="7" fillId="0" borderId="15" xfId="2" applyFont="1" applyFill="1" applyBorder="1" applyAlignment="1">
      <alignment horizontal="center"/>
    </xf>
    <xf numFmtId="170" fontId="7" fillId="0" borderId="8" xfId="2" applyNumberFormat="1" applyFont="1" applyFill="1" applyBorder="1" applyAlignment="1">
      <alignment horizontal="center" vertical="center"/>
    </xf>
    <xf numFmtId="170" fontId="7" fillId="0" borderId="6" xfId="2" applyNumberFormat="1" applyFont="1" applyBorder="1" applyAlignment="1">
      <alignment horizontal="center" vertical="center"/>
    </xf>
    <xf numFmtId="178" fontId="6" fillId="6" borderId="4" xfId="0" applyNumberFormat="1" applyFont="1" applyFill="1" applyBorder="1" applyAlignment="1">
      <alignment horizontal="center" vertical="center" wrapText="1"/>
    </xf>
    <xf numFmtId="178" fontId="6" fillId="6" borderId="5" xfId="0" applyNumberFormat="1" applyFont="1" applyFill="1" applyBorder="1" applyAlignment="1">
      <alignment horizontal="center" vertical="center"/>
    </xf>
    <xf numFmtId="3" fontId="7" fillId="5" borderId="27" xfId="2" applyNumberFormat="1" applyFont="1" applyFill="1" applyBorder="1" applyAlignment="1">
      <alignment horizontal="center" vertical="center" wrapText="1"/>
    </xf>
    <xf numFmtId="3" fontId="7" fillId="5" borderId="22" xfId="2" applyNumberFormat="1" applyFont="1" applyFill="1" applyBorder="1" applyAlignment="1">
      <alignment horizontal="center" vertical="center" wrapText="1"/>
    </xf>
    <xf numFmtId="3" fontId="7" fillId="5" borderId="23" xfId="2" applyNumberFormat="1" applyFont="1" applyFill="1" applyBorder="1" applyAlignment="1">
      <alignment horizontal="center" vertical="center" wrapText="1"/>
    </xf>
    <xf numFmtId="169" fontId="7" fillId="0" borderId="14" xfId="2" applyFont="1" applyBorder="1" applyAlignment="1">
      <alignment horizontal="center"/>
    </xf>
    <xf numFmtId="169" fontId="7" fillId="0" borderId="18" xfId="2" applyFont="1" applyBorder="1" applyAlignment="1">
      <alignment horizontal="center"/>
    </xf>
    <xf numFmtId="169" fontId="7" fillId="0" borderId="18" xfId="2" applyFont="1" applyFill="1" applyBorder="1" applyAlignment="1">
      <alignment horizontal="center"/>
    </xf>
    <xf numFmtId="169" fontId="7" fillId="0" borderId="3" xfId="2" applyFont="1" applyBorder="1"/>
    <xf numFmtId="169" fontId="7" fillId="0" borderId="4" xfId="2" applyFont="1" applyBorder="1"/>
    <xf numFmtId="169" fontId="7" fillId="5" borderId="4" xfId="2" applyFont="1" applyFill="1" applyBorder="1" applyAlignment="1">
      <alignment horizontal="justify" vertical="center" wrapText="1"/>
    </xf>
    <xf numFmtId="169" fontId="7" fillId="5" borderId="4" xfId="2" applyFont="1" applyFill="1" applyBorder="1"/>
    <xf numFmtId="169" fontId="7" fillId="0" borderId="4" xfId="2" applyFont="1" applyFill="1" applyBorder="1"/>
    <xf numFmtId="169" fontId="7" fillId="5" borderId="4" xfId="2" applyFont="1" applyFill="1" applyBorder="1" applyAlignment="1"/>
    <xf numFmtId="169" fontId="6" fillId="5" borderId="5" xfId="2" applyFont="1" applyFill="1" applyBorder="1" applyAlignment="1">
      <alignment horizontal="center" vertical="center"/>
    </xf>
    <xf numFmtId="192" fontId="6" fillId="5" borderId="1" xfId="2" applyNumberFormat="1" applyFont="1" applyFill="1" applyBorder="1" applyAlignment="1">
      <alignment horizontal="right" vertical="center"/>
    </xf>
    <xf numFmtId="192" fontId="6" fillId="5" borderId="3" xfId="2" applyNumberFormat="1" applyFont="1" applyFill="1" applyBorder="1" applyAlignment="1">
      <alignment horizontal="right" vertical="center"/>
    </xf>
    <xf numFmtId="192" fontId="6" fillId="5" borderId="4" xfId="2" applyNumberFormat="1" applyFont="1" applyFill="1" applyBorder="1" applyAlignment="1">
      <alignment horizontal="justify" vertical="center" wrapText="1"/>
    </xf>
    <xf numFmtId="192" fontId="6" fillId="5" borderId="5" xfId="2" applyNumberFormat="1" applyFont="1" applyFill="1" applyBorder="1" applyAlignment="1">
      <alignment horizontal="justify" vertical="center" wrapText="1"/>
    </xf>
    <xf numFmtId="192" fontId="6" fillId="0" borderId="3" xfId="2" applyNumberFormat="1" applyFont="1" applyFill="1" applyBorder="1" applyAlignment="1">
      <alignment horizontal="right" vertical="center"/>
    </xf>
    <xf numFmtId="169" fontId="7" fillId="5" borderId="4" xfId="2" applyFont="1" applyFill="1" applyBorder="1" applyAlignment="1">
      <alignment horizontal="center" vertical="center" wrapText="1"/>
    </xf>
    <xf numFmtId="169" fontId="7" fillId="0" borderId="5" xfId="2" applyFont="1" applyFill="1" applyBorder="1"/>
    <xf numFmtId="3" fontId="6" fillId="0" borderId="1" xfId="2" applyNumberFormat="1" applyFont="1" applyFill="1" applyBorder="1" applyAlignment="1">
      <alignment vertical="center"/>
    </xf>
    <xf numFmtId="10" fontId="6" fillId="0" borderId="1" xfId="2" applyNumberFormat="1" applyFont="1" applyFill="1" applyBorder="1" applyAlignment="1">
      <alignment horizontal="center" vertical="center"/>
    </xf>
    <xf numFmtId="169" fontId="7" fillId="0" borderId="3" xfId="2" applyFont="1" applyFill="1" applyBorder="1"/>
    <xf numFmtId="169" fontId="7" fillId="0" borderId="4" xfId="2" applyFont="1" applyFill="1" applyBorder="1" applyAlignment="1">
      <alignment horizontal="right" vertical="center"/>
    </xf>
    <xf numFmtId="170" fontId="7" fillId="0" borderId="4" xfId="2" applyNumberFormat="1" applyFont="1" applyBorder="1" applyAlignment="1">
      <alignment horizontal="center"/>
    </xf>
    <xf numFmtId="169" fontId="7" fillId="0" borderId="5" xfId="2" applyFont="1" applyBorder="1" applyAlignment="1">
      <alignment horizontal="left"/>
    </xf>
    <xf numFmtId="169" fontId="7" fillId="0" borderId="0" xfId="2" applyFont="1" applyBorder="1"/>
    <xf numFmtId="169" fontId="7" fillId="5" borderId="0" xfId="2" applyFont="1" applyFill="1" applyBorder="1" applyAlignment="1">
      <alignment horizontal="justify" vertical="center" wrapText="1"/>
    </xf>
    <xf numFmtId="169" fontId="7" fillId="5" borderId="0" xfId="2" applyFont="1" applyFill="1" applyBorder="1"/>
    <xf numFmtId="169" fontId="7" fillId="0" borderId="0" xfId="2" applyFont="1" applyFill="1" applyBorder="1"/>
    <xf numFmtId="169" fontId="7" fillId="5" borderId="0" xfId="2" applyFont="1" applyFill="1" applyBorder="1" applyAlignment="1"/>
    <xf numFmtId="169" fontId="7" fillId="5" borderId="0" xfId="2" applyFont="1" applyFill="1" applyBorder="1" applyAlignment="1">
      <alignment horizontal="center" vertical="center"/>
    </xf>
    <xf numFmtId="169" fontId="7" fillId="5" borderId="0" xfId="2" applyFont="1" applyFill="1" applyBorder="1" applyAlignment="1">
      <alignment horizontal="justify" vertical="center"/>
    </xf>
    <xf numFmtId="169" fontId="7" fillId="0" borderId="0" xfId="2" applyFont="1" applyFill="1" applyBorder="1" applyAlignment="1">
      <alignment horizontal="justify" vertical="center"/>
    </xf>
    <xf numFmtId="169" fontId="7" fillId="5" borderId="0" xfId="2" applyFont="1" applyFill="1" applyBorder="1" applyAlignment="1">
      <alignment horizontal="center" vertical="center" wrapText="1"/>
    </xf>
    <xf numFmtId="10" fontId="7" fillId="0" borderId="0" xfId="2" applyNumberFormat="1" applyFont="1" applyFill="1" applyBorder="1" applyAlignment="1">
      <alignment horizontal="center"/>
    </xf>
    <xf numFmtId="169" fontId="7" fillId="0" borderId="0" xfId="2" applyFont="1" applyFill="1" applyBorder="1" applyAlignment="1">
      <alignment horizontal="right" vertical="center"/>
    </xf>
    <xf numFmtId="170" fontId="7" fillId="0" borderId="0" xfId="2" applyNumberFormat="1" applyFont="1" applyBorder="1" applyAlignment="1">
      <alignment horizontal="center"/>
    </xf>
    <xf numFmtId="169" fontId="7" fillId="0" borderId="0" xfId="2" applyFont="1" applyBorder="1" applyAlignment="1">
      <alignment horizontal="left"/>
    </xf>
    <xf numFmtId="199" fontId="7" fillId="5" borderId="0" xfId="2" applyNumberFormat="1" applyFont="1" applyFill="1" applyBorder="1" applyAlignment="1">
      <alignment horizontal="justify" vertical="center" wrapText="1"/>
    </xf>
    <xf numFmtId="169" fontId="7" fillId="5" borderId="0" xfId="2" applyFont="1" applyFill="1" applyAlignment="1">
      <alignment horizontal="justify" vertical="center" wrapText="1"/>
    </xf>
    <xf numFmtId="169" fontId="7" fillId="5" borderId="0" xfId="2" applyFont="1" applyFill="1" applyAlignment="1"/>
    <xf numFmtId="169" fontId="7" fillId="5" borderId="0" xfId="2" applyFont="1" applyFill="1" applyAlignment="1">
      <alignment horizontal="center" vertical="center"/>
    </xf>
    <xf numFmtId="169" fontId="7" fillId="5" borderId="0" xfId="2" applyFont="1" applyFill="1" applyAlignment="1">
      <alignment horizontal="justify" vertical="center"/>
    </xf>
    <xf numFmtId="200" fontId="7" fillId="0" borderId="0" xfId="2" applyNumberFormat="1" applyFont="1" applyFill="1" applyAlignment="1">
      <alignment horizontal="justify" vertical="center"/>
    </xf>
    <xf numFmtId="169" fontId="7" fillId="5" borderId="0" xfId="2" applyFont="1" applyFill="1" applyAlignment="1">
      <alignment horizontal="center" vertical="center" wrapText="1"/>
    </xf>
    <xf numFmtId="10" fontId="7" fillId="0" borderId="0" xfId="2" applyNumberFormat="1" applyFont="1" applyFill="1" applyAlignment="1">
      <alignment horizontal="center"/>
    </xf>
    <xf numFmtId="169" fontId="7" fillId="0" borderId="0" xfId="2" applyFont="1" applyFill="1" applyAlignment="1">
      <alignment horizontal="right" vertical="center"/>
    </xf>
    <xf numFmtId="170" fontId="7" fillId="0" borderId="0" xfId="2" applyNumberFormat="1" applyFont="1" applyAlignment="1">
      <alignment horizontal="center"/>
    </xf>
    <xf numFmtId="169" fontId="7" fillId="0" borderId="0" xfId="2" applyFont="1" applyAlignment="1">
      <alignment horizontal="left"/>
    </xf>
    <xf numFmtId="169" fontId="7" fillId="0" borderId="0" xfId="2" applyFont="1" applyFill="1" applyAlignment="1">
      <alignment horizontal="justify" vertical="center"/>
    </xf>
    <xf numFmtId="169" fontId="7" fillId="16" borderId="0" xfId="2" applyFont="1" applyFill="1"/>
    <xf numFmtId="10" fontId="7" fillId="16" borderId="0" xfId="2" applyNumberFormat="1" applyFont="1" applyFill="1" applyAlignment="1">
      <alignment horizontal="center"/>
    </xf>
    <xf numFmtId="0" fontId="6" fillId="5" borderId="1" xfId="0" applyFont="1" applyFill="1" applyBorder="1" applyAlignment="1">
      <alignment horizontal="left" vertical="center"/>
    </xf>
    <xf numFmtId="168" fontId="6" fillId="5" borderId="1" xfId="0" applyNumberFormat="1" applyFont="1" applyFill="1" applyBorder="1" applyAlignment="1">
      <alignment horizontal="left" vertical="center"/>
    </xf>
    <xf numFmtId="17" fontId="6" fillId="5" borderId="1" xfId="0" applyNumberFormat="1" applyFont="1" applyFill="1" applyBorder="1" applyAlignment="1">
      <alignment horizontal="left" vertical="center"/>
    </xf>
    <xf numFmtId="43" fontId="6" fillId="13" borderId="8" xfId="0" applyNumberFormat="1" applyFont="1" applyFill="1" applyBorder="1" applyAlignment="1">
      <alignment horizontal="center" vertical="center" wrapText="1"/>
    </xf>
    <xf numFmtId="43" fontId="6" fillId="13" borderId="8" xfId="0" applyNumberFormat="1" applyFont="1" applyFill="1" applyBorder="1" applyAlignment="1">
      <alignment vertical="center" wrapText="1"/>
    </xf>
    <xf numFmtId="1" fontId="6" fillId="13" borderId="15" xfId="0" applyNumberFormat="1" applyFont="1" applyFill="1" applyBorder="1" applyAlignment="1">
      <alignment horizontal="center" vertical="center" wrapText="1"/>
    </xf>
    <xf numFmtId="170" fontId="6" fillId="13" borderId="8" xfId="0" applyNumberFormat="1" applyFont="1" applyFill="1" applyBorder="1" applyAlignment="1">
      <alignment horizontal="center" vertical="center" wrapText="1"/>
    </xf>
    <xf numFmtId="170" fontId="6" fillId="13" borderId="1" xfId="0" applyNumberFormat="1" applyFont="1" applyFill="1" applyBorder="1" applyAlignment="1">
      <alignment horizontal="center" vertical="center" wrapText="1"/>
    </xf>
    <xf numFmtId="0" fontId="6" fillId="6" borderId="5" xfId="0" applyFont="1" applyFill="1" applyBorder="1" applyAlignment="1">
      <alignment vertical="center"/>
    </xf>
    <xf numFmtId="43" fontId="6" fillId="6" borderId="4" xfId="0" applyNumberFormat="1" applyFont="1" applyFill="1" applyBorder="1" applyAlignment="1">
      <alignment horizontal="center" vertical="center"/>
    </xf>
    <xf numFmtId="43" fontId="6" fillId="6" borderId="4" xfId="0" applyNumberFormat="1" applyFont="1" applyFill="1" applyBorder="1" applyAlignment="1">
      <alignment horizontal="justify" vertical="center"/>
    </xf>
    <xf numFmtId="43" fontId="6" fillId="6" borderId="4" xfId="0" applyNumberFormat="1" applyFont="1" applyFill="1" applyBorder="1" applyAlignment="1">
      <alignment vertical="center"/>
    </xf>
    <xf numFmtId="1" fontId="6" fillId="6" borderId="5" xfId="0" applyNumberFormat="1" applyFont="1" applyFill="1" applyBorder="1" applyAlignment="1">
      <alignment horizontal="justify" vertical="center"/>
    </xf>
    <xf numFmtId="1" fontId="7" fillId="6" borderId="4" xfId="0" applyNumberFormat="1" applyFont="1" applyFill="1" applyBorder="1" applyAlignment="1">
      <alignment vertical="center"/>
    </xf>
    <xf numFmtId="0" fontId="7" fillId="6" borderId="4" xfId="0" applyFont="1" applyFill="1" applyBorder="1" applyAlignment="1">
      <alignment horizontal="center" vertical="center"/>
    </xf>
    <xf numFmtId="43" fontId="7" fillId="6" borderId="4" xfId="0" applyNumberFormat="1" applyFont="1" applyFill="1" applyBorder="1" applyAlignment="1">
      <alignment vertical="center"/>
    </xf>
    <xf numFmtId="0" fontId="6" fillId="10" borderId="3" xfId="0" applyFont="1" applyFill="1" applyBorder="1" applyAlignment="1">
      <alignment vertical="center"/>
    </xf>
    <xf numFmtId="0" fontId="6" fillId="10" borderId="5" xfId="0" applyFont="1" applyFill="1" applyBorder="1" applyAlignment="1">
      <alignment vertical="center"/>
    </xf>
    <xf numFmtId="0" fontId="6" fillId="5" borderId="0" xfId="0" applyFont="1" applyFill="1" applyAlignment="1">
      <alignment vertical="center"/>
    </xf>
    <xf numFmtId="0" fontId="7" fillId="5" borderId="0" xfId="0" applyFont="1" applyFill="1" applyBorder="1" applyAlignment="1">
      <alignment vertical="center"/>
    </xf>
    <xf numFmtId="0" fontId="7" fillId="5" borderId="6" xfId="0" applyFont="1" applyFill="1" applyBorder="1" applyAlignment="1">
      <alignment vertical="center"/>
    </xf>
    <xf numFmtId="0" fontId="7" fillId="5" borderId="7" xfId="0" applyFont="1" applyFill="1" applyBorder="1" applyAlignment="1">
      <alignment vertical="center"/>
    </xf>
    <xf numFmtId="0" fontId="7" fillId="5" borderId="5" xfId="0" applyFont="1" applyFill="1" applyBorder="1" applyAlignment="1">
      <alignment vertical="center"/>
    </xf>
    <xf numFmtId="43" fontId="8" fillId="9" borderId="4" xfId="1" applyNumberFormat="1" applyFont="1" applyFill="1" applyBorder="1" applyAlignment="1">
      <alignment vertical="center"/>
    </xf>
    <xf numFmtId="43" fontId="7" fillId="9" borderId="4" xfId="1" applyNumberFormat="1" applyFont="1" applyFill="1" applyBorder="1" applyAlignment="1">
      <alignment vertical="center"/>
    </xf>
    <xf numFmtId="43" fontId="7" fillId="9" borderId="4" xfId="1" applyNumberFormat="1" applyFont="1" applyFill="1" applyBorder="1" applyAlignment="1">
      <alignment horizontal="center" vertical="center"/>
    </xf>
    <xf numFmtId="43" fontId="7" fillId="9" borderId="4" xfId="0" applyNumberFormat="1" applyFont="1" applyFill="1" applyBorder="1" applyAlignment="1">
      <alignment vertical="center"/>
    </xf>
    <xf numFmtId="0" fontId="7" fillId="5" borderId="4" xfId="0" applyFont="1" applyFill="1" applyBorder="1"/>
    <xf numFmtId="0" fontId="7" fillId="5" borderId="13" xfId="0" applyFont="1" applyFill="1" applyBorder="1" applyAlignment="1">
      <alignment horizontal="justify" vertical="center" wrapText="1"/>
    </xf>
    <xf numFmtId="43" fontId="7" fillId="5" borderId="13" xfId="0" applyNumberFormat="1" applyFont="1" applyFill="1" applyBorder="1" applyAlignment="1">
      <alignment horizontal="center" vertical="center" wrapText="1"/>
    </xf>
    <xf numFmtId="43" fontId="7" fillId="5" borderId="1" xfId="0" applyNumberFormat="1" applyFont="1" applyFill="1" applyBorder="1" applyAlignment="1">
      <alignment vertical="center"/>
    </xf>
    <xf numFmtId="10" fontId="7" fillId="5" borderId="1" xfId="5" applyNumberFormat="1" applyFont="1" applyFill="1" applyBorder="1" applyAlignment="1">
      <alignment horizontal="center" vertical="center"/>
    </xf>
    <xf numFmtId="43" fontId="7" fillId="5" borderId="3" xfId="0" applyNumberFormat="1" applyFont="1" applyFill="1" applyBorder="1" applyAlignment="1">
      <alignment horizontal="center" vertical="center" wrapText="1"/>
    </xf>
    <xf numFmtId="0" fontId="7" fillId="5" borderId="1" xfId="0" applyFont="1" applyFill="1" applyBorder="1" applyAlignment="1">
      <alignment horizontal="justify"/>
    </xf>
    <xf numFmtId="43" fontId="7" fillId="0" borderId="1" xfId="0" applyNumberFormat="1" applyFont="1" applyBorder="1" applyAlignment="1">
      <alignment vertical="center"/>
    </xf>
    <xf numFmtId="0" fontId="7" fillId="0" borderId="17" xfId="0" applyFont="1" applyFill="1" applyBorder="1" applyAlignment="1">
      <alignment vertical="center"/>
    </xf>
    <xf numFmtId="0" fontId="6" fillId="10" borderId="3" xfId="0" applyFont="1" applyFill="1" applyBorder="1" applyAlignment="1">
      <alignment horizontal="left" vertical="center"/>
    </xf>
    <xf numFmtId="0" fontId="7" fillId="10" borderId="4" xfId="0" applyFont="1" applyFill="1" applyBorder="1" applyAlignment="1">
      <alignment vertical="center"/>
    </xf>
    <xf numFmtId="0" fontId="7" fillId="10" borderId="4" xfId="0" applyFont="1" applyFill="1" applyBorder="1" applyAlignment="1">
      <alignment horizontal="center" vertical="center"/>
    </xf>
    <xf numFmtId="0" fontId="6" fillId="10" borderId="4" xfId="0" applyFont="1" applyFill="1" applyBorder="1" applyAlignment="1">
      <alignment horizontal="center" vertical="center"/>
    </xf>
    <xf numFmtId="43" fontId="6" fillId="10" borderId="2" xfId="0" applyNumberFormat="1" applyFont="1" applyFill="1" applyBorder="1" applyAlignment="1">
      <alignment vertical="center"/>
    </xf>
    <xf numFmtId="43" fontId="6" fillId="10" borderId="4" xfId="0" applyNumberFormat="1" applyFont="1" applyFill="1" applyBorder="1" applyAlignment="1">
      <alignment horizontal="center" vertical="center"/>
    </xf>
    <xf numFmtId="43" fontId="7" fillId="10" borderId="4" xfId="0" applyNumberFormat="1" applyFont="1" applyFill="1" applyBorder="1" applyAlignment="1">
      <alignment vertical="center"/>
    </xf>
    <xf numFmtId="43" fontId="7" fillId="10" borderId="4" xfId="0" applyNumberFormat="1" applyFont="1" applyFill="1" applyBorder="1" applyAlignment="1">
      <alignment horizontal="center" vertical="center"/>
    </xf>
    <xf numFmtId="1" fontId="6" fillId="10" borderId="4" xfId="0" applyNumberFormat="1" applyFont="1" applyFill="1" applyBorder="1" applyAlignment="1">
      <alignment horizontal="center" vertical="center"/>
    </xf>
    <xf numFmtId="0" fontId="7" fillId="10" borderId="1" xfId="0" applyFont="1" applyFill="1" applyBorder="1" applyAlignment="1">
      <alignment horizontal="center" vertical="center"/>
    </xf>
    <xf numFmtId="0" fontId="7" fillId="10" borderId="1" xfId="0" applyFont="1" applyFill="1" applyBorder="1" applyAlignment="1">
      <alignment vertical="center"/>
    </xf>
    <xf numFmtId="1" fontId="7" fillId="10" borderId="4" xfId="0" applyNumberFormat="1" applyFont="1" applyFill="1" applyBorder="1" applyAlignment="1">
      <alignment horizontal="center" vertical="center"/>
    </xf>
    <xf numFmtId="1" fontId="7" fillId="10" borderId="4" xfId="0" applyNumberFormat="1" applyFont="1" applyFill="1" applyBorder="1" applyAlignment="1">
      <alignment vertical="center"/>
    </xf>
    <xf numFmtId="179" fontId="6" fillId="10" borderId="4" xfId="0" applyNumberFormat="1" applyFont="1" applyFill="1" applyBorder="1" applyAlignment="1">
      <alignment vertical="center"/>
    </xf>
    <xf numFmtId="0" fontId="7" fillId="10" borderId="5" xfId="0" applyFont="1" applyFill="1" applyBorder="1" applyAlignment="1">
      <alignment horizontal="center" vertical="center"/>
    </xf>
    <xf numFmtId="0" fontId="7" fillId="9" borderId="2" xfId="0" applyFont="1" applyFill="1" applyBorder="1" applyAlignment="1">
      <alignment vertical="center"/>
    </xf>
    <xf numFmtId="0" fontId="6" fillId="9" borderId="13" xfId="0" applyFont="1" applyFill="1" applyBorder="1" applyAlignment="1">
      <alignment horizontal="left" vertical="center"/>
    </xf>
    <xf numFmtId="43" fontId="6" fillId="9" borderId="4" xfId="0" applyNumberFormat="1" applyFont="1" applyFill="1" applyBorder="1" applyAlignment="1">
      <alignment vertical="center"/>
    </xf>
    <xf numFmtId="0" fontId="6" fillId="9" borderId="9" xfId="0" applyFont="1" applyFill="1" applyBorder="1" applyAlignment="1">
      <alignment horizontal="justify" vertical="center"/>
    </xf>
    <xf numFmtId="43" fontId="6" fillId="9" borderId="4" xfId="0" applyNumberFormat="1" applyFont="1" applyFill="1" applyBorder="1" applyAlignment="1">
      <alignment horizontal="center" vertical="center"/>
    </xf>
    <xf numFmtId="43" fontId="7" fillId="9" borderId="4" xfId="0" applyNumberFormat="1" applyFont="1" applyFill="1" applyBorder="1" applyAlignment="1">
      <alignment horizontal="center" vertical="center"/>
    </xf>
    <xf numFmtId="0" fontId="7" fillId="9" borderId="1" xfId="0" applyFont="1" applyFill="1" applyBorder="1" applyAlignment="1">
      <alignment horizontal="center" vertical="center"/>
    </xf>
    <xf numFmtId="0" fontId="7" fillId="9" borderId="1" xfId="0" applyFont="1" applyFill="1" applyBorder="1" applyAlignment="1">
      <alignment vertical="center"/>
    </xf>
    <xf numFmtId="0" fontId="6" fillId="9" borderId="3" xfId="0" applyFont="1" applyFill="1" applyBorder="1" applyAlignment="1">
      <alignment vertical="center"/>
    </xf>
    <xf numFmtId="0" fontId="7" fillId="9" borderId="5" xfId="0" applyFont="1" applyFill="1" applyBorder="1" applyAlignment="1">
      <alignment horizontal="center" vertical="center"/>
    </xf>
    <xf numFmtId="43" fontId="7" fillId="5" borderId="4" xfId="0" applyNumberFormat="1" applyFont="1" applyFill="1" applyBorder="1" applyAlignment="1">
      <alignment horizontal="center" vertical="center" wrapText="1"/>
    </xf>
    <xf numFmtId="10" fontId="7" fillId="0" borderId="1" xfId="5" applyNumberFormat="1" applyFont="1" applyBorder="1" applyAlignment="1">
      <alignment horizontal="center" vertical="center"/>
    </xf>
    <xf numFmtId="0" fontId="7" fillId="11" borderId="1" xfId="0" applyFont="1" applyFill="1" applyBorder="1" applyAlignment="1">
      <alignment horizontal="justify" vertical="center"/>
    </xf>
    <xf numFmtId="43" fontId="7" fillId="5" borderId="2" xfId="0" applyNumberFormat="1" applyFont="1" applyFill="1" applyBorder="1" applyAlignment="1">
      <alignment horizontal="center" vertical="center" wrapText="1"/>
    </xf>
    <xf numFmtId="0" fontId="6" fillId="0" borderId="4" xfId="0" applyFont="1" applyBorder="1"/>
    <xf numFmtId="43" fontId="6" fillId="5" borderId="1" xfId="0" applyNumberFormat="1" applyFont="1" applyFill="1" applyBorder="1" applyAlignment="1">
      <alignment vertical="center"/>
    </xf>
    <xf numFmtId="43" fontId="6" fillId="5" borderId="1" xfId="0" applyNumberFormat="1" applyFont="1" applyFill="1" applyBorder="1" applyAlignment="1">
      <alignment horizontal="center" vertical="center"/>
    </xf>
    <xf numFmtId="1" fontId="6" fillId="0" borderId="4" xfId="0" applyNumberFormat="1" applyFont="1" applyBorder="1" applyAlignment="1">
      <alignment horizontal="center" vertical="center"/>
    </xf>
    <xf numFmtId="178" fontId="6" fillId="5" borderId="4" xfId="0" applyNumberFormat="1" applyFont="1" applyFill="1" applyBorder="1" applyAlignment="1">
      <alignment horizontal="center" vertical="center"/>
    </xf>
    <xf numFmtId="43" fontId="7" fillId="0" borderId="0" xfId="0" applyNumberFormat="1" applyFont="1" applyAlignment="1">
      <alignment horizontal="center"/>
    </xf>
    <xf numFmtId="43" fontId="7" fillId="0" borderId="0" xfId="0" applyNumberFormat="1" applyFont="1" applyAlignment="1">
      <alignment vertical="center"/>
    </xf>
    <xf numFmtId="43" fontId="7" fillId="0" borderId="0" xfId="0" applyNumberFormat="1" applyFont="1" applyAlignment="1">
      <alignment horizontal="center" vertical="center"/>
    </xf>
    <xf numFmtId="1" fontId="7" fillId="0" borderId="0" xfId="0" applyNumberFormat="1" applyFont="1" applyAlignment="1">
      <alignment vertical="center"/>
    </xf>
    <xf numFmtId="0" fontId="7" fillId="6" borderId="4" xfId="0" applyFont="1" applyFill="1" applyBorder="1" applyAlignment="1">
      <alignment horizontal="justify" vertical="center"/>
    </xf>
    <xf numFmtId="0" fontId="7" fillId="9" borderId="4" xfId="0" applyFont="1" applyFill="1" applyBorder="1" applyAlignment="1">
      <alignment horizontal="justify" vertical="center"/>
    </xf>
    <xf numFmtId="0" fontId="7" fillId="0" borderId="1" xfId="0" applyFont="1" applyBorder="1" applyAlignment="1">
      <alignment horizontal="justify"/>
    </xf>
    <xf numFmtId="0" fontId="7" fillId="10" borderId="4" xfId="0" applyFont="1" applyFill="1" applyBorder="1" applyAlignment="1">
      <alignment horizontal="justify" vertical="center"/>
    </xf>
    <xf numFmtId="0" fontId="6" fillId="0" borderId="4" xfId="0" applyFont="1" applyBorder="1" applyAlignment="1">
      <alignment horizontal="justify" vertical="center"/>
    </xf>
    <xf numFmtId="0" fontId="6" fillId="0" borderId="4" xfId="0" applyFont="1" applyBorder="1" applyAlignment="1">
      <alignment horizontal="justify"/>
    </xf>
    <xf numFmtId="0" fontId="3" fillId="0" borderId="0" xfId="0" applyFont="1" applyAlignment="1">
      <alignment horizontal="justify"/>
    </xf>
    <xf numFmtId="179" fontId="4" fillId="13" borderId="8" xfId="0" applyNumberFormat="1" applyFont="1" applyFill="1" applyBorder="1" applyAlignment="1">
      <alignment horizontal="center" vertical="center" wrapText="1"/>
    </xf>
    <xf numFmtId="1" fontId="3" fillId="9" borderId="1" xfId="0" applyNumberFormat="1" applyFont="1" applyFill="1" applyBorder="1" applyAlignment="1">
      <alignment horizontal="center" vertical="center" wrapText="1"/>
    </xf>
    <xf numFmtId="1" fontId="3" fillId="10" borderId="1" xfId="0" applyNumberFormat="1" applyFont="1" applyFill="1" applyBorder="1" applyAlignment="1">
      <alignment horizontal="center" vertical="center" wrapText="1"/>
    </xf>
    <xf numFmtId="1" fontId="3" fillId="12" borderId="1" xfId="0" applyNumberFormat="1" applyFont="1" applyFill="1" applyBorder="1" applyAlignment="1">
      <alignment horizontal="center" vertical="center" wrapText="1"/>
    </xf>
    <xf numFmtId="1" fontId="3" fillId="5" borderId="5" xfId="0" applyNumberFormat="1" applyFont="1" applyFill="1" applyBorder="1" applyAlignment="1">
      <alignment horizontal="center" vertical="center" wrapText="1"/>
    </xf>
    <xf numFmtId="1" fontId="3" fillId="19" borderId="1" xfId="0" applyNumberFormat="1" applyFont="1" applyFill="1" applyBorder="1" applyAlignment="1">
      <alignment horizontal="center" vertical="center" wrapText="1"/>
    </xf>
    <xf numFmtId="1" fontId="3" fillId="8" borderId="1" xfId="0" applyNumberFormat="1" applyFont="1" applyFill="1" applyBorder="1" applyAlignment="1">
      <alignment horizontal="center" vertical="center" wrapText="1"/>
    </xf>
    <xf numFmtId="165" fontId="3" fillId="0" borderId="0" xfId="20" applyFont="1" applyAlignment="1">
      <alignment horizontal="center"/>
    </xf>
    <xf numFmtId="0" fontId="3" fillId="0" borderId="0" xfId="0" applyFont="1" applyAlignment="1">
      <alignment horizontal="justify" wrapText="1"/>
    </xf>
    <xf numFmtId="178" fontId="3" fillId="0" borderId="0" xfId="0" applyNumberFormat="1" applyFont="1" applyAlignment="1">
      <alignment horizontal="justify"/>
    </xf>
    <xf numFmtId="42" fontId="3" fillId="0" borderId="0" xfId="8" applyFont="1" applyFill="1" applyBorder="1" applyAlignment="1">
      <alignment horizontal="justify"/>
    </xf>
    <xf numFmtId="42" fontId="3" fillId="0" borderId="0" xfId="8" applyFont="1" applyFill="1" applyBorder="1"/>
    <xf numFmtId="178" fontId="3" fillId="0" borderId="0" xfId="0" applyNumberFormat="1" applyFont="1" applyFill="1" applyBorder="1" applyAlignment="1">
      <alignment horizontal="center" vertical="center"/>
    </xf>
    <xf numFmtId="165" fontId="3" fillId="0" borderId="0" xfId="20" applyFont="1"/>
    <xf numFmtId="0" fontId="4" fillId="0" borderId="9" xfId="0" applyFont="1" applyBorder="1" applyAlignment="1">
      <alignment horizontal="left" vertical="top"/>
    </xf>
    <xf numFmtId="0" fontId="3" fillId="0" borderId="9" xfId="0" applyFont="1" applyBorder="1" applyAlignment="1">
      <alignment horizontal="left" vertical="top"/>
    </xf>
    <xf numFmtId="178" fontId="3" fillId="0" borderId="0" xfId="0" applyNumberFormat="1" applyFont="1" applyAlignment="1">
      <alignment horizontal="left" vertical="top"/>
    </xf>
    <xf numFmtId="0" fontId="3" fillId="0" borderId="0" xfId="0" applyFont="1" applyAlignment="1">
      <alignment horizontal="left"/>
    </xf>
    <xf numFmtId="42" fontId="3" fillId="0" borderId="0" xfId="8" applyFont="1" applyAlignment="1">
      <alignment horizontal="justify"/>
    </xf>
    <xf numFmtId="42" fontId="3" fillId="0" borderId="0" xfId="8" applyFont="1"/>
    <xf numFmtId="178" fontId="3" fillId="0" borderId="0" xfId="8" applyNumberFormat="1" applyFont="1"/>
    <xf numFmtId="178" fontId="3" fillId="0" borderId="0" xfId="0" applyNumberFormat="1" applyFont="1" applyAlignment="1">
      <alignment horizontal="center" vertical="center"/>
    </xf>
    <xf numFmtId="178" fontId="3" fillId="0" borderId="0" xfId="8" applyNumberFormat="1" applyFont="1" applyAlignment="1">
      <alignment horizontal="justify"/>
    </xf>
    <xf numFmtId="0" fontId="6" fillId="0" borderId="8" xfId="0" applyFont="1" applyBorder="1"/>
    <xf numFmtId="0" fontId="6" fillId="0" borderId="18" xfId="0" applyFont="1" applyBorder="1" applyAlignment="1">
      <alignment horizontal="left"/>
    </xf>
    <xf numFmtId="187" fontId="16" fillId="9" borderId="1" xfId="0" applyNumberFormat="1" applyFont="1" applyFill="1" applyBorder="1" applyAlignment="1">
      <alignment horizontal="right" vertical="center"/>
    </xf>
    <xf numFmtId="0" fontId="16" fillId="5" borderId="1" xfId="0" applyFont="1" applyFill="1" applyBorder="1" applyAlignment="1">
      <alignment horizontal="center" vertical="center"/>
    </xf>
    <xf numFmtId="3" fontId="6" fillId="6" borderId="9" xfId="0" applyNumberFormat="1" applyFont="1" applyFill="1" applyBorder="1" applyAlignment="1">
      <alignment horizontal="center" vertical="center" wrapText="1"/>
    </xf>
    <xf numFmtId="9" fontId="6" fillId="6" borderId="9" xfId="3" applyFont="1" applyFill="1" applyBorder="1" applyAlignment="1">
      <alignment horizontal="center" vertical="center" wrapText="1"/>
    </xf>
    <xf numFmtId="170" fontId="6" fillId="6" borderId="9" xfId="0" applyNumberFormat="1" applyFont="1" applyFill="1" applyBorder="1" applyAlignment="1">
      <alignment horizontal="center" vertical="center" wrapText="1"/>
    </xf>
    <xf numFmtId="0" fontId="6" fillId="7" borderId="0" xfId="0" applyFont="1" applyFill="1" applyBorder="1" applyAlignment="1">
      <alignment horizontal="center" vertical="center" wrapText="1"/>
    </xf>
    <xf numFmtId="0" fontId="6" fillId="7" borderId="0" xfId="0" applyFont="1" applyFill="1" applyBorder="1" applyAlignment="1">
      <alignment horizontal="left" vertical="center"/>
    </xf>
    <xf numFmtId="3" fontId="6" fillId="7" borderId="0" xfId="0" applyNumberFormat="1" applyFont="1" applyFill="1" applyBorder="1" applyAlignment="1">
      <alignment horizontal="center" vertical="center" wrapText="1"/>
    </xf>
    <xf numFmtId="9" fontId="6" fillId="7" borderId="0" xfId="3" applyFont="1" applyFill="1" applyBorder="1" applyAlignment="1">
      <alignment horizontal="center" vertical="center" wrapText="1"/>
    </xf>
    <xf numFmtId="170" fontId="6" fillId="7"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44" fontId="7" fillId="0" borderId="18" xfId="7" applyFont="1" applyFill="1" applyBorder="1" applyAlignment="1">
      <alignment horizontal="center" vertical="center"/>
    </xf>
    <xf numFmtId="192" fontId="6" fillId="0" borderId="18" xfId="7" applyNumberFormat="1" applyFont="1" applyFill="1" applyBorder="1" applyAlignment="1">
      <alignment vertical="center"/>
    </xf>
    <xf numFmtId="44" fontId="7" fillId="0" borderId="18" xfId="7" applyFont="1" applyBorder="1" applyAlignment="1">
      <alignment vertical="center"/>
    </xf>
    <xf numFmtId="44" fontId="7" fillId="0" borderId="1" xfId="7" applyFont="1" applyFill="1" applyBorder="1" applyAlignment="1">
      <alignment horizontal="center" vertical="center"/>
    </xf>
    <xf numFmtId="192" fontId="6" fillId="0" borderId="1" xfId="7" applyNumberFormat="1" applyFont="1" applyFill="1" applyBorder="1" applyAlignment="1">
      <alignment vertical="center"/>
    </xf>
    <xf numFmtId="44" fontId="7" fillId="0" borderId="1" xfId="7" applyFont="1" applyBorder="1" applyAlignment="1">
      <alignment vertical="center"/>
    </xf>
    <xf numFmtId="3" fontId="6" fillId="0" borderId="1" xfId="0" applyNumberFormat="1" applyFont="1" applyBorder="1" applyAlignment="1">
      <alignment vertical="center"/>
    </xf>
    <xf numFmtId="12" fontId="6" fillId="0" borderId="5" xfId="8" applyNumberFormat="1" applyFont="1" applyBorder="1" applyAlignment="1">
      <alignment vertical="center"/>
    </xf>
    <xf numFmtId="172" fontId="6" fillId="0" borderId="1" xfId="0" applyNumberFormat="1" applyFont="1" applyBorder="1" applyAlignment="1">
      <alignment horizontal="center" vertical="center"/>
    </xf>
    <xf numFmtId="2" fontId="13" fillId="14" borderId="4" xfId="0" applyNumberFormat="1" applyFont="1" applyFill="1" applyBorder="1" applyAlignment="1">
      <alignment vertical="center" wrapText="1"/>
    </xf>
    <xf numFmtId="44" fontId="6" fillId="0" borderId="1" xfId="0" applyNumberFormat="1" applyFont="1" applyBorder="1" applyAlignment="1">
      <alignment vertical="center"/>
    </xf>
    <xf numFmtId="172" fontId="7" fillId="0" borderId="0" xfId="0" applyNumberFormat="1" applyFont="1" applyBorder="1" applyAlignment="1">
      <alignment horizontal="center"/>
    </xf>
    <xf numFmtId="0" fontId="11" fillId="0" borderId="1" xfId="0" applyFont="1" applyBorder="1" applyAlignment="1">
      <alignment vertical="center"/>
    </xf>
    <xf numFmtId="0" fontId="12" fillId="0" borderId="0" xfId="16" applyFont="1" applyFill="1"/>
    <xf numFmtId="0" fontId="12" fillId="0" borderId="0" xfId="16" applyFont="1"/>
    <xf numFmtId="0" fontId="11" fillId="0" borderId="14" xfId="0" applyFont="1" applyBorder="1" applyAlignment="1">
      <alignment horizontal="left" vertical="center"/>
    </xf>
    <xf numFmtId="168" fontId="11" fillId="0" borderId="1" xfId="0" applyNumberFormat="1" applyFont="1" applyBorder="1" applyAlignment="1">
      <alignment horizontal="left" vertical="center"/>
    </xf>
    <xf numFmtId="0" fontId="11" fillId="0" borderId="9" xfId="16" applyFont="1" applyBorder="1" applyAlignment="1">
      <alignment horizontal="center" vertical="center"/>
    </xf>
    <xf numFmtId="17" fontId="11" fillId="0" borderId="1" xfId="0" applyNumberFormat="1" applyFont="1" applyBorder="1" applyAlignment="1">
      <alignment horizontal="left" vertical="center"/>
    </xf>
    <xf numFmtId="0" fontId="11" fillId="0" borderId="2" xfId="16" applyFont="1" applyBorder="1" applyAlignment="1">
      <alignment horizontal="center" vertical="center"/>
    </xf>
    <xf numFmtId="3" fontId="11" fillId="2" borderId="1" xfId="0" applyNumberFormat="1" applyFont="1" applyFill="1" applyBorder="1" applyAlignment="1">
      <alignment horizontal="left" vertical="center" wrapText="1"/>
    </xf>
    <xf numFmtId="3" fontId="11" fillId="2" borderId="0" xfId="16" applyNumberFormat="1" applyFont="1" applyFill="1" applyBorder="1" applyAlignment="1">
      <alignment vertical="center" wrapText="1"/>
    </xf>
    <xf numFmtId="0" fontId="11" fillId="3" borderId="1" xfId="16" applyFont="1" applyFill="1" applyBorder="1" applyAlignment="1">
      <alignment horizontal="center" vertical="center" wrapText="1"/>
    </xf>
    <xf numFmtId="176" fontId="11" fillId="4" borderId="1" xfId="6" applyNumberFormat="1" applyFont="1" applyFill="1" applyBorder="1" applyAlignment="1">
      <alignment horizontal="center" vertical="center" wrapText="1"/>
    </xf>
    <xf numFmtId="170" fontId="11" fillId="3" borderId="1" xfId="16" applyNumberFormat="1" applyFont="1" applyFill="1" applyBorder="1" applyAlignment="1">
      <alignment horizontal="center" vertical="center" wrapText="1"/>
    </xf>
    <xf numFmtId="0" fontId="11" fillId="3" borderId="15" xfId="16" applyFont="1" applyFill="1" applyBorder="1" applyAlignment="1">
      <alignment vertical="center" wrapText="1"/>
    </xf>
    <xf numFmtId="0" fontId="11" fillId="3" borderId="15" xfId="16" applyFont="1" applyFill="1" applyBorder="1" applyAlignment="1">
      <alignment horizontal="center" vertical="center" wrapText="1"/>
    </xf>
    <xf numFmtId="0" fontId="11" fillId="3" borderId="16" xfId="16" applyFont="1" applyFill="1" applyBorder="1" applyAlignment="1">
      <alignment vertical="center" wrapText="1"/>
    </xf>
    <xf numFmtId="0" fontId="11" fillId="3" borderId="0" xfId="16" applyFont="1" applyFill="1" applyBorder="1" applyAlignment="1">
      <alignment vertical="center" wrapText="1"/>
    </xf>
    <xf numFmtId="0" fontId="11" fillId="3" borderId="17" xfId="16" applyFont="1" applyFill="1" applyBorder="1" applyAlignment="1">
      <alignment vertical="center" wrapText="1"/>
    </xf>
    <xf numFmtId="176" fontId="11" fillId="4" borderId="16" xfId="6" applyNumberFormat="1" applyFont="1" applyFill="1" applyBorder="1" applyAlignment="1">
      <alignment vertical="center" wrapText="1"/>
    </xf>
    <xf numFmtId="176" fontId="11" fillId="4" borderId="16" xfId="6" applyNumberFormat="1" applyFont="1" applyFill="1" applyBorder="1" applyAlignment="1">
      <alignment horizontal="center" vertical="center" wrapText="1"/>
    </xf>
    <xf numFmtId="176" fontId="11" fillId="4" borderId="17" xfId="6" applyNumberFormat="1" applyFont="1" applyFill="1" applyBorder="1" applyAlignment="1">
      <alignment vertical="center" wrapText="1"/>
    </xf>
    <xf numFmtId="170" fontId="11" fillId="3" borderId="16" xfId="16" applyNumberFormat="1" applyFont="1" applyFill="1" applyBorder="1" applyAlignment="1">
      <alignment vertical="center" wrapText="1"/>
    </xf>
    <xf numFmtId="170" fontId="11" fillId="3" borderId="17" xfId="16" applyNumberFormat="1" applyFont="1" applyFill="1" applyBorder="1" applyAlignment="1">
      <alignment vertical="center" wrapText="1"/>
    </xf>
    <xf numFmtId="170" fontId="11" fillId="3" borderId="16" xfId="16" applyNumberFormat="1" applyFont="1" applyFill="1" applyBorder="1" applyAlignment="1">
      <alignment horizontal="center" vertical="center" wrapText="1"/>
    </xf>
    <xf numFmtId="0" fontId="11" fillId="3" borderId="18" xfId="16" applyFont="1" applyFill="1" applyBorder="1" applyAlignment="1">
      <alignment vertical="center" wrapText="1"/>
    </xf>
    <xf numFmtId="0" fontId="11" fillId="3" borderId="18" xfId="16" applyFont="1" applyFill="1" applyBorder="1" applyAlignment="1">
      <alignment horizontal="center" vertical="center" wrapText="1"/>
    </xf>
    <xf numFmtId="0" fontId="11" fillId="3" borderId="13" xfId="16" applyFont="1" applyFill="1" applyBorder="1" applyAlignment="1">
      <alignment vertical="center" wrapText="1"/>
    </xf>
    <xf numFmtId="0" fontId="11" fillId="3" borderId="2" xfId="16" applyFont="1" applyFill="1" applyBorder="1" applyAlignment="1">
      <alignment vertical="center" wrapText="1"/>
    </xf>
    <xf numFmtId="0" fontId="11" fillId="3" borderId="14" xfId="16" applyFont="1" applyFill="1" applyBorder="1" applyAlignment="1">
      <alignment vertical="center" wrapText="1"/>
    </xf>
    <xf numFmtId="176" fontId="11" fillId="4" borderId="13" xfId="6" applyNumberFormat="1" applyFont="1" applyFill="1" applyBorder="1" applyAlignment="1">
      <alignment vertical="center" wrapText="1"/>
    </xf>
    <xf numFmtId="176" fontId="11" fillId="4" borderId="13" xfId="6" applyNumberFormat="1" applyFont="1" applyFill="1" applyBorder="1" applyAlignment="1">
      <alignment horizontal="center" vertical="center" wrapText="1"/>
    </xf>
    <xf numFmtId="176" fontId="11" fillId="4" borderId="14" xfId="6" applyNumberFormat="1" applyFont="1" applyFill="1" applyBorder="1" applyAlignment="1">
      <alignment vertical="center" wrapText="1"/>
    </xf>
    <xf numFmtId="170" fontId="11" fillId="3" borderId="13" xfId="16" applyNumberFormat="1" applyFont="1" applyFill="1" applyBorder="1" applyAlignment="1">
      <alignment vertical="center" wrapText="1"/>
    </xf>
    <xf numFmtId="170" fontId="11" fillId="3" borderId="14" xfId="16" applyNumberFormat="1" applyFont="1" applyFill="1" applyBorder="1" applyAlignment="1">
      <alignment vertical="center" wrapText="1"/>
    </xf>
    <xf numFmtId="170" fontId="11" fillId="3" borderId="13" xfId="16" applyNumberFormat="1" applyFont="1" applyFill="1" applyBorder="1" applyAlignment="1">
      <alignment horizontal="center" vertical="center" wrapText="1"/>
    </xf>
    <xf numFmtId="0" fontId="11" fillId="6" borderId="4" xfId="16" applyFont="1" applyFill="1" applyBorder="1" applyAlignment="1">
      <alignment horizontal="center" vertical="center" wrapText="1"/>
    </xf>
    <xf numFmtId="0" fontId="11" fillId="6" borderId="4" xfId="16" applyFont="1" applyFill="1" applyBorder="1" applyAlignment="1">
      <alignment vertical="center"/>
    </xf>
    <xf numFmtId="0" fontId="11" fillId="6" borderId="4" xfId="16" applyFont="1" applyFill="1" applyBorder="1" applyAlignment="1">
      <alignment horizontal="justify" vertical="center"/>
    </xf>
    <xf numFmtId="0" fontId="11" fillId="6" borderId="4" xfId="16" applyFont="1" applyFill="1" applyBorder="1" applyAlignment="1">
      <alignment horizontal="center" vertical="center"/>
    </xf>
    <xf numFmtId="0" fontId="12" fillId="6" borderId="4" xfId="16" applyFont="1" applyFill="1" applyBorder="1" applyAlignment="1">
      <alignment vertical="center"/>
    </xf>
    <xf numFmtId="176" fontId="11" fillId="6" borderId="4" xfId="6" applyNumberFormat="1" applyFont="1" applyFill="1" applyBorder="1" applyAlignment="1">
      <alignment vertical="center"/>
    </xf>
    <xf numFmtId="0" fontId="11" fillId="6" borderId="5" xfId="16" applyFont="1" applyFill="1" applyBorder="1" applyAlignment="1">
      <alignment vertical="center"/>
    </xf>
    <xf numFmtId="176" fontId="12" fillId="0" borderId="0" xfId="17" applyNumberFormat="1" applyFont="1" applyFill="1" applyBorder="1" applyAlignment="1">
      <alignment horizontal="justify" vertical="center"/>
    </xf>
    <xf numFmtId="0" fontId="12" fillId="0" borderId="0" xfId="16" applyFont="1" applyFill="1" applyBorder="1"/>
    <xf numFmtId="0" fontId="11" fillId="10" borderId="9" xfId="16" applyFont="1" applyFill="1" applyBorder="1" applyAlignment="1">
      <alignment horizontal="center" vertical="center"/>
    </xf>
    <xf numFmtId="0" fontId="11" fillId="10" borderId="9" xfId="16" applyFont="1" applyFill="1" applyBorder="1" applyAlignment="1">
      <alignment vertical="center"/>
    </xf>
    <xf numFmtId="0" fontId="11" fillId="10" borderId="4" xfId="16" applyFont="1" applyFill="1" applyBorder="1" applyAlignment="1">
      <alignment vertical="center"/>
    </xf>
    <xf numFmtId="0" fontId="11" fillId="10" borderId="4" xfId="16" applyFont="1" applyFill="1" applyBorder="1" applyAlignment="1">
      <alignment horizontal="justify" vertical="center"/>
    </xf>
    <xf numFmtId="0" fontId="11" fillId="10" borderId="4" xfId="16" applyFont="1" applyFill="1" applyBorder="1" applyAlignment="1">
      <alignment horizontal="center" vertical="center"/>
    </xf>
    <xf numFmtId="0" fontId="12" fillId="10" borderId="4" xfId="16" applyFont="1" applyFill="1" applyBorder="1" applyAlignment="1">
      <alignment vertical="center"/>
    </xf>
    <xf numFmtId="176" fontId="11" fillId="10" borderId="4" xfId="6" applyNumberFormat="1" applyFont="1" applyFill="1" applyBorder="1" applyAlignment="1">
      <alignment vertical="center"/>
    </xf>
    <xf numFmtId="0" fontId="11" fillId="10" borderId="5" xfId="16" applyFont="1" applyFill="1" applyBorder="1" applyAlignment="1">
      <alignment vertical="center"/>
    </xf>
    <xf numFmtId="0" fontId="11" fillId="0" borderId="16" xfId="16" applyFont="1" applyFill="1" applyBorder="1" applyAlignment="1">
      <alignment vertical="center" wrapText="1"/>
    </xf>
    <xf numFmtId="0" fontId="11" fillId="0" borderId="0" xfId="16" applyFont="1" applyFill="1" applyBorder="1" applyAlignment="1">
      <alignment vertical="center" wrapText="1"/>
    </xf>
    <xf numFmtId="0" fontId="11" fillId="0" borderId="17" xfId="16" applyFont="1" applyFill="1" applyBorder="1" applyAlignment="1">
      <alignment vertical="center" wrapText="1"/>
    </xf>
    <xf numFmtId="0" fontId="11" fillId="0" borderId="9" xfId="16" applyFont="1" applyFill="1" applyBorder="1" applyAlignment="1">
      <alignment vertical="center" wrapText="1"/>
    </xf>
    <xf numFmtId="0" fontId="11" fillId="0" borderId="7" xfId="16" applyFont="1" applyFill="1" applyBorder="1" applyAlignment="1">
      <alignment vertical="center" wrapText="1"/>
    </xf>
    <xf numFmtId="0" fontId="11" fillId="12" borderId="4" xfId="16" applyFont="1" applyFill="1" applyBorder="1" applyAlignment="1">
      <alignment horizontal="center" vertical="center" wrapText="1"/>
    </xf>
    <xf numFmtId="0" fontId="11" fillId="12" borderId="4" xfId="16" applyFont="1" applyFill="1" applyBorder="1" applyAlignment="1">
      <alignment vertical="center"/>
    </xf>
    <xf numFmtId="0" fontId="11" fillId="12" borderId="4" xfId="16" applyFont="1" applyFill="1" applyBorder="1" applyAlignment="1">
      <alignment horizontal="justify" vertical="center"/>
    </xf>
    <xf numFmtId="0" fontId="11" fillId="12" borderId="4" xfId="16" applyFont="1" applyFill="1" applyBorder="1" applyAlignment="1">
      <alignment horizontal="center" vertical="center"/>
    </xf>
    <xf numFmtId="0" fontId="12" fillId="12" borderId="4" xfId="16" applyFont="1" applyFill="1" applyBorder="1" applyAlignment="1">
      <alignment vertical="center"/>
    </xf>
    <xf numFmtId="176" fontId="11" fillId="12" borderId="4" xfId="6" applyNumberFormat="1" applyFont="1" applyFill="1" applyBorder="1" applyAlignment="1">
      <alignment vertical="center"/>
    </xf>
    <xf numFmtId="0" fontId="11" fillId="12" borderId="5" xfId="16" applyFont="1" applyFill="1" applyBorder="1" applyAlignment="1">
      <alignment vertical="center"/>
    </xf>
    <xf numFmtId="0" fontId="12" fillId="5" borderId="16" xfId="16" applyFont="1" applyFill="1" applyBorder="1" applyAlignment="1">
      <alignment vertical="center" wrapText="1"/>
    </xf>
    <xf numFmtId="0" fontId="12" fillId="5" borderId="0" xfId="16" applyFont="1" applyFill="1" applyBorder="1" applyAlignment="1">
      <alignment vertical="center" wrapText="1"/>
    </xf>
    <xf numFmtId="0" fontId="12" fillId="5" borderId="17" xfId="16" applyFont="1" applyFill="1" applyBorder="1" applyAlignment="1">
      <alignment vertical="center" wrapText="1"/>
    </xf>
    <xf numFmtId="0" fontId="12" fillId="5" borderId="6" xfId="16" applyFont="1" applyFill="1" applyBorder="1" applyAlignment="1">
      <alignment vertical="center" wrapText="1"/>
    </xf>
    <xf numFmtId="0" fontId="12" fillId="5" borderId="9" xfId="16" applyFont="1" applyFill="1" applyBorder="1" applyAlignment="1">
      <alignment vertical="center" wrapText="1"/>
    </xf>
    <xf numFmtId="0" fontId="12" fillId="5" borderId="7" xfId="16" applyFont="1" applyFill="1" applyBorder="1" applyAlignment="1">
      <alignment vertical="center" wrapText="1"/>
    </xf>
    <xf numFmtId="0" fontId="12" fillId="5" borderId="1" xfId="16" applyFont="1" applyFill="1" applyBorder="1" applyAlignment="1">
      <alignment horizontal="center" vertical="center" wrapText="1"/>
    </xf>
    <xf numFmtId="0" fontId="12" fillId="5" borderId="1" xfId="16" applyFont="1" applyFill="1" applyBorder="1" applyAlignment="1">
      <alignment horizontal="justify" vertical="center" wrapText="1"/>
    </xf>
    <xf numFmtId="0" fontId="12" fillId="5" borderId="8" xfId="16" applyFont="1" applyFill="1" applyBorder="1" applyAlignment="1">
      <alignment horizontal="center" vertical="center" wrapText="1"/>
    </xf>
    <xf numFmtId="9" fontId="12" fillId="5" borderId="1" xfId="5" applyFont="1" applyFill="1" applyBorder="1" applyAlignment="1">
      <alignment horizontal="center" vertical="center" wrapText="1"/>
    </xf>
    <xf numFmtId="0" fontId="12" fillId="5" borderId="13" xfId="16" applyFont="1" applyFill="1" applyBorder="1" applyAlignment="1">
      <alignment horizontal="justify" vertical="center" wrapText="1"/>
    </xf>
    <xf numFmtId="164" fontId="12" fillId="5" borderId="3" xfId="18" applyFont="1" applyFill="1" applyBorder="1" applyAlignment="1">
      <alignment horizontal="center" vertical="center" wrapText="1"/>
    </xf>
    <xf numFmtId="164" fontId="12" fillId="0" borderId="1" xfId="18" applyFont="1" applyFill="1" applyBorder="1" applyAlignment="1">
      <alignment horizontal="center" vertical="center" wrapText="1"/>
    </xf>
    <xf numFmtId="2" fontId="12" fillId="0" borderId="1" xfId="18" applyNumberFormat="1" applyFont="1" applyFill="1" applyBorder="1" applyAlignment="1">
      <alignment horizontal="center" vertical="center" wrapText="1"/>
    </xf>
    <xf numFmtId="0" fontId="12" fillId="5" borderId="0" xfId="16" applyFont="1" applyFill="1" applyAlignment="1">
      <alignment wrapText="1"/>
    </xf>
    <xf numFmtId="0" fontId="12" fillId="5" borderId="0" xfId="16" applyFont="1" applyFill="1"/>
    <xf numFmtId="164" fontId="12" fillId="0" borderId="3" xfId="18" applyFont="1" applyFill="1" applyBorder="1" applyAlignment="1">
      <alignment horizontal="center" vertical="center" wrapText="1"/>
    </xf>
    <xf numFmtId="0" fontId="12" fillId="5" borderId="0" xfId="16" applyFont="1" applyFill="1" applyBorder="1" applyAlignment="1">
      <alignment horizontal="center" vertical="center" wrapText="1"/>
    </xf>
    <xf numFmtId="0" fontId="12" fillId="5" borderId="2" xfId="16" applyFont="1" applyFill="1" applyBorder="1" applyAlignment="1">
      <alignment vertical="center" wrapText="1"/>
    </xf>
    <xf numFmtId="0" fontId="12" fillId="5" borderId="14" xfId="16" applyFont="1" applyFill="1" applyBorder="1" applyAlignment="1">
      <alignment vertical="center" wrapText="1"/>
    </xf>
    <xf numFmtId="0" fontId="12" fillId="5" borderId="13" xfId="16" applyFont="1" applyFill="1" applyBorder="1" applyAlignment="1">
      <alignment vertical="center" wrapText="1"/>
    </xf>
    <xf numFmtId="0" fontId="12" fillId="0" borderId="17" xfId="16" applyFont="1" applyFill="1" applyBorder="1"/>
    <xf numFmtId="0" fontId="11" fillId="10" borderId="4" xfId="16" applyFont="1" applyFill="1" applyBorder="1" applyAlignment="1">
      <alignment horizontal="justify" vertical="center" wrapText="1"/>
    </xf>
    <xf numFmtId="0" fontId="11" fillId="10" borderId="3" xfId="16" applyFont="1" applyFill="1" applyBorder="1" applyAlignment="1">
      <alignment vertical="center"/>
    </xf>
    <xf numFmtId="164" fontId="12" fillId="10" borderId="4" xfId="16" applyNumberFormat="1" applyFont="1" applyFill="1" applyBorder="1" applyAlignment="1">
      <alignment vertical="center"/>
    </xf>
    <xf numFmtId="2" fontId="12" fillId="10" borderId="4" xfId="16" applyNumberFormat="1" applyFont="1" applyFill="1" applyBorder="1" applyAlignment="1">
      <alignment vertical="center"/>
    </xf>
    <xf numFmtId="1" fontId="11" fillId="10" borderId="4" xfId="16" applyNumberFormat="1" applyFont="1" applyFill="1" applyBorder="1" applyAlignment="1">
      <alignment horizontal="center" vertical="center"/>
    </xf>
    <xf numFmtId="0" fontId="11" fillId="10" borderId="5" xfId="16" applyFont="1" applyFill="1" applyBorder="1" applyAlignment="1">
      <alignment horizontal="justify" vertical="center"/>
    </xf>
    <xf numFmtId="0" fontId="11" fillId="12" borderId="4" xfId="16" applyFont="1" applyFill="1" applyBorder="1" applyAlignment="1">
      <alignment horizontal="justify" vertical="center" wrapText="1"/>
    </xf>
    <xf numFmtId="1" fontId="11" fillId="12" borderId="4" xfId="16" applyNumberFormat="1" applyFont="1" applyFill="1" applyBorder="1" applyAlignment="1">
      <alignment horizontal="center" vertical="center"/>
    </xf>
    <xf numFmtId="0" fontId="11" fillId="12" borderId="5" xfId="16" applyFont="1" applyFill="1" applyBorder="1" applyAlignment="1">
      <alignment horizontal="justify" vertical="center"/>
    </xf>
    <xf numFmtId="49" fontId="12" fillId="0" borderId="1" xfId="19" applyNumberFormat="1" applyFont="1" applyFill="1" applyBorder="1" applyAlignment="1">
      <alignment horizontal="justify" vertical="center" wrapText="1"/>
    </xf>
    <xf numFmtId="0" fontId="12" fillId="0" borderId="0" xfId="16" applyFont="1" applyFill="1" applyAlignment="1">
      <alignment wrapText="1"/>
    </xf>
    <xf numFmtId="44" fontId="12" fillId="12" borderId="4" xfId="7" applyFont="1" applyFill="1" applyBorder="1" applyAlignment="1">
      <alignment vertical="center"/>
    </xf>
    <xf numFmtId="0" fontId="12" fillId="0" borderId="0" xfId="16" applyFont="1" applyBorder="1"/>
    <xf numFmtId="0" fontId="11" fillId="5" borderId="16" xfId="16" applyFont="1" applyFill="1" applyBorder="1" applyAlignment="1">
      <alignment vertical="center" wrapText="1"/>
    </xf>
    <xf numFmtId="0" fontId="11" fillId="5" borderId="0" xfId="16" applyFont="1" applyFill="1" applyBorder="1" applyAlignment="1">
      <alignment vertical="center" wrapText="1"/>
    </xf>
    <xf numFmtId="0" fontId="11" fillId="5" borderId="17" xfId="16" applyFont="1" applyFill="1" applyBorder="1" applyAlignment="1">
      <alignment vertical="center" wrapText="1"/>
    </xf>
    <xf numFmtId="0" fontId="11" fillId="5" borderId="6" xfId="16" applyFont="1" applyFill="1" applyBorder="1" applyAlignment="1">
      <alignment vertical="center" wrapText="1"/>
    </xf>
    <xf numFmtId="0" fontId="11" fillId="5" borderId="9" xfId="16" applyFont="1" applyFill="1" applyBorder="1" applyAlignment="1">
      <alignment vertical="center" wrapText="1"/>
    </xf>
    <xf numFmtId="0" fontId="11" fillId="5" borderId="7" xfId="16" applyFont="1" applyFill="1" applyBorder="1" applyAlignment="1">
      <alignment vertical="center" wrapText="1"/>
    </xf>
    <xf numFmtId="2" fontId="12" fillId="0" borderId="1" xfId="16" applyNumberFormat="1" applyFont="1" applyFill="1" applyBorder="1" applyAlignment="1">
      <alignment horizontal="center" vertical="center"/>
    </xf>
    <xf numFmtId="2" fontId="12" fillId="0" borderId="1" xfId="19" applyNumberFormat="1" applyFont="1" applyFill="1" applyBorder="1" applyAlignment="1">
      <alignment horizontal="center" vertical="center" wrapText="1"/>
    </xf>
    <xf numFmtId="49" fontId="12" fillId="5" borderId="1" xfId="19" applyNumberFormat="1" applyFont="1" applyFill="1" applyBorder="1" applyAlignment="1">
      <alignment horizontal="justify" vertical="center" wrapText="1"/>
    </xf>
    <xf numFmtId="44" fontId="12" fillId="0" borderId="1" xfId="7" applyFont="1" applyFill="1" applyBorder="1" applyAlignment="1">
      <alignment horizontal="center" vertical="center" wrapText="1"/>
    </xf>
    <xf numFmtId="0" fontId="11" fillId="5" borderId="13" xfId="16" applyFont="1" applyFill="1" applyBorder="1" applyAlignment="1">
      <alignment vertical="center" wrapText="1"/>
    </xf>
    <xf numFmtId="0" fontId="11" fillId="5" borderId="2" xfId="16" applyFont="1" applyFill="1" applyBorder="1" applyAlignment="1">
      <alignment vertical="center" wrapText="1"/>
    </xf>
    <xf numFmtId="0" fontId="11" fillId="5" borderId="14" xfId="16" applyFont="1" applyFill="1" applyBorder="1" applyAlignment="1">
      <alignment vertical="center" wrapText="1"/>
    </xf>
    <xf numFmtId="0" fontId="12" fillId="5" borderId="18" xfId="16" applyFont="1" applyFill="1" applyBorder="1" applyAlignment="1">
      <alignment horizontal="center" vertical="center" wrapText="1"/>
    </xf>
    <xf numFmtId="9" fontId="12" fillId="5" borderId="8" xfId="5" applyFont="1" applyFill="1" applyBorder="1" applyAlignment="1">
      <alignment horizontal="center" vertical="center" wrapText="1"/>
    </xf>
    <xf numFmtId="0" fontId="12" fillId="5" borderId="0" xfId="16" applyFont="1" applyFill="1" applyAlignment="1">
      <alignment horizontal="center" vertical="center" wrapText="1"/>
    </xf>
    <xf numFmtId="49" fontId="12" fillId="0" borderId="1" xfId="19" applyNumberFormat="1" applyFont="1" applyFill="1" applyBorder="1" applyAlignment="1">
      <alignment horizontal="justify" vertical="top" wrapText="1"/>
    </xf>
    <xf numFmtId="0" fontId="12" fillId="15" borderId="0" xfId="16" applyFont="1" applyFill="1"/>
    <xf numFmtId="2" fontId="12" fillId="12" borderId="4" xfId="16" applyNumberFormat="1" applyFont="1" applyFill="1" applyBorder="1" applyAlignment="1">
      <alignment vertical="center"/>
    </xf>
    <xf numFmtId="44" fontId="12" fillId="12" borderId="4" xfId="16" applyNumberFormat="1" applyFont="1" applyFill="1" applyBorder="1" applyAlignment="1">
      <alignment vertical="center"/>
    </xf>
    <xf numFmtId="0" fontId="12" fillId="5" borderId="16" xfId="16" applyFont="1" applyFill="1" applyBorder="1" applyAlignment="1">
      <alignment horizontal="justify" vertical="center" wrapText="1"/>
    </xf>
    <xf numFmtId="0" fontId="12" fillId="5" borderId="18" xfId="16" applyFont="1" applyFill="1" applyBorder="1" applyAlignment="1">
      <alignment horizontal="justify" vertical="center" wrapText="1"/>
    </xf>
    <xf numFmtId="164" fontId="12" fillId="5" borderId="1" xfId="18" applyFont="1" applyFill="1" applyBorder="1" applyAlignment="1">
      <alignment horizontal="center" vertical="center" wrapText="1"/>
    </xf>
    <xf numFmtId="9" fontId="12" fillId="5" borderId="15" xfId="5" applyFont="1" applyFill="1" applyBorder="1" applyAlignment="1">
      <alignment horizontal="center" vertical="center" wrapText="1"/>
    </xf>
    <xf numFmtId="164" fontId="12" fillId="5" borderId="18" xfId="18" applyFont="1" applyFill="1" applyBorder="1" applyAlignment="1">
      <alignment horizontal="center" vertical="center" wrapText="1"/>
    </xf>
    <xf numFmtId="9" fontId="12" fillId="5" borderId="18" xfId="5" applyFont="1" applyFill="1" applyBorder="1" applyAlignment="1">
      <alignment horizontal="center" vertical="center" wrapText="1"/>
    </xf>
    <xf numFmtId="0" fontId="12" fillId="5" borderId="0" xfId="16" applyFont="1" applyFill="1" applyAlignment="1">
      <alignment vertical="center" wrapText="1"/>
    </xf>
    <xf numFmtId="0" fontId="12" fillId="0" borderId="16" xfId="16" applyFont="1" applyFill="1" applyBorder="1" applyAlignment="1">
      <alignment vertical="center" wrapText="1"/>
    </xf>
    <xf numFmtId="0" fontId="12" fillId="0" borderId="0" xfId="16" applyFont="1" applyFill="1" applyBorder="1" applyAlignment="1">
      <alignment vertical="center" wrapText="1"/>
    </xf>
    <xf numFmtId="0" fontId="12" fillId="0" borderId="17" xfId="16" applyFont="1" applyFill="1" applyBorder="1" applyAlignment="1">
      <alignment vertical="center" wrapText="1"/>
    </xf>
    <xf numFmtId="0" fontId="12" fillId="0" borderId="8" xfId="16" applyFont="1" applyFill="1" applyBorder="1" applyAlignment="1">
      <alignment horizontal="center" vertical="center" wrapText="1"/>
    </xf>
    <xf numFmtId="1" fontId="12" fillId="0" borderId="8" xfId="16" applyNumberFormat="1" applyFont="1" applyFill="1" applyBorder="1" applyAlignment="1">
      <alignment horizontal="center" vertical="center" wrapText="1"/>
    </xf>
    <xf numFmtId="0" fontId="12" fillId="0" borderId="15" xfId="16" applyFont="1" applyFill="1" applyBorder="1" applyAlignment="1">
      <alignment horizontal="center" vertical="center" wrapText="1"/>
    </xf>
    <xf numFmtId="1" fontId="12" fillId="0" borderId="15" xfId="16" applyNumberFormat="1" applyFont="1" applyFill="1" applyBorder="1" applyAlignment="1">
      <alignment horizontal="center" vertical="center" wrapText="1"/>
    </xf>
    <xf numFmtId="0" fontId="12" fillId="0" borderId="8" xfId="16" applyFont="1" applyFill="1" applyBorder="1" applyAlignment="1">
      <alignment horizontal="justify" vertical="center" wrapText="1"/>
    </xf>
    <xf numFmtId="0" fontId="12" fillId="0" borderId="18" xfId="16" applyFont="1" applyFill="1" applyBorder="1" applyAlignment="1">
      <alignment horizontal="center" vertical="center" wrapText="1"/>
    </xf>
    <xf numFmtId="9" fontId="12" fillId="0" borderId="8" xfId="5" applyFont="1" applyFill="1" applyBorder="1" applyAlignment="1">
      <alignment horizontal="center" vertical="center" wrapText="1"/>
    </xf>
    <xf numFmtId="0" fontId="12" fillId="5" borderId="8" xfId="16" applyFont="1" applyFill="1" applyBorder="1" applyAlignment="1">
      <alignment horizontal="justify" vertical="center" wrapText="1"/>
    </xf>
    <xf numFmtId="42" fontId="12" fillId="5" borderId="18" xfId="8" applyFont="1" applyFill="1" applyBorder="1" applyAlignment="1">
      <alignment horizontal="center" vertical="center" wrapText="1"/>
    </xf>
    <xf numFmtId="0" fontId="1" fillId="0" borderId="0" xfId="0" applyFont="1" applyAlignment="1">
      <alignment horizontal="center" vertical="center" wrapText="1"/>
    </xf>
    <xf numFmtId="0" fontId="12" fillId="0" borderId="13" xfId="16" applyFont="1" applyFill="1" applyBorder="1" applyAlignment="1">
      <alignment vertical="center" wrapText="1"/>
    </xf>
    <xf numFmtId="0" fontId="12" fillId="0" borderId="2" xfId="16" applyFont="1" applyFill="1" applyBorder="1" applyAlignment="1">
      <alignment vertical="center" wrapText="1"/>
    </xf>
    <xf numFmtId="0" fontId="12" fillId="0" borderId="14" xfId="16" applyFont="1" applyFill="1" applyBorder="1" applyAlignment="1">
      <alignment vertical="center" wrapText="1"/>
    </xf>
    <xf numFmtId="1" fontId="12" fillId="0" borderId="18" xfId="16" applyNumberFormat="1" applyFont="1" applyFill="1" applyBorder="1" applyAlignment="1">
      <alignment horizontal="center" vertical="center" wrapText="1"/>
    </xf>
    <xf numFmtId="42" fontId="12" fillId="12" borderId="4" xfId="16" applyNumberFormat="1" applyFont="1" applyFill="1" applyBorder="1" applyAlignment="1">
      <alignment vertical="center"/>
    </xf>
    <xf numFmtId="42" fontId="12" fillId="0" borderId="1" xfId="8" applyFont="1" applyFill="1" applyBorder="1" applyAlignment="1">
      <alignment horizontal="center" vertical="center" wrapText="1"/>
    </xf>
    <xf numFmtId="1" fontId="12" fillId="5" borderId="8" xfId="16" applyNumberFormat="1" applyFont="1" applyFill="1" applyBorder="1" applyAlignment="1">
      <alignment vertical="center" wrapText="1"/>
    </xf>
    <xf numFmtId="0" fontId="12" fillId="5" borderId="15" xfId="16" applyFont="1" applyFill="1" applyBorder="1" applyAlignment="1">
      <alignment horizontal="center" vertical="center" wrapText="1"/>
    </xf>
    <xf numFmtId="1" fontId="12" fillId="5" borderId="15" xfId="16" applyNumberFormat="1" applyFont="1" applyFill="1" applyBorder="1" applyAlignment="1">
      <alignment vertical="center" wrapText="1"/>
    </xf>
    <xf numFmtId="1" fontId="12" fillId="5" borderId="15" xfId="16" applyNumberFormat="1" applyFont="1" applyFill="1" applyBorder="1" applyAlignment="1">
      <alignment horizontal="center" vertical="center" wrapText="1"/>
    </xf>
    <xf numFmtId="1" fontId="12" fillId="5" borderId="18" xfId="16" applyNumberFormat="1" applyFont="1" applyFill="1" applyBorder="1" applyAlignment="1">
      <alignment vertical="center" wrapText="1"/>
    </xf>
    <xf numFmtId="1" fontId="12" fillId="5" borderId="8" xfId="16" applyNumberFormat="1" applyFont="1" applyFill="1" applyBorder="1" applyAlignment="1">
      <alignment horizontal="center" vertical="center" wrapText="1"/>
    </xf>
    <xf numFmtId="42" fontId="12" fillId="5" borderId="1" xfId="8" applyFont="1" applyFill="1" applyBorder="1" applyAlignment="1">
      <alignment horizontal="center" vertical="center" wrapText="1"/>
    </xf>
    <xf numFmtId="1" fontId="12" fillId="5" borderId="18" xfId="16" applyNumberFormat="1" applyFont="1" applyFill="1" applyBorder="1" applyAlignment="1">
      <alignment horizontal="center" vertical="center" wrapText="1"/>
    </xf>
    <xf numFmtId="44" fontId="12" fillId="12" borderId="4" xfId="16" applyNumberFormat="1" applyFont="1" applyFill="1" applyBorder="1" applyAlignment="1">
      <alignment horizontal="justify" vertical="center"/>
    </xf>
    <xf numFmtId="44" fontId="12" fillId="12" borderId="4" xfId="7" applyFont="1" applyFill="1" applyBorder="1" applyAlignment="1">
      <alignment horizontal="justify" vertical="center"/>
    </xf>
    <xf numFmtId="0" fontId="12" fillId="5" borderId="1" xfId="16" applyFont="1" applyFill="1" applyBorder="1" applyAlignment="1">
      <alignment vertical="center" wrapText="1"/>
    </xf>
    <xf numFmtId="0" fontId="12" fillId="5" borderId="1" xfId="16" applyFont="1" applyFill="1" applyBorder="1" applyAlignment="1">
      <alignment horizontal="left" vertical="center" wrapText="1"/>
    </xf>
    <xf numFmtId="42" fontId="12" fillId="12" borderId="4" xfId="8" applyFont="1" applyFill="1" applyBorder="1" applyAlignment="1">
      <alignment vertical="center"/>
    </xf>
    <xf numFmtId="176" fontId="12" fillId="5" borderId="0" xfId="17" applyNumberFormat="1" applyFont="1" applyFill="1" applyBorder="1" applyAlignment="1">
      <alignment horizontal="justify" vertical="center"/>
    </xf>
    <xf numFmtId="0" fontId="11" fillId="10" borderId="0" xfId="16" applyFont="1" applyFill="1" applyBorder="1" applyAlignment="1">
      <alignment horizontal="justify" vertical="center" wrapText="1"/>
    </xf>
    <xf numFmtId="0" fontId="11" fillId="10" borderId="0" xfId="16" applyFont="1" applyFill="1" applyBorder="1" applyAlignment="1">
      <alignment vertical="center"/>
    </xf>
    <xf numFmtId="0" fontId="11" fillId="10" borderId="2" xfId="16" applyFont="1" applyFill="1" applyBorder="1" applyAlignment="1">
      <alignment vertical="center"/>
    </xf>
    <xf numFmtId="0" fontId="11" fillId="10" borderId="2" xfId="16" applyFont="1" applyFill="1" applyBorder="1" applyAlignment="1">
      <alignment horizontal="justify" vertical="center"/>
    </xf>
    <xf numFmtId="0" fontId="11" fillId="10" borderId="2" xfId="16" applyFont="1" applyFill="1" applyBorder="1" applyAlignment="1">
      <alignment horizontal="center" vertical="center"/>
    </xf>
    <xf numFmtId="42" fontId="12" fillId="10" borderId="2" xfId="8" applyFont="1" applyFill="1" applyBorder="1" applyAlignment="1">
      <alignment vertical="center"/>
    </xf>
    <xf numFmtId="1" fontId="11" fillId="10" borderId="2" xfId="16" applyNumberFormat="1" applyFont="1" applyFill="1" applyBorder="1" applyAlignment="1">
      <alignment horizontal="center" vertical="center"/>
    </xf>
    <xf numFmtId="0" fontId="11" fillId="10" borderId="14" xfId="16" applyFont="1" applyFill="1" applyBorder="1" applyAlignment="1">
      <alignment horizontal="justify" vertical="center"/>
    </xf>
    <xf numFmtId="0" fontId="12" fillId="5" borderId="3" xfId="16" applyFont="1" applyFill="1" applyBorder="1" applyAlignment="1">
      <alignment vertical="center" wrapText="1"/>
    </xf>
    <xf numFmtId="0" fontId="12" fillId="5" borderId="4" xfId="16" applyFont="1" applyFill="1" applyBorder="1" applyAlignment="1">
      <alignment vertical="center" wrapText="1"/>
    </xf>
    <xf numFmtId="0" fontId="12" fillId="5" borderId="5" xfId="16" applyFont="1" applyFill="1" applyBorder="1" applyAlignment="1">
      <alignment vertical="center" wrapText="1"/>
    </xf>
    <xf numFmtId="0" fontId="12" fillId="5" borderId="5" xfId="16" applyFont="1" applyFill="1" applyBorder="1" applyAlignment="1">
      <alignment horizontal="center" vertical="center" wrapText="1"/>
    </xf>
    <xf numFmtId="0" fontId="12" fillId="5" borderId="3" xfId="16" applyFont="1" applyFill="1" applyBorder="1" applyAlignment="1">
      <alignment horizontal="center" vertical="center" wrapText="1"/>
    </xf>
    <xf numFmtId="10" fontId="12" fillId="5" borderId="4" xfId="5" applyNumberFormat="1" applyFont="1" applyFill="1" applyBorder="1" applyAlignment="1">
      <alignment horizontal="center" vertical="center" wrapText="1"/>
    </xf>
    <xf numFmtId="0" fontId="12" fillId="5" borderId="5" xfId="16" applyFont="1" applyFill="1" applyBorder="1" applyAlignment="1">
      <alignment horizontal="justify" vertical="center" wrapText="1"/>
    </xf>
    <xf numFmtId="0" fontId="12" fillId="5" borderId="1" xfId="16" quotePrefix="1" applyFont="1" applyFill="1" applyBorder="1" applyAlignment="1">
      <alignment horizontal="justify" vertical="center" wrapText="1"/>
    </xf>
    <xf numFmtId="2" fontId="12" fillId="0" borderId="3" xfId="18" applyNumberFormat="1" applyFont="1" applyFill="1" applyBorder="1" applyAlignment="1">
      <alignment horizontal="center" vertical="center" wrapText="1"/>
    </xf>
    <xf numFmtId="1" fontId="12" fillId="5" borderId="1" xfId="16" quotePrefix="1" applyNumberFormat="1" applyFont="1" applyFill="1" applyBorder="1" applyAlignment="1">
      <alignment horizontal="center" vertical="center" wrapText="1"/>
    </xf>
    <xf numFmtId="0" fontId="12" fillId="5" borderId="14" xfId="16" applyFont="1" applyFill="1" applyBorder="1" applyAlignment="1">
      <alignment horizontal="center" vertical="center" wrapText="1"/>
    </xf>
    <xf numFmtId="1" fontId="12" fillId="5" borderId="8" xfId="16" quotePrefix="1" applyNumberFormat="1" applyFont="1" applyFill="1" applyBorder="1" applyAlignment="1">
      <alignment horizontal="center" vertical="center" wrapText="1"/>
    </xf>
    <xf numFmtId="1" fontId="12" fillId="5" borderId="18" xfId="16" quotePrefix="1" applyNumberFormat="1" applyFont="1" applyFill="1" applyBorder="1" applyAlignment="1">
      <alignment horizontal="center" vertical="center" wrapText="1"/>
    </xf>
    <xf numFmtId="3" fontId="11" fillId="10" borderId="9" xfId="16" applyNumberFormat="1" applyFont="1" applyFill="1" applyBorder="1" applyAlignment="1">
      <alignment horizontal="justify" vertical="center" wrapText="1"/>
    </xf>
    <xf numFmtId="0" fontId="11" fillId="12" borderId="9" xfId="16" applyFont="1" applyFill="1" applyBorder="1" applyAlignment="1">
      <alignment horizontal="justify" vertical="center" wrapText="1"/>
    </xf>
    <xf numFmtId="0" fontId="11" fillId="12" borderId="9" xfId="16" applyFont="1" applyFill="1" applyBorder="1" applyAlignment="1">
      <alignment vertical="center"/>
    </xf>
    <xf numFmtId="0" fontId="11" fillId="12" borderId="9" xfId="16" applyFont="1" applyFill="1" applyBorder="1" applyAlignment="1">
      <alignment horizontal="justify" vertical="center"/>
    </xf>
    <xf numFmtId="0" fontId="11" fillId="12" borderId="9" xfId="16" applyFont="1" applyFill="1" applyBorder="1" applyAlignment="1">
      <alignment horizontal="center" vertical="center"/>
    </xf>
    <xf numFmtId="0" fontId="12" fillId="12" borderId="9" xfId="16" applyFont="1" applyFill="1" applyBorder="1" applyAlignment="1">
      <alignment vertical="center"/>
    </xf>
    <xf numFmtId="1" fontId="11" fillId="12" borderId="9" xfId="16" applyNumberFormat="1" applyFont="1" applyFill="1" applyBorder="1" applyAlignment="1">
      <alignment horizontal="center" vertical="center"/>
    </xf>
    <xf numFmtId="0" fontId="11" fillId="12" borderId="7" xfId="16" applyFont="1" applyFill="1" applyBorder="1" applyAlignment="1">
      <alignment horizontal="justify" vertical="center"/>
    </xf>
    <xf numFmtId="0" fontId="12" fillId="0" borderId="1" xfId="16" applyFont="1" applyFill="1" applyBorder="1" applyAlignment="1">
      <alignment horizontal="center"/>
    </xf>
    <xf numFmtId="1" fontId="12" fillId="5" borderId="15" xfId="16" quotePrefix="1" applyNumberFormat="1" applyFont="1" applyFill="1" applyBorder="1" applyAlignment="1">
      <alignment horizontal="center" vertical="center" wrapText="1"/>
    </xf>
    <xf numFmtId="0" fontId="12" fillId="0" borderId="0" xfId="16" applyFont="1" applyFill="1" applyBorder="1" applyAlignment="1">
      <alignment horizontal="center"/>
    </xf>
    <xf numFmtId="0" fontId="12" fillId="0" borderId="8" xfId="16" applyFont="1" applyFill="1" applyBorder="1" applyAlignment="1">
      <alignment horizontal="center" vertical="center"/>
    </xf>
    <xf numFmtId="0" fontId="12" fillId="5" borderId="8" xfId="16" applyFont="1" applyFill="1" applyBorder="1" applyAlignment="1">
      <alignment horizontal="center" vertical="center"/>
    </xf>
    <xf numFmtId="0" fontId="12" fillId="5" borderId="1" xfId="16" quotePrefix="1" applyFont="1" applyFill="1" applyBorder="1" applyAlignment="1">
      <alignment vertical="center" wrapText="1"/>
    </xf>
    <xf numFmtId="164" fontId="12" fillId="0" borderId="18" xfId="18" applyFont="1" applyFill="1" applyBorder="1" applyAlignment="1">
      <alignment vertical="center" wrapText="1"/>
    </xf>
    <xf numFmtId="164" fontId="12" fillId="0" borderId="1" xfId="18" applyFont="1" applyFill="1" applyBorder="1" applyAlignment="1">
      <alignment vertical="center" wrapText="1"/>
    </xf>
    <xf numFmtId="0" fontId="11" fillId="0" borderId="2" xfId="16" applyFont="1" applyFill="1" applyBorder="1" applyAlignment="1">
      <alignment vertical="center" wrapText="1"/>
    </xf>
    <xf numFmtId="0" fontId="11" fillId="0" borderId="14" xfId="16" applyFont="1" applyFill="1" applyBorder="1" applyAlignment="1">
      <alignment vertical="center" wrapText="1"/>
    </xf>
    <xf numFmtId="0" fontId="11" fillId="12" borderId="0" xfId="16" applyFont="1" applyFill="1" applyBorder="1" applyAlignment="1">
      <alignment horizontal="justify" vertical="center" wrapText="1"/>
    </xf>
    <xf numFmtId="0" fontId="11" fillId="12" borderId="0" xfId="16" applyFont="1" applyFill="1" applyBorder="1" applyAlignment="1">
      <alignment vertical="center"/>
    </xf>
    <xf numFmtId="0" fontId="11" fillId="12" borderId="2" xfId="16" applyFont="1" applyFill="1" applyBorder="1" applyAlignment="1">
      <alignment vertical="center"/>
    </xf>
    <xf numFmtId="0" fontId="11" fillId="12" borderId="2" xfId="16" applyFont="1" applyFill="1" applyBorder="1" applyAlignment="1">
      <alignment horizontal="justify" vertical="center"/>
    </xf>
    <xf numFmtId="176" fontId="11" fillId="12" borderId="4" xfId="6" applyNumberFormat="1" applyFont="1" applyFill="1" applyBorder="1" applyAlignment="1">
      <alignment horizontal="center" vertical="center" textRotation="180" wrapText="1"/>
    </xf>
    <xf numFmtId="0" fontId="12" fillId="5" borderId="16" xfId="16" applyFont="1" applyFill="1" applyBorder="1" applyAlignment="1">
      <alignment horizontal="center" vertical="center" wrapText="1"/>
    </xf>
    <xf numFmtId="0" fontId="12" fillId="5" borderId="17" xfId="16" applyFont="1" applyFill="1" applyBorder="1" applyAlignment="1">
      <alignment horizontal="center" vertical="center" wrapText="1"/>
    </xf>
    <xf numFmtId="0" fontId="12" fillId="5" borderId="9" xfId="16" applyFont="1" applyFill="1" applyBorder="1" applyAlignment="1">
      <alignment horizontal="center" vertical="center" wrapText="1"/>
    </xf>
    <xf numFmtId="0" fontId="12" fillId="5" borderId="7" xfId="16" applyFont="1" applyFill="1" applyBorder="1" applyAlignment="1">
      <alignment horizontal="center" vertical="center" wrapText="1"/>
    </xf>
    <xf numFmtId="0" fontId="12" fillId="0" borderId="1" xfId="19" quotePrefix="1" applyNumberFormat="1" applyFont="1" applyFill="1" applyBorder="1" applyAlignment="1">
      <alignment horizontal="justify" vertical="center" wrapText="1"/>
    </xf>
    <xf numFmtId="174" fontId="12" fillId="0" borderId="1" xfId="7" quotePrefix="1" applyNumberFormat="1" applyFont="1" applyFill="1" applyBorder="1" applyAlignment="1">
      <alignment vertical="center" wrapText="1"/>
    </xf>
    <xf numFmtId="2" fontId="12" fillId="0" borderId="1" xfId="7" quotePrefix="1" applyNumberFormat="1" applyFont="1" applyFill="1" applyBorder="1" applyAlignment="1">
      <alignment horizontal="center" vertical="center" wrapText="1"/>
    </xf>
    <xf numFmtId="174" fontId="12" fillId="0" borderId="1" xfId="7" applyNumberFormat="1" applyFont="1" applyBorder="1" applyAlignment="1">
      <alignment horizontal="center" vertical="center" wrapText="1"/>
    </xf>
    <xf numFmtId="2" fontId="12" fillId="0" borderId="1" xfId="7" applyNumberFormat="1" applyFont="1" applyFill="1" applyBorder="1" applyAlignment="1">
      <alignment horizontal="center" vertical="center" wrapText="1"/>
    </xf>
    <xf numFmtId="49" fontId="12" fillId="0" borderId="1" xfId="19" quotePrefix="1" applyNumberFormat="1" applyFont="1" applyFill="1" applyBorder="1" applyAlignment="1">
      <alignment horizontal="justify" vertical="center" wrapText="1"/>
    </xf>
    <xf numFmtId="2" fontId="12" fillId="0" borderId="1" xfId="19" quotePrefix="1" applyNumberFormat="1" applyFont="1" applyFill="1" applyBorder="1" applyAlignment="1">
      <alignment horizontal="center" vertical="center" wrapText="1"/>
    </xf>
    <xf numFmtId="0" fontId="12" fillId="5" borderId="8" xfId="16" applyFont="1" applyFill="1" applyBorder="1" applyAlignment="1">
      <alignment vertical="center" wrapText="1"/>
    </xf>
    <xf numFmtId="0" fontId="12" fillId="5" borderId="15" xfId="16" applyFont="1" applyFill="1" applyBorder="1" applyAlignment="1">
      <alignment vertical="center" wrapText="1"/>
    </xf>
    <xf numFmtId="49" fontId="12" fillId="5" borderId="1" xfId="19" quotePrefix="1" applyNumberFormat="1" applyFont="1" applyFill="1" applyBorder="1" applyAlignment="1">
      <alignment horizontal="justify" vertical="center" wrapText="1"/>
    </xf>
    <xf numFmtId="174" fontId="12" fillId="5" borderId="1" xfId="7" applyNumberFormat="1" applyFont="1" applyFill="1" applyBorder="1" applyAlignment="1">
      <alignment horizontal="center" vertical="center" wrapText="1"/>
    </xf>
    <xf numFmtId="49" fontId="12" fillId="0" borderId="8" xfId="19" quotePrefix="1" applyNumberFormat="1" applyFont="1" applyFill="1" applyBorder="1" applyAlignment="1">
      <alignment horizontal="justify" vertical="center" wrapText="1"/>
    </xf>
    <xf numFmtId="2" fontId="12" fillId="0" borderId="8" xfId="19" quotePrefix="1" applyNumberFormat="1" applyFont="1" applyFill="1" applyBorder="1" applyAlignment="1">
      <alignment horizontal="center" vertical="center" wrapText="1"/>
    </xf>
    <xf numFmtId="0" fontId="12" fillId="5" borderId="18" xfId="16" applyFont="1" applyFill="1" applyBorder="1" applyAlignment="1">
      <alignment vertical="center" wrapText="1"/>
    </xf>
    <xf numFmtId="176" fontId="11" fillId="12" borderId="4" xfId="6" applyNumberFormat="1" applyFont="1" applyFill="1" applyBorder="1" applyAlignment="1">
      <alignment vertical="center" textRotation="180" wrapText="1"/>
    </xf>
    <xf numFmtId="49" fontId="12" fillId="0" borderId="1" xfId="19" applyNumberFormat="1" applyFont="1" applyFill="1" applyBorder="1" applyAlignment="1">
      <alignment horizontal="left" vertical="center" wrapText="1"/>
    </xf>
    <xf numFmtId="2" fontId="12" fillId="0" borderId="1" xfId="8" applyNumberFormat="1" applyFont="1" applyFill="1" applyBorder="1" applyAlignment="1">
      <alignment horizontal="center" vertical="center" wrapText="1"/>
    </xf>
    <xf numFmtId="0" fontId="12" fillId="5" borderId="2" xfId="16" applyFont="1" applyFill="1" applyBorder="1" applyAlignment="1">
      <alignment horizontal="center" vertical="center" wrapText="1"/>
    </xf>
    <xf numFmtId="0" fontId="12" fillId="0" borderId="1" xfId="16" applyFont="1" applyFill="1" applyBorder="1" applyAlignment="1">
      <alignment horizontal="center" vertical="center" wrapText="1"/>
    </xf>
    <xf numFmtId="174" fontId="12" fillId="0" borderId="1" xfId="7" quotePrefix="1" applyNumberFormat="1" applyFont="1" applyFill="1" applyBorder="1" applyAlignment="1">
      <alignment horizontal="center" vertical="center"/>
    </xf>
    <xf numFmtId="174" fontId="12" fillId="0" borderId="1" xfId="7" applyNumberFormat="1" applyFont="1" applyFill="1" applyBorder="1" applyAlignment="1">
      <alignment horizontal="center" vertical="center" wrapText="1"/>
    </xf>
    <xf numFmtId="0" fontId="12" fillId="0" borderId="1" xfId="16" applyFont="1" applyFill="1" applyBorder="1" applyAlignment="1">
      <alignment horizontal="justify" vertical="center" wrapText="1"/>
    </xf>
    <xf numFmtId="0" fontId="12" fillId="0" borderId="8" xfId="16" applyFont="1" applyFill="1" applyBorder="1" applyAlignment="1">
      <alignment vertical="center" wrapText="1"/>
    </xf>
    <xf numFmtId="174" fontId="12" fillId="10" borderId="4" xfId="16" applyNumberFormat="1" applyFont="1" applyFill="1" applyBorder="1" applyAlignment="1">
      <alignment vertical="center"/>
    </xf>
    <xf numFmtId="176" fontId="11" fillId="10" borderId="4" xfId="6" applyNumberFormat="1" applyFont="1" applyFill="1" applyBorder="1" applyAlignment="1">
      <alignment vertical="center" textRotation="180" wrapText="1"/>
    </xf>
    <xf numFmtId="0" fontId="11" fillId="12" borderId="2" xfId="16" applyFont="1" applyFill="1" applyBorder="1" applyAlignment="1">
      <alignment horizontal="center" vertical="center"/>
    </xf>
    <xf numFmtId="176" fontId="11" fillId="12" borderId="2" xfId="6" applyNumberFormat="1" applyFont="1" applyFill="1" applyBorder="1" applyAlignment="1">
      <alignment vertical="center" textRotation="180" wrapText="1"/>
    </xf>
    <xf numFmtId="42" fontId="12" fillId="5" borderId="1" xfId="8" applyFont="1" applyFill="1" applyBorder="1" applyAlignment="1">
      <alignment vertical="center"/>
    </xf>
    <xf numFmtId="2" fontId="12" fillId="0" borderId="1" xfId="8" applyNumberFormat="1" applyFont="1" applyFill="1" applyBorder="1" applyAlignment="1">
      <alignment horizontal="center" vertical="center"/>
    </xf>
    <xf numFmtId="0" fontId="12" fillId="5" borderId="0" xfId="16" applyFont="1" applyFill="1" applyBorder="1"/>
    <xf numFmtId="174" fontId="12" fillId="5" borderId="3" xfId="7" applyNumberFormat="1" applyFont="1" applyFill="1" applyBorder="1" applyAlignment="1">
      <alignment horizontal="center" vertical="center" wrapText="1"/>
    </xf>
    <xf numFmtId="0" fontId="12" fillId="5" borderId="1" xfId="19" applyFont="1" applyFill="1" applyBorder="1" applyAlignment="1">
      <alignment horizontal="justify" vertical="center" wrapText="1"/>
    </xf>
    <xf numFmtId="0" fontId="12" fillId="0" borderId="1" xfId="16" applyFont="1" applyBorder="1"/>
    <xf numFmtId="0" fontId="12" fillId="5" borderId="0" xfId="16" applyFont="1" applyFill="1" applyAlignment="1">
      <alignment horizontal="justify"/>
    </xf>
    <xf numFmtId="0" fontId="12" fillId="5" borderId="0" xfId="16" applyFont="1" applyFill="1" applyAlignment="1">
      <alignment horizontal="justify" vertical="center"/>
    </xf>
    <xf numFmtId="0" fontId="12" fillId="5" borderId="0" xfId="16" applyFont="1" applyFill="1" applyAlignment="1">
      <alignment horizontal="center" vertical="center"/>
    </xf>
    <xf numFmtId="176" fontId="12" fillId="0" borderId="0" xfId="6" applyNumberFormat="1" applyFont="1" applyFill="1"/>
    <xf numFmtId="0" fontId="12" fillId="0" borderId="0" xfId="16" applyFont="1" applyFill="1" applyAlignment="1">
      <alignment horizontal="right" vertical="center"/>
    </xf>
    <xf numFmtId="170" fontId="12" fillId="0" borderId="0" xfId="16" applyNumberFormat="1" applyFont="1" applyAlignment="1">
      <alignment horizontal="center"/>
    </xf>
    <xf numFmtId="0" fontId="12" fillId="0" borderId="0" xfId="16" applyFont="1" applyAlignment="1">
      <alignment horizontal="left"/>
    </xf>
    <xf numFmtId="0" fontId="11" fillId="0" borderId="3" xfId="16" applyFont="1" applyBorder="1"/>
    <xf numFmtId="0" fontId="11" fillId="0" borderId="4" xfId="16" applyFont="1" applyBorder="1"/>
    <xf numFmtId="0" fontId="11" fillId="5" borderId="4" xfId="16" applyFont="1" applyFill="1" applyBorder="1" applyAlignment="1">
      <alignment horizontal="justify"/>
    </xf>
    <xf numFmtId="0" fontId="11" fillId="5" borderId="4" xfId="16" applyFont="1" applyFill="1" applyBorder="1"/>
    <xf numFmtId="0" fontId="11" fillId="5" borderId="4" xfId="16" applyFont="1" applyFill="1" applyBorder="1" applyAlignment="1">
      <alignment horizontal="center"/>
    </xf>
    <xf numFmtId="0" fontId="11" fillId="5" borderId="5" xfId="16" applyFont="1" applyFill="1" applyBorder="1" applyAlignment="1">
      <alignment horizontal="right" vertical="center"/>
    </xf>
    <xf numFmtId="42" fontId="11" fillId="5" borderId="1" xfId="16" applyNumberFormat="1" applyFont="1" applyFill="1" applyBorder="1"/>
    <xf numFmtId="0" fontId="11" fillId="5" borderId="3" xfId="16" applyFont="1" applyFill="1" applyBorder="1"/>
    <xf numFmtId="0" fontId="11" fillId="5" borderId="5" xfId="16" applyFont="1" applyFill="1" applyBorder="1" applyAlignment="1">
      <alignment horizontal="justify" vertical="center"/>
    </xf>
    <xf numFmtId="0" fontId="11" fillId="5" borderId="3" xfId="16" applyFont="1" applyFill="1" applyBorder="1" applyAlignment="1">
      <alignment horizontal="center" vertical="center"/>
    </xf>
    <xf numFmtId="0" fontId="11" fillId="5" borderId="4" xfId="16" applyFont="1" applyFill="1" applyBorder="1" applyAlignment="1">
      <alignment horizontal="center" vertical="center"/>
    </xf>
    <xf numFmtId="176" fontId="11" fillId="0" borderId="4" xfId="6" applyNumberFormat="1" applyFont="1" applyFill="1" applyBorder="1"/>
    <xf numFmtId="176" fontId="11" fillId="0" borderId="5" xfId="6" applyNumberFormat="1" applyFont="1" applyFill="1" applyBorder="1"/>
    <xf numFmtId="44" fontId="11" fillId="0" borderId="1" xfId="7" applyFont="1" applyFill="1" applyBorder="1"/>
    <xf numFmtId="176" fontId="11" fillId="0" borderId="3" xfId="6" applyNumberFormat="1" applyFont="1" applyFill="1" applyBorder="1"/>
    <xf numFmtId="0" fontId="11" fillId="0" borderId="4" xfId="16" applyFont="1" applyFill="1" applyBorder="1" applyAlignment="1">
      <alignment horizontal="right" vertical="center"/>
    </xf>
    <xf numFmtId="170" fontId="11" fillId="0" borderId="4" xfId="16" applyNumberFormat="1" applyFont="1" applyBorder="1" applyAlignment="1">
      <alignment horizontal="center"/>
    </xf>
    <xf numFmtId="0" fontId="11" fillId="0" borderId="5" xfId="16" applyFont="1" applyBorder="1" applyAlignment="1">
      <alignment horizontal="left"/>
    </xf>
    <xf numFmtId="0" fontId="11" fillId="0" borderId="0" xfId="16" applyFont="1" applyFill="1"/>
    <xf numFmtId="0" fontId="11" fillId="0" borderId="0" xfId="16" applyFont="1"/>
    <xf numFmtId="0" fontId="12" fillId="5" borderId="0" xfId="16" applyFont="1" applyFill="1" applyAlignment="1">
      <alignment horizontal="center"/>
    </xf>
    <xf numFmtId="0" fontId="12" fillId="0" borderId="0" xfId="16" applyFont="1" applyFill="1" applyBorder="1" applyAlignment="1">
      <alignment horizontal="justify" vertical="center"/>
    </xf>
    <xf numFmtId="44" fontId="12" fillId="0" borderId="0" xfId="16" applyNumberFormat="1" applyFont="1" applyFill="1" applyBorder="1" applyAlignment="1">
      <alignment horizontal="justify" vertical="center"/>
    </xf>
    <xf numFmtId="176" fontId="12" fillId="5" borderId="0" xfId="16" applyNumberFormat="1" applyFont="1" applyFill="1" applyAlignment="1">
      <alignment horizontal="justify" vertical="center"/>
    </xf>
    <xf numFmtId="176" fontId="12" fillId="0" borderId="0" xfId="6" applyNumberFormat="1" applyFont="1" applyFill="1" applyBorder="1"/>
    <xf numFmtId="0" fontId="6" fillId="9" borderId="1" xfId="0" applyFont="1" applyFill="1" applyBorder="1" applyAlignment="1">
      <alignment horizontal="center" vertical="center" wrapText="1"/>
    </xf>
    <xf numFmtId="164" fontId="7" fillId="0" borderId="1" xfId="12" applyFont="1" applyFill="1" applyBorder="1" applyAlignment="1">
      <alignment horizontal="center" vertical="center" wrapText="1"/>
    </xf>
    <xf numFmtId="49" fontId="7" fillId="5" borderId="15" xfId="0" applyNumberFormat="1" applyFont="1" applyFill="1" applyBorder="1" applyAlignment="1">
      <alignment horizontal="center" vertical="center" wrapText="1"/>
    </xf>
    <xf numFmtId="0" fontId="7" fillId="0" borderId="0" xfId="0" applyFont="1" applyFill="1" applyAlignment="1">
      <alignment horizontal="right" vertical="center"/>
    </xf>
    <xf numFmtId="15" fontId="6" fillId="0" borderId="1" xfId="0" applyNumberFormat="1" applyFont="1" applyBorder="1" applyAlignment="1">
      <alignment horizontal="left" vertical="center"/>
    </xf>
    <xf numFmtId="0" fontId="6" fillId="0" borderId="9" xfId="0" applyFont="1" applyFill="1" applyBorder="1" applyAlignment="1">
      <alignment vertical="center" wrapText="1"/>
    </xf>
    <xf numFmtId="0" fontId="6" fillId="7" borderId="4" xfId="0" applyFont="1" applyFill="1" applyBorder="1" applyAlignment="1">
      <alignment vertical="center"/>
    </xf>
    <xf numFmtId="0" fontId="6" fillId="7" borderId="5" xfId="0" applyFont="1" applyFill="1" applyBorder="1" applyAlignment="1">
      <alignment vertical="center"/>
    </xf>
    <xf numFmtId="0" fontId="6" fillId="0" borderId="0" xfId="0" applyFont="1" applyFill="1" applyBorder="1" applyAlignment="1">
      <alignment vertical="center" wrapText="1"/>
    </xf>
    <xf numFmtId="0" fontId="6" fillId="5" borderId="6" xfId="0" applyFont="1" applyFill="1" applyBorder="1" applyAlignment="1">
      <alignment vertical="center" wrapText="1"/>
    </xf>
    <xf numFmtId="0" fontId="6" fillId="5" borderId="0" xfId="0" applyFont="1" applyFill="1" applyBorder="1" applyAlignment="1">
      <alignment vertical="center" wrapText="1"/>
    </xf>
    <xf numFmtId="0" fontId="6" fillId="5" borderId="17" xfId="0" applyFont="1" applyFill="1" applyBorder="1" applyAlignment="1">
      <alignment vertical="center" wrapText="1"/>
    </xf>
    <xf numFmtId="0" fontId="6" fillId="9" borderId="13" xfId="0" applyFont="1" applyFill="1" applyBorder="1" applyAlignment="1">
      <alignment horizontal="center" vertical="center" wrapText="1"/>
    </xf>
    <xf numFmtId="0" fontId="6" fillId="5" borderId="16" xfId="0" applyFont="1" applyFill="1" applyBorder="1" applyAlignment="1">
      <alignment vertical="center" wrapText="1"/>
    </xf>
    <xf numFmtId="0" fontId="7" fillId="5" borderId="9" xfId="0" applyFont="1" applyFill="1" applyBorder="1" applyAlignment="1">
      <alignment vertical="center" wrapText="1"/>
    </xf>
    <xf numFmtId="2" fontId="7" fillId="5" borderId="1" xfId="0" applyNumberFormat="1" applyFont="1" applyFill="1" applyBorder="1" applyAlignment="1">
      <alignment horizontal="justify" vertical="center" wrapText="1"/>
    </xf>
    <xf numFmtId="49" fontId="7" fillId="5" borderId="8" xfId="0" applyNumberFormat="1" applyFont="1" applyFill="1" applyBorder="1" applyAlignment="1">
      <alignment horizontal="center" vertical="center" wrapText="1"/>
    </xf>
    <xf numFmtId="175" fontId="7" fillId="5" borderId="5" xfId="0" applyNumberFormat="1" applyFont="1" applyFill="1" applyBorder="1" applyAlignment="1">
      <alignment horizontal="center" vertical="center" wrapText="1"/>
    </xf>
    <xf numFmtId="3" fontId="7" fillId="5" borderId="1" xfId="0" applyNumberFormat="1" applyFont="1" applyFill="1" applyBorder="1" applyAlignment="1">
      <alignment horizontal="center" vertical="center" wrapText="1"/>
    </xf>
    <xf numFmtId="49" fontId="7" fillId="5" borderId="1" xfId="0" applyNumberFormat="1" applyFont="1" applyFill="1" applyBorder="1" applyAlignment="1">
      <alignment horizontal="center" vertical="center" wrapText="1"/>
    </xf>
    <xf numFmtId="0" fontId="6" fillId="0" borderId="2" xfId="0" applyFont="1" applyFill="1" applyBorder="1" applyAlignment="1">
      <alignment vertical="center" wrapText="1"/>
    </xf>
    <xf numFmtId="0" fontId="6" fillId="5" borderId="13" xfId="0" applyFont="1" applyFill="1" applyBorder="1" applyAlignment="1">
      <alignment vertical="center" wrapText="1"/>
    </xf>
    <xf numFmtId="0" fontId="6" fillId="5" borderId="2" xfId="0" applyFont="1" applyFill="1" applyBorder="1" applyAlignment="1">
      <alignment vertical="center" wrapText="1"/>
    </xf>
    <xf numFmtId="0" fontId="6" fillId="5" borderId="14" xfId="0" applyFont="1" applyFill="1" applyBorder="1" applyAlignment="1">
      <alignment vertical="center" wrapText="1"/>
    </xf>
    <xf numFmtId="0" fontId="7" fillId="5" borderId="2" xfId="0" applyFont="1" applyFill="1" applyBorder="1" applyAlignment="1">
      <alignment vertical="center" wrapText="1"/>
    </xf>
    <xf numFmtId="175" fontId="7" fillId="5" borderId="7" xfId="0" applyNumberFormat="1" applyFont="1" applyFill="1" applyBorder="1" applyAlignment="1">
      <alignment horizontal="center" vertical="center" wrapText="1"/>
    </xf>
    <xf numFmtId="49" fontId="7" fillId="5" borderId="18" xfId="0" applyNumberFormat="1" applyFont="1" applyFill="1" applyBorder="1" applyAlignment="1">
      <alignment horizontal="center" vertical="center" wrapText="1"/>
    </xf>
    <xf numFmtId="3" fontId="6" fillId="5" borderId="5" xfId="0" applyNumberFormat="1" applyFont="1" applyFill="1" applyBorder="1" applyAlignment="1">
      <alignment horizontal="center" vertical="center"/>
    </xf>
    <xf numFmtId="3" fontId="6" fillId="0" borderId="1" xfId="0" applyNumberFormat="1" applyFont="1" applyFill="1" applyBorder="1" applyAlignment="1">
      <alignment horizontal="center" vertical="center"/>
    </xf>
    <xf numFmtId="0" fontId="6" fillId="5" borderId="1" xfId="0" applyFont="1" applyFill="1" applyBorder="1" applyAlignment="1">
      <alignment horizontal="justify" vertical="center"/>
    </xf>
    <xf numFmtId="3" fontId="6" fillId="0" borderId="1" xfId="0" applyNumberFormat="1" applyFont="1" applyBorder="1"/>
    <xf numFmtId="0" fontId="6" fillId="0" borderId="1" xfId="0" applyFont="1" applyFill="1" applyBorder="1" applyAlignment="1">
      <alignment horizontal="right" vertical="center"/>
    </xf>
    <xf numFmtId="170" fontId="6" fillId="0" borderId="1" xfId="0" applyNumberFormat="1" applyFont="1" applyBorder="1" applyAlignment="1">
      <alignment horizontal="center"/>
    </xf>
    <xf numFmtId="170" fontId="6" fillId="0" borderId="3" xfId="0" applyNumberFormat="1" applyFont="1" applyBorder="1" applyAlignment="1">
      <alignment horizontal="center"/>
    </xf>
    <xf numFmtId="0" fontId="6" fillId="0" borderId="3" xfId="0" applyFont="1" applyBorder="1" applyAlignment="1">
      <alignment horizontal="left" vertical="center"/>
    </xf>
    <xf numFmtId="0" fontId="6" fillId="0" borderId="0" xfId="0" applyFont="1" applyBorder="1"/>
    <xf numFmtId="175" fontId="7" fillId="0" borderId="0" xfId="0" applyNumberFormat="1" applyFont="1"/>
    <xf numFmtId="0" fontId="7" fillId="5" borderId="0" xfId="0" applyFont="1" applyFill="1" applyAlignment="1">
      <alignment horizontal="left" vertical="center"/>
    </xf>
    <xf numFmtId="170" fontId="7" fillId="0" borderId="0" xfId="0" applyNumberFormat="1" applyFont="1" applyAlignment="1">
      <alignment horizontal="center"/>
    </xf>
    <xf numFmtId="0" fontId="12" fillId="0" borderId="1" xfId="0" applyFont="1" applyFill="1" applyBorder="1" applyAlignment="1">
      <alignment horizontal="justify" vertical="center" wrapText="1"/>
    </xf>
    <xf numFmtId="0" fontId="12" fillId="0" borderId="5" xfId="0" applyFont="1" applyFill="1" applyBorder="1" applyAlignment="1">
      <alignment horizontal="justify" vertical="center" wrapText="1"/>
    </xf>
    <xf numFmtId="0" fontId="12" fillId="0" borderId="8" xfId="0" applyFont="1" applyFill="1" applyBorder="1" applyAlignment="1">
      <alignment horizontal="justify" vertical="center" wrapText="1"/>
    </xf>
    <xf numFmtId="0" fontId="7" fillId="8" borderId="4" xfId="0" applyFont="1" applyFill="1" applyBorder="1" applyAlignment="1">
      <alignment horizontal="justify" vertical="center"/>
    </xf>
    <xf numFmtId="0" fontId="7" fillId="0" borderId="8" xfId="0" applyFont="1" applyFill="1" applyBorder="1" applyAlignment="1">
      <alignment horizontal="justify" vertical="justify" wrapText="1"/>
    </xf>
    <xf numFmtId="0" fontId="7" fillId="0" borderId="3" xfId="0" applyFont="1" applyBorder="1" applyAlignment="1">
      <alignment horizontal="justify" vertical="center"/>
    </xf>
    <xf numFmtId="0" fontId="7" fillId="0" borderId="4" xfId="0" applyFont="1" applyBorder="1" applyAlignment="1">
      <alignment horizontal="justify" vertical="center"/>
    </xf>
    <xf numFmtId="0" fontId="7" fillId="0" borderId="5" xfId="0" applyFont="1" applyBorder="1" applyAlignment="1">
      <alignment horizontal="justify" vertical="center"/>
    </xf>
    <xf numFmtId="0" fontId="7" fillId="0" borderId="0" xfId="0" applyFont="1" applyBorder="1" applyAlignment="1">
      <alignment horizontal="justify"/>
    </xf>
    <xf numFmtId="12" fontId="7" fillId="0" borderId="0" xfId="8" applyNumberFormat="1" applyFont="1" applyBorder="1" applyAlignment="1">
      <alignment horizontal="justify"/>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5" borderId="1" xfId="0" applyFont="1" applyFill="1" applyBorder="1" applyAlignment="1">
      <alignment horizontal="center" vertical="center" wrapText="1"/>
    </xf>
    <xf numFmtId="0" fontId="7" fillId="5" borderId="1" xfId="0" applyFont="1" applyFill="1" applyBorder="1" applyAlignment="1">
      <alignment horizontal="justify" vertical="center" wrapText="1"/>
    </xf>
    <xf numFmtId="0" fontId="7" fillId="5" borderId="8" xfId="0" applyFont="1" applyFill="1" applyBorder="1" applyAlignment="1">
      <alignment horizontal="justify" vertical="center" wrapText="1"/>
    </xf>
    <xf numFmtId="0" fontId="7" fillId="5" borderId="18"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6" fillId="3" borderId="8"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5" borderId="1" xfId="0" applyFont="1" applyFill="1" applyBorder="1" applyAlignment="1">
      <alignment horizontal="justify" vertical="center"/>
    </xf>
    <xf numFmtId="0" fontId="7" fillId="5" borderId="1" xfId="0" applyFont="1" applyFill="1" applyBorder="1" applyAlignment="1">
      <alignment horizontal="center" vertical="center"/>
    </xf>
    <xf numFmtId="1" fontId="7" fillId="5" borderId="1" xfId="0" applyNumberFormat="1" applyFont="1" applyFill="1" applyBorder="1" applyAlignment="1">
      <alignment horizontal="center" vertical="center"/>
    </xf>
    <xf numFmtId="1" fontId="7" fillId="5" borderId="8" xfId="0" applyNumberFormat="1" applyFont="1" applyFill="1" applyBorder="1" applyAlignment="1">
      <alignment horizontal="center" vertical="center"/>
    </xf>
    <xf numFmtId="1" fontId="7" fillId="5" borderId="18" xfId="0" applyNumberFormat="1" applyFont="1" applyFill="1" applyBorder="1" applyAlignment="1">
      <alignment horizontal="center" vertical="center"/>
    </xf>
    <xf numFmtId="9" fontId="7" fillId="5" borderId="1" xfId="5" applyFont="1" applyFill="1" applyBorder="1" applyAlignment="1">
      <alignment horizontal="center" vertical="center"/>
    </xf>
    <xf numFmtId="0" fontId="7" fillId="0" borderId="8" xfId="0" applyFont="1" applyFill="1" applyBorder="1" applyAlignment="1">
      <alignment horizontal="justify" vertical="center" wrapText="1"/>
    </xf>
    <xf numFmtId="0" fontId="7" fillId="0" borderId="1" xfId="0" applyFont="1" applyFill="1" applyBorder="1" applyAlignment="1">
      <alignment horizontal="justify" vertical="center"/>
    </xf>
    <xf numFmtId="0" fontId="6" fillId="5" borderId="0" xfId="0" applyFont="1" applyFill="1" applyBorder="1" applyAlignment="1">
      <alignment horizontal="center" vertical="center" wrapText="1"/>
    </xf>
    <xf numFmtId="1" fontId="7" fillId="5" borderId="15" xfId="0" applyNumberFormat="1"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18" xfId="0" applyFont="1" applyFill="1" applyBorder="1" applyAlignment="1">
      <alignment horizontal="center" vertical="center" wrapText="1"/>
    </xf>
    <xf numFmtId="179" fontId="7" fillId="5" borderId="1" xfId="0" applyNumberFormat="1" applyFont="1" applyFill="1" applyBorder="1" applyAlignment="1">
      <alignment horizontal="center" vertical="center" wrapText="1"/>
    </xf>
    <xf numFmtId="3" fontId="7" fillId="5" borderId="1" xfId="0" applyNumberFormat="1" applyFont="1" applyFill="1" applyBorder="1" applyAlignment="1">
      <alignment horizontal="justify" vertical="center" wrapText="1"/>
    </xf>
    <xf numFmtId="1" fontId="6" fillId="5" borderId="8" xfId="0" applyNumberFormat="1" applyFont="1" applyFill="1" applyBorder="1" applyAlignment="1">
      <alignment horizontal="center" vertical="center" textRotation="180" wrapText="1"/>
    </xf>
    <xf numFmtId="1" fontId="6" fillId="5" borderId="18" xfId="0" applyNumberFormat="1" applyFont="1" applyFill="1" applyBorder="1" applyAlignment="1">
      <alignment horizontal="center" vertical="center" textRotation="180" wrapText="1"/>
    </xf>
    <xf numFmtId="0" fontId="7" fillId="5" borderId="15" xfId="0" applyFont="1" applyFill="1" applyBorder="1" applyAlignment="1">
      <alignment horizontal="center" vertical="center" wrapText="1"/>
    </xf>
    <xf numFmtId="9" fontId="7" fillId="5" borderId="1" xfId="5"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5" borderId="18" xfId="0" applyFont="1" applyFill="1" applyBorder="1" applyAlignment="1">
      <alignment horizontal="center" vertical="center"/>
    </xf>
    <xf numFmtId="1" fontId="7" fillId="5" borderId="15" xfId="0" applyNumberFormat="1" applyFont="1" applyFill="1" applyBorder="1" applyAlignment="1">
      <alignment horizontal="center" vertical="center"/>
    </xf>
    <xf numFmtId="1" fontId="6" fillId="3" borderId="18" xfId="0" applyNumberFormat="1" applyFont="1" applyFill="1" applyBorder="1" applyAlignment="1">
      <alignment horizontal="center" vertical="center" wrapText="1"/>
    </xf>
    <xf numFmtId="0" fontId="7" fillId="5" borderId="8" xfId="0" applyFont="1" applyFill="1" applyBorder="1" applyAlignment="1">
      <alignment horizontal="center"/>
    </xf>
    <xf numFmtId="0" fontId="7" fillId="0" borderId="18" xfId="0" applyFont="1" applyFill="1" applyBorder="1" applyAlignment="1">
      <alignment horizontal="center" vertical="center" wrapText="1"/>
    </xf>
    <xf numFmtId="0" fontId="7" fillId="0" borderId="1" xfId="0" applyFont="1" applyBorder="1" applyAlignment="1">
      <alignment horizontal="justify" vertical="center" wrapText="1"/>
    </xf>
    <xf numFmtId="0" fontId="7" fillId="0" borderId="0" xfId="0" applyFont="1" applyAlignment="1">
      <alignment horizontal="center"/>
    </xf>
    <xf numFmtId="0" fontId="7" fillId="0" borderId="15" xfId="0" applyFont="1" applyFill="1" applyBorder="1" applyAlignment="1">
      <alignment horizontal="justify" vertical="center" wrapText="1"/>
    </xf>
    <xf numFmtId="0" fontId="7" fillId="0" borderId="18" xfId="0" applyFont="1" applyFill="1" applyBorder="1" applyAlignment="1">
      <alignment horizontal="justify" vertical="center" wrapText="1"/>
    </xf>
    <xf numFmtId="0" fontId="7" fillId="0" borderId="1" xfId="0" applyFont="1" applyBorder="1" applyAlignment="1">
      <alignment horizontal="center" vertical="center"/>
    </xf>
    <xf numFmtId="9" fontId="7" fillId="5" borderId="8" xfId="5" applyNumberFormat="1" applyFont="1" applyFill="1" applyBorder="1" applyAlignment="1">
      <alignment horizontal="center" vertical="center"/>
    </xf>
    <xf numFmtId="9" fontId="7" fillId="5" borderId="18" xfId="5" applyNumberFormat="1" applyFont="1" applyFill="1" applyBorder="1" applyAlignment="1">
      <alignment horizontal="center" vertical="center"/>
    </xf>
    <xf numFmtId="0" fontId="7" fillId="0" borderId="8" xfId="0" applyFont="1" applyBorder="1" applyAlignment="1">
      <alignment horizontal="justify" vertical="center" wrapText="1"/>
    </xf>
    <xf numFmtId="0" fontId="7" fillId="0" borderId="18" xfId="0" applyFont="1" applyBorder="1" applyAlignment="1">
      <alignment horizontal="justify" vertical="center" wrapText="1"/>
    </xf>
    <xf numFmtId="1" fontId="6" fillId="3" borderId="1" xfId="0" applyNumberFormat="1" applyFont="1" applyFill="1" applyBorder="1" applyAlignment="1">
      <alignment horizontal="center" vertical="center" wrapText="1"/>
    </xf>
    <xf numFmtId="0" fontId="6" fillId="9" borderId="4" xfId="0" applyFont="1" applyFill="1" applyBorder="1" applyAlignment="1">
      <alignment horizontal="center" vertical="center"/>
    </xf>
    <xf numFmtId="170" fontId="6" fillId="3" borderId="1" xfId="0" applyNumberFormat="1" applyFont="1" applyFill="1" applyBorder="1" applyAlignment="1">
      <alignment horizontal="center" vertical="center" wrapText="1"/>
    </xf>
    <xf numFmtId="0" fontId="6" fillId="5" borderId="2" xfId="0" applyFont="1" applyFill="1" applyBorder="1" applyAlignment="1">
      <alignment horizontal="center" vertical="center" wrapText="1"/>
    </xf>
    <xf numFmtId="0" fontId="7" fillId="5" borderId="8" xfId="0" applyFont="1" applyFill="1" applyBorder="1" applyAlignment="1">
      <alignment horizontal="justify" vertical="center"/>
    </xf>
    <xf numFmtId="0" fontId="7" fillId="5" borderId="18" xfId="0" applyFont="1" applyFill="1" applyBorder="1" applyAlignment="1">
      <alignment horizontal="justify" vertical="center"/>
    </xf>
    <xf numFmtId="0" fontId="7" fillId="5" borderId="7" xfId="0" applyFont="1" applyFill="1" applyBorder="1" applyAlignment="1">
      <alignment horizontal="center" vertical="center" wrapText="1"/>
    </xf>
    <xf numFmtId="0" fontId="7" fillId="5" borderId="6" xfId="0" applyFont="1" applyFill="1" applyBorder="1" applyAlignment="1">
      <alignment horizontal="center" vertical="center" wrapText="1"/>
    </xf>
    <xf numFmtId="14" fontId="7" fillId="5" borderId="1" xfId="0" applyNumberFormat="1" applyFont="1" applyFill="1" applyBorder="1" applyAlignment="1">
      <alignment horizontal="center" vertical="center"/>
    </xf>
    <xf numFmtId="0" fontId="7" fillId="5" borderId="14" xfId="0" applyFont="1" applyFill="1" applyBorder="1" applyAlignment="1">
      <alignment horizontal="center" vertical="center" wrapText="1"/>
    </xf>
    <xf numFmtId="0" fontId="7" fillId="5" borderId="13" xfId="0" applyFont="1" applyFill="1" applyBorder="1" applyAlignment="1">
      <alignment horizontal="justify" vertical="center" wrapText="1"/>
    </xf>
    <xf numFmtId="0" fontId="7" fillId="5" borderId="18" xfId="0" applyFont="1" applyFill="1" applyBorder="1" applyAlignment="1">
      <alignment horizontal="center"/>
    </xf>
    <xf numFmtId="0" fontId="7" fillId="5" borderId="1" xfId="0" applyNumberFormat="1" applyFont="1" applyFill="1" applyBorder="1" applyAlignment="1">
      <alignment horizontal="center" vertical="center" wrapText="1"/>
    </xf>
    <xf numFmtId="0" fontId="6" fillId="5" borderId="8" xfId="0" applyFont="1" applyFill="1" applyBorder="1" applyAlignment="1">
      <alignment horizontal="center" vertical="center" wrapText="1"/>
    </xf>
    <xf numFmtId="43" fontId="4" fillId="5" borderId="1" xfId="6" applyFont="1" applyFill="1" applyBorder="1" applyAlignment="1">
      <alignment vertical="center"/>
    </xf>
    <xf numFmtId="43" fontId="4" fillId="5" borderId="3" xfId="6" applyFont="1" applyFill="1" applyBorder="1" applyAlignment="1">
      <alignment horizontal="justify" vertical="center"/>
    </xf>
    <xf numFmtId="43" fontId="4" fillId="5" borderId="4" xfId="6" applyFont="1" applyFill="1" applyBorder="1" applyAlignment="1">
      <alignment horizontal="justify" vertical="center"/>
    </xf>
    <xf numFmtId="43" fontId="4" fillId="5" borderId="5" xfId="6" applyFont="1" applyFill="1" applyBorder="1" applyAlignment="1">
      <alignment horizontal="justify" vertical="center"/>
    </xf>
    <xf numFmtId="0" fontId="11" fillId="9" borderId="4" xfId="0" applyFont="1" applyFill="1" applyBorder="1" applyAlignment="1">
      <alignment horizontal="justify" vertical="justify"/>
    </xf>
    <xf numFmtId="0" fontId="12" fillId="0" borderId="1" xfId="0" applyFont="1" applyFill="1" applyBorder="1" applyAlignment="1">
      <alignment horizontal="justify" vertical="justify" wrapText="1"/>
    </xf>
    <xf numFmtId="0" fontId="11" fillId="9" borderId="1" xfId="0" applyFont="1" applyFill="1" applyBorder="1" applyAlignment="1">
      <alignment horizontal="justify" vertical="justify"/>
    </xf>
    <xf numFmtId="0" fontId="11" fillId="10" borderId="4" xfId="0" applyFont="1" applyFill="1" applyBorder="1" applyAlignment="1">
      <alignment horizontal="justify" vertical="justify"/>
    </xf>
    <xf numFmtId="0" fontId="11" fillId="10" borderId="2" xfId="0" applyFont="1" applyFill="1" applyBorder="1" applyAlignment="1">
      <alignment horizontal="justify" vertical="justify"/>
    </xf>
    <xf numFmtId="0" fontId="11" fillId="9" borderId="9" xfId="0" applyFont="1" applyFill="1" applyBorder="1" applyAlignment="1">
      <alignment horizontal="justify" vertical="justify"/>
    </xf>
    <xf numFmtId="0" fontId="11" fillId="0" borderId="30" xfId="0" applyFont="1" applyBorder="1" applyAlignment="1">
      <alignment horizontal="justify" vertical="justify"/>
    </xf>
    <xf numFmtId="0" fontId="12" fillId="0" borderId="0" xfId="0" applyFont="1" applyAlignment="1">
      <alignment horizontal="justify" vertical="justify"/>
    </xf>
    <xf numFmtId="169" fontId="7" fillId="0" borderId="17" xfId="2" applyFont="1" applyBorder="1" applyAlignment="1">
      <alignment vertical="center" wrapText="1"/>
    </xf>
    <xf numFmtId="169" fontId="7" fillId="0" borderId="14" xfId="2" applyFont="1" applyBorder="1" applyAlignment="1">
      <alignment vertical="center" wrapText="1"/>
    </xf>
    <xf numFmtId="169" fontId="7" fillId="0" borderId="7" xfId="2" applyFont="1" applyBorder="1" applyAlignment="1">
      <alignment horizontal="left" vertical="center" wrapText="1"/>
    </xf>
    <xf numFmtId="169" fontId="7" fillId="0" borderId="17" xfId="2" applyFont="1" applyBorder="1" applyAlignment="1">
      <alignment horizontal="left" vertical="center" wrapText="1"/>
    </xf>
    <xf numFmtId="43" fontId="7" fillId="0" borderId="3" xfId="21" applyNumberFormat="1" applyFont="1" applyFill="1" applyBorder="1" applyAlignment="1">
      <alignment horizontal="center" vertical="center"/>
    </xf>
    <xf numFmtId="0" fontId="7" fillId="5" borderId="15" xfId="0" applyFont="1" applyFill="1" applyBorder="1"/>
    <xf numFmtId="43" fontId="7" fillId="0" borderId="3" xfId="0" applyNumberFormat="1" applyFont="1" applyFill="1" applyBorder="1" applyAlignment="1">
      <alignment horizontal="center" vertical="center"/>
    </xf>
    <xf numFmtId="43" fontId="7" fillId="5" borderId="3" xfId="21" applyNumberFormat="1" applyFont="1" applyFill="1" applyBorder="1" applyAlignment="1">
      <alignment horizontal="center" vertical="center"/>
    </xf>
    <xf numFmtId="0" fontId="7" fillId="5" borderId="3" xfId="0" applyFont="1" applyFill="1" applyBorder="1" applyAlignment="1">
      <alignment horizontal="center" vertical="center" wrapText="1"/>
    </xf>
    <xf numFmtId="43" fontId="7" fillId="5" borderId="6" xfId="21" applyNumberFormat="1" applyFont="1" applyFill="1" applyBorder="1" applyAlignment="1">
      <alignment horizontal="center" vertical="center"/>
    </xf>
    <xf numFmtId="43" fontId="7" fillId="5" borderId="13" xfId="21" applyNumberFormat="1" applyFont="1" applyFill="1" applyBorder="1" applyAlignment="1">
      <alignment horizontal="center" vertical="center"/>
    </xf>
    <xf numFmtId="0" fontId="7" fillId="5" borderId="4" xfId="0" applyFont="1" applyFill="1" applyBorder="1" applyAlignment="1">
      <alignment horizontal="center" vertical="center" wrapText="1"/>
    </xf>
    <xf numFmtId="43" fontId="6" fillId="3" borderId="1" xfId="0" applyNumberFormat="1" applyFont="1" applyFill="1" applyBorder="1" applyAlignment="1">
      <alignment horizontal="center" vertical="center" wrapText="1"/>
    </xf>
    <xf numFmtId="0" fontId="6" fillId="3" borderId="1" xfId="0" applyFont="1" applyFill="1" applyBorder="1" applyAlignment="1">
      <alignment horizontal="right" vertical="center" wrapText="1"/>
    </xf>
    <xf numFmtId="1" fontId="6" fillId="20" borderId="4" xfId="0" applyNumberFormat="1" applyFont="1" applyFill="1" applyBorder="1" applyAlignment="1">
      <alignment horizontal="left" vertical="center" wrapText="1"/>
    </xf>
    <xf numFmtId="0" fontId="6" fillId="20" borderId="4" xfId="0" applyFont="1" applyFill="1" applyBorder="1" applyAlignment="1">
      <alignment vertical="center"/>
    </xf>
    <xf numFmtId="0" fontId="6" fillId="20" borderId="1" xfId="0" applyFont="1" applyFill="1" applyBorder="1" applyAlignment="1">
      <alignment horizontal="center" vertical="center" wrapText="1"/>
    </xf>
    <xf numFmtId="0" fontId="6" fillId="20" borderId="1" xfId="0" applyFont="1" applyFill="1" applyBorder="1" applyAlignment="1">
      <alignment horizontal="justify" vertical="center" wrapText="1"/>
    </xf>
    <xf numFmtId="0" fontId="6" fillId="20" borderId="18" xfId="0" applyFont="1" applyFill="1" applyBorder="1" applyAlignment="1">
      <alignment horizontal="center" vertical="center" wrapText="1"/>
    </xf>
    <xf numFmtId="9" fontId="6" fillId="20" borderId="1" xfId="5" applyNumberFormat="1" applyFont="1" applyFill="1" applyBorder="1" applyAlignment="1">
      <alignment horizontal="center" vertical="center" wrapText="1"/>
    </xf>
    <xf numFmtId="43" fontId="6" fillId="20" borderId="1" xfId="0" applyNumberFormat="1" applyFont="1" applyFill="1" applyBorder="1" applyAlignment="1">
      <alignment horizontal="center" vertical="center" wrapText="1"/>
    </xf>
    <xf numFmtId="0" fontId="6" fillId="20" borderId="1" xfId="0" applyFont="1" applyFill="1" applyBorder="1" applyAlignment="1">
      <alignment horizontal="right" vertical="center" wrapText="1"/>
    </xf>
    <xf numFmtId="0" fontId="7" fillId="20" borderId="1" xfId="0" applyFont="1" applyFill="1" applyBorder="1" applyAlignment="1">
      <alignment horizontal="center" vertical="center" wrapText="1"/>
    </xf>
    <xf numFmtId="1" fontId="6" fillId="20" borderId="1" xfId="0" applyNumberFormat="1" applyFont="1" applyFill="1" applyBorder="1" applyAlignment="1">
      <alignment horizontal="center" vertical="center" wrapText="1"/>
    </xf>
    <xf numFmtId="1" fontId="6" fillId="20" borderId="18" xfId="0" applyNumberFormat="1" applyFont="1" applyFill="1" applyBorder="1" applyAlignment="1">
      <alignment horizontal="center" vertical="center" wrapText="1"/>
    </xf>
    <xf numFmtId="3" fontId="6" fillId="20" borderId="1" xfId="0" applyNumberFormat="1" applyFont="1" applyFill="1" applyBorder="1" applyAlignment="1">
      <alignment horizontal="center" vertical="center" wrapText="1"/>
    </xf>
    <xf numFmtId="4" fontId="6" fillId="20" borderId="1" xfId="0" applyNumberFormat="1" applyFont="1" applyFill="1" applyBorder="1" applyAlignment="1">
      <alignment horizontal="center" vertical="center" wrapText="1"/>
    </xf>
    <xf numFmtId="9" fontId="7" fillId="20" borderId="1" xfId="5" applyFont="1" applyFill="1" applyBorder="1" applyAlignment="1">
      <alignment horizontal="center" vertical="center" wrapText="1"/>
    </xf>
    <xf numFmtId="0" fontId="7" fillId="20" borderId="18" xfId="0" applyFont="1" applyFill="1" applyBorder="1" applyAlignment="1">
      <alignment horizontal="center" vertical="center" wrapText="1"/>
    </xf>
    <xf numFmtId="170" fontId="6" fillId="20" borderId="1" xfId="0" applyNumberFormat="1" applyFont="1" applyFill="1" applyBorder="1" applyAlignment="1">
      <alignment horizontal="center" vertical="center" wrapText="1"/>
    </xf>
    <xf numFmtId="170" fontId="7" fillId="20" borderId="1" xfId="0" applyNumberFormat="1" applyFont="1" applyFill="1" applyBorder="1" applyAlignment="1">
      <alignment horizontal="center" vertical="center" wrapText="1"/>
    </xf>
    <xf numFmtId="1" fontId="6" fillId="21" borderId="18" xfId="0" applyNumberFormat="1" applyFont="1" applyFill="1" applyBorder="1" applyAlignment="1">
      <alignment horizontal="center" vertical="center"/>
    </xf>
    <xf numFmtId="0" fontId="6" fillId="21" borderId="1" xfId="0" applyFont="1" applyFill="1" applyBorder="1" applyAlignment="1">
      <alignment horizontal="center" vertical="center" wrapText="1"/>
    </xf>
    <xf numFmtId="0" fontId="6" fillId="21" borderId="1" xfId="0" applyFont="1" applyFill="1" applyBorder="1" applyAlignment="1">
      <alignment horizontal="justify" vertical="center" wrapText="1"/>
    </xf>
    <xf numFmtId="0" fontId="6" fillId="21" borderId="18" xfId="0" applyFont="1" applyFill="1" applyBorder="1" applyAlignment="1">
      <alignment horizontal="center" vertical="center" wrapText="1"/>
    </xf>
    <xf numFmtId="9" fontId="6" fillId="21" borderId="1" xfId="5" applyNumberFormat="1" applyFont="1" applyFill="1" applyBorder="1" applyAlignment="1">
      <alignment horizontal="center" vertical="center" wrapText="1"/>
    </xf>
    <xf numFmtId="43" fontId="6" fillId="21" borderId="1" xfId="0" applyNumberFormat="1" applyFont="1" applyFill="1" applyBorder="1" applyAlignment="1">
      <alignment horizontal="center" vertical="center" wrapText="1"/>
    </xf>
    <xf numFmtId="0" fontId="6" fillId="21" borderId="1" xfId="0" applyFont="1" applyFill="1" applyBorder="1" applyAlignment="1">
      <alignment horizontal="right" vertical="center" wrapText="1"/>
    </xf>
    <xf numFmtId="0" fontId="7" fillId="21" borderId="1" xfId="0" applyFont="1" applyFill="1" applyBorder="1" applyAlignment="1">
      <alignment horizontal="center" vertical="center" wrapText="1"/>
    </xf>
    <xf numFmtId="1" fontId="6" fillId="21" borderId="1" xfId="0" applyNumberFormat="1" applyFont="1" applyFill="1" applyBorder="1" applyAlignment="1">
      <alignment horizontal="center" vertical="center" wrapText="1"/>
    </xf>
    <xf numFmtId="1" fontId="6" fillId="21" borderId="18" xfId="0" applyNumberFormat="1" applyFont="1" applyFill="1" applyBorder="1" applyAlignment="1">
      <alignment horizontal="center" vertical="center" wrapText="1"/>
    </xf>
    <xf numFmtId="3" fontId="6" fillId="21" borderId="1" xfId="0" applyNumberFormat="1" applyFont="1" applyFill="1" applyBorder="1" applyAlignment="1">
      <alignment horizontal="center" vertical="center" wrapText="1"/>
    </xf>
    <xf numFmtId="4" fontId="6" fillId="21" borderId="1" xfId="0" applyNumberFormat="1" applyFont="1" applyFill="1" applyBorder="1" applyAlignment="1">
      <alignment horizontal="center" vertical="center" wrapText="1"/>
    </xf>
    <xf numFmtId="9" fontId="7" fillId="21" borderId="1" xfId="5" applyFont="1" applyFill="1" applyBorder="1" applyAlignment="1">
      <alignment horizontal="center" vertical="center" wrapText="1"/>
    </xf>
    <xf numFmtId="0" fontId="7" fillId="21" borderId="18" xfId="0" applyFont="1" applyFill="1" applyBorder="1" applyAlignment="1">
      <alignment horizontal="center" vertical="center" wrapText="1"/>
    </xf>
    <xf numFmtId="170" fontId="6" fillId="21" borderId="1" xfId="0" applyNumberFormat="1" applyFont="1" applyFill="1" applyBorder="1" applyAlignment="1">
      <alignment horizontal="center" vertical="center" wrapText="1"/>
    </xf>
    <xf numFmtId="170" fontId="7" fillId="21" borderId="1" xfId="0" applyNumberFormat="1" applyFont="1" applyFill="1" applyBorder="1" applyAlignment="1">
      <alignment horizontal="center" vertical="center" wrapText="1"/>
    </xf>
    <xf numFmtId="1" fontId="6" fillId="9" borderId="8" xfId="0" applyNumberFormat="1" applyFont="1" applyFill="1" applyBorder="1" applyAlignment="1">
      <alignment horizontal="center" vertical="center" wrapText="1"/>
    </xf>
    <xf numFmtId="1" fontId="6" fillId="9" borderId="4" xfId="0" applyNumberFormat="1" applyFont="1" applyFill="1" applyBorder="1" applyAlignment="1">
      <alignment horizontal="justify" vertical="center"/>
    </xf>
    <xf numFmtId="9" fontId="6" fillId="9" borderId="4" xfId="5" applyNumberFormat="1" applyFont="1" applyFill="1" applyBorder="1" applyAlignment="1">
      <alignment horizontal="center" vertical="center"/>
    </xf>
    <xf numFmtId="43" fontId="6" fillId="9" borderId="4" xfId="0" applyNumberFormat="1" applyFont="1" applyFill="1" applyBorder="1" applyAlignment="1">
      <alignment horizontal="justify" vertical="center"/>
    </xf>
    <xf numFmtId="1" fontId="6" fillId="9" borderId="4" xfId="0" applyNumberFormat="1" applyFont="1" applyFill="1" applyBorder="1" applyAlignment="1">
      <alignment vertical="center"/>
    </xf>
    <xf numFmtId="1" fontId="6" fillId="9" borderId="5" xfId="0" applyNumberFormat="1" applyFont="1" applyFill="1" applyBorder="1" applyAlignment="1">
      <alignment horizontal="justify" vertical="center"/>
    </xf>
    <xf numFmtId="1" fontId="7" fillId="9" borderId="0" xfId="0" applyNumberFormat="1" applyFont="1" applyFill="1"/>
    <xf numFmtId="0" fontId="7" fillId="9" borderId="0" xfId="0" applyFont="1" applyFill="1" applyAlignment="1">
      <alignment horizontal="center" vertical="center"/>
    </xf>
    <xf numFmtId="0" fontId="7" fillId="9" borderId="0" xfId="0" applyFont="1" applyFill="1"/>
    <xf numFmtId="4" fontId="7" fillId="9" borderId="0" xfId="0" applyNumberFormat="1" applyFont="1" applyFill="1" applyAlignment="1">
      <alignment horizontal="center" vertical="center"/>
    </xf>
    <xf numFmtId="9" fontId="7" fillId="9" borderId="0" xfId="5" applyFont="1" applyFill="1" applyAlignment="1">
      <alignment horizontal="center" vertical="center"/>
    </xf>
    <xf numFmtId="0" fontId="7" fillId="9" borderId="5" xfId="0" applyFont="1" applyFill="1" applyBorder="1"/>
    <xf numFmtId="2" fontId="7" fillId="0" borderId="1" xfId="6" applyNumberFormat="1" applyFont="1" applyFill="1" applyBorder="1" applyAlignment="1" applyProtection="1">
      <alignment horizontal="center" vertical="center" wrapText="1"/>
      <protection locked="0"/>
    </xf>
    <xf numFmtId="9" fontId="7" fillId="5" borderId="1" xfId="5" applyNumberFormat="1" applyFont="1" applyFill="1" applyBorder="1" applyAlignment="1">
      <alignment horizontal="center" vertical="center" wrapText="1"/>
    </xf>
    <xf numFmtId="43" fontId="7" fillId="5" borderId="3" xfId="21" applyNumberFormat="1" applyFont="1" applyFill="1" applyBorder="1" applyAlignment="1">
      <alignment horizontal="center" vertical="center" wrapText="1"/>
    </xf>
    <xf numFmtId="39" fontId="7" fillId="0" borderId="18" xfId="0" applyNumberFormat="1" applyFont="1" applyFill="1" applyBorder="1" applyAlignment="1" applyProtection="1">
      <alignment horizontal="right" vertical="center" wrapText="1"/>
      <protection locked="0"/>
    </xf>
    <xf numFmtId="1" fontId="7" fillId="5" borderId="14" xfId="0" applyNumberFormat="1" applyFont="1" applyFill="1" applyBorder="1" applyAlignment="1">
      <alignment horizontal="center" vertical="center" wrapText="1"/>
    </xf>
    <xf numFmtId="39" fontId="7" fillId="0" borderId="1" xfId="0" applyNumberFormat="1" applyFont="1" applyFill="1" applyBorder="1" applyAlignment="1" applyProtection="1">
      <alignment horizontal="center" vertical="center" wrapText="1"/>
      <protection locked="0"/>
    </xf>
    <xf numFmtId="4" fontId="7" fillId="5" borderId="1" xfId="0" applyNumberFormat="1" applyFont="1" applyFill="1" applyBorder="1" applyAlignment="1">
      <alignment horizontal="center" vertical="center" wrapText="1"/>
    </xf>
    <xf numFmtId="179" fontId="7" fillId="5" borderId="3" xfId="0" applyNumberFormat="1"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17" xfId="0" applyFont="1" applyFill="1" applyBorder="1" applyAlignment="1">
      <alignment horizontal="center" vertical="center" wrapText="1"/>
    </xf>
    <xf numFmtId="39" fontId="7" fillId="0" borderId="18" xfId="0" applyNumberFormat="1" applyFont="1" applyFill="1" applyBorder="1" applyAlignment="1" applyProtection="1">
      <alignment horizontal="center" vertical="center" wrapText="1"/>
      <protection locked="0"/>
    </xf>
    <xf numFmtId="0" fontId="6" fillId="5" borderId="18" xfId="0" applyFont="1" applyFill="1" applyBorder="1" applyAlignment="1">
      <alignment horizontal="center" vertical="center" wrapText="1"/>
    </xf>
    <xf numFmtId="0" fontId="6" fillId="5" borderId="14" xfId="0" applyFont="1" applyFill="1" applyBorder="1" applyAlignment="1">
      <alignment horizontal="center" vertical="center" wrapText="1"/>
    </xf>
    <xf numFmtId="43" fontId="7" fillId="5" borderId="6" xfId="4" applyNumberFormat="1" applyFont="1" applyFill="1" applyBorder="1" applyAlignment="1">
      <alignment vertical="center"/>
    </xf>
    <xf numFmtId="1" fontId="7" fillId="5" borderId="17" xfId="0" applyNumberFormat="1" applyFont="1" applyFill="1" applyBorder="1" applyAlignment="1">
      <alignment horizontal="center" vertical="center" wrapText="1"/>
    </xf>
    <xf numFmtId="1" fontId="7" fillId="9" borderId="15" xfId="0" applyNumberFormat="1" applyFont="1" applyFill="1" applyBorder="1" applyAlignment="1">
      <alignment horizontal="center" vertical="center" wrapText="1"/>
    </xf>
    <xf numFmtId="0" fontId="7" fillId="9" borderId="16" xfId="0" applyFont="1" applyFill="1" applyBorder="1" applyAlignment="1">
      <alignment horizontal="center" vertical="center" wrapText="1"/>
    </xf>
    <xf numFmtId="0" fontId="7" fillId="9" borderId="0"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9" borderId="5" xfId="0" applyFont="1" applyFill="1" applyBorder="1" applyAlignment="1">
      <alignment horizontal="center" vertical="center" wrapText="1"/>
    </xf>
    <xf numFmtId="1" fontId="7" fillId="9" borderId="1" xfId="0" applyNumberFormat="1" applyFont="1" applyFill="1" applyBorder="1" applyAlignment="1">
      <alignment horizontal="center" vertical="center"/>
    </xf>
    <xf numFmtId="1" fontId="6" fillId="9" borderId="18" xfId="0" applyNumberFormat="1" applyFont="1" applyFill="1" applyBorder="1" applyAlignment="1">
      <alignment horizontal="center" vertical="center" wrapText="1"/>
    </xf>
    <xf numFmtId="1" fontId="6" fillId="9" borderId="1" xfId="0" applyNumberFormat="1" applyFont="1" applyFill="1" applyBorder="1" applyAlignment="1">
      <alignment horizontal="center" vertical="center" wrapText="1"/>
    </xf>
    <xf numFmtId="1" fontId="6" fillId="9" borderId="13" xfId="0" applyNumberFormat="1" applyFont="1" applyFill="1" applyBorder="1" applyAlignment="1">
      <alignment horizontal="center" vertical="center" wrapText="1"/>
    </xf>
    <xf numFmtId="0" fontId="7" fillId="9" borderId="1" xfId="0" applyFont="1" applyFill="1" applyBorder="1" applyAlignment="1">
      <alignment horizontal="center" vertical="center" wrapText="1"/>
    </xf>
    <xf numFmtId="178" fontId="6" fillId="9" borderId="1" xfId="0" applyNumberFormat="1" applyFont="1" applyFill="1" applyBorder="1" applyAlignment="1">
      <alignment horizontal="center" vertical="center"/>
    </xf>
    <xf numFmtId="4" fontId="7" fillId="9" borderId="1" xfId="0" applyNumberFormat="1" applyFont="1" applyFill="1" applyBorder="1" applyAlignment="1">
      <alignment horizontal="center" vertical="center"/>
    </xf>
    <xf numFmtId="9" fontId="7" fillId="9" borderId="1" xfId="5" applyFont="1" applyFill="1" applyBorder="1" applyAlignment="1">
      <alignment horizontal="center" vertical="center" wrapText="1"/>
    </xf>
    <xf numFmtId="179" fontId="6" fillId="9" borderId="4" xfId="0" applyNumberFormat="1" applyFont="1" applyFill="1" applyBorder="1" applyAlignment="1">
      <alignment horizontal="center" vertical="center"/>
    </xf>
    <xf numFmtId="170" fontId="7" fillId="9" borderId="1" xfId="0" applyNumberFormat="1" applyFont="1" applyFill="1" applyBorder="1" applyAlignment="1">
      <alignment horizontal="center" vertical="center" wrapText="1"/>
    </xf>
    <xf numFmtId="179" fontId="6" fillId="9" borderId="1" xfId="0" applyNumberFormat="1" applyFont="1" applyFill="1" applyBorder="1" applyAlignment="1">
      <alignment horizontal="center" vertical="center"/>
    </xf>
    <xf numFmtId="2" fontId="7" fillId="0" borderId="18" xfId="6" applyNumberFormat="1" applyFont="1" applyFill="1" applyBorder="1" applyAlignment="1" applyProtection="1">
      <alignment horizontal="center" vertical="center" wrapText="1"/>
      <protection locked="0"/>
    </xf>
    <xf numFmtId="43" fontId="7" fillId="5" borderId="3" xfId="4" applyNumberFormat="1" applyFont="1" applyFill="1" applyBorder="1" applyAlignment="1">
      <alignment vertical="center"/>
    </xf>
    <xf numFmtId="1" fontId="7" fillId="5" borderId="5" xfId="0" applyNumberFormat="1" applyFont="1" applyFill="1" applyBorder="1" applyAlignment="1">
      <alignment horizontal="center" vertical="center" wrapText="1"/>
    </xf>
    <xf numFmtId="4" fontId="7" fillId="0" borderId="18" xfId="0" applyNumberFormat="1" applyFont="1" applyFill="1" applyBorder="1" applyAlignment="1" applyProtection="1">
      <alignment horizontal="center" vertical="center" wrapText="1"/>
      <protection locked="0"/>
    </xf>
    <xf numFmtId="179" fontId="7" fillId="5" borderId="9" xfId="0" applyNumberFormat="1" applyFont="1" applyFill="1" applyBorder="1" applyAlignment="1">
      <alignment horizontal="center" vertical="center" wrapText="1"/>
    </xf>
    <xf numFmtId="2" fontId="7" fillId="0" borderId="15" xfId="6" applyNumberFormat="1" applyFont="1" applyFill="1" applyBorder="1" applyAlignment="1" applyProtection="1">
      <alignment horizontal="center" vertical="center" wrapText="1"/>
      <protection locked="0"/>
    </xf>
    <xf numFmtId="0" fontId="6" fillId="9" borderId="5" xfId="0" applyFont="1" applyFill="1" applyBorder="1" applyAlignment="1">
      <alignment horizontal="center" vertical="center" wrapText="1"/>
    </xf>
    <xf numFmtId="0" fontId="6" fillId="9" borderId="1" xfId="0" applyFont="1" applyFill="1" applyBorder="1" applyAlignment="1">
      <alignment horizontal="right" vertical="center" wrapText="1"/>
    </xf>
    <xf numFmtId="4" fontId="7" fillId="9" borderId="1" xfId="0" applyNumberFormat="1" applyFont="1" applyFill="1" applyBorder="1" applyAlignment="1">
      <alignment horizontal="center" vertical="center" wrapText="1"/>
    </xf>
    <xf numFmtId="39" fontId="7" fillId="5" borderId="1" xfId="0" applyNumberFormat="1" applyFont="1" applyFill="1" applyBorder="1" applyAlignment="1" applyProtection="1">
      <alignment horizontal="right" vertical="center" wrapText="1"/>
      <protection locked="0"/>
    </xf>
    <xf numFmtId="39" fontId="7" fillId="5" borderId="1" xfId="0" applyNumberFormat="1" applyFont="1" applyFill="1" applyBorder="1" applyAlignment="1" applyProtection="1">
      <alignment horizontal="center" vertical="center" wrapText="1"/>
      <protection locked="0"/>
    </xf>
    <xf numFmtId="43" fontId="7" fillId="5" borderId="3" xfId="0" applyNumberFormat="1" applyFont="1" applyFill="1" applyBorder="1" applyAlignment="1">
      <alignment horizontal="right" vertical="center"/>
    </xf>
    <xf numFmtId="43" fontId="7" fillId="5" borderId="3" xfId="0" applyNumberFormat="1" applyFont="1" applyFill="1" applyBorder="1" applyAlignment="1">
      <alignment vertical="center" wrapText="1"/>
    </xf>
    <xf numFmtId="0" fontId="7" fillId="5" borderId="9" xfId="0" applyFont="1" applyFill="1" applyBorder="1" applyAlignment="1">
      <alignment vertical="center"/>
    </xf>
    <xf numFmtId="0" fontId="7" fillId="5" borderId="1" xfId="0" applyFont="1" applyFill="1" applyBorder="1" applyAlignment="1">
      <alignment horizontal="right" vertical="center" wrapText="1"/>
    </xf>
    <xf numFmtId="179" fontId="7" fillId="5" borderId="3" xfId="0" applyNumberFormat="1" applyFont="1" applyFill="1" applyBorder="1" applyAlignment="1">
      <alignment horizontal="center" vertical="center"/>
    </xf>
    <xf numFmtId="0" fontId="7" fillId="5" borderId="16" xfId="0" applyFont="1" applyFill="1" applyBorder="1" applyAlignment="1">
      <alignment vertical="center"/>
    </xf>
    <xf numFmtId="1" fontId="7" fillId="5" borderId="5" xfId="0" applyNumberFormat="1" applyFont="1" applyFill="1" applyBorder="1" applyAlignment="1">
      <alignment horizontal="center" vertical="center"/>
    </xf>
    <xf numFmtId="0" fontId="7" fillId="5" borderId="5" xfId="0" applyFont="1" applyFill="1" applyBorder="1" applyAlignment="1">
      <alignment horizontal="center" vertical="center"/>
    </xf>
    <xf numFmtId="43" fontId="7" fillId="0" borderId="3" xfId="0" applyNumberFormat="1" applyFont="1" applyFill="1" applyBorder="1" applyAlignment="1">
      <alignment horizontal="center" vertical="center" wrapText="1"/>
    </xf>
    <xf numFmtId="1" fontId="7" fillId="5" borderId="15" xfId="0" applyNumberFormat="1" applyFont="1" applyFill="1" applyBorder="1" applyAlignment="1">
      <alignment horizontal="center" vertical="center" textRotation="180" wrapText="1"/>
    </xf>
    <xf numFmtId="0" fontId="7" fillId="5" borderId="13" xfId="0" applyFont="1" applyFill="1" applyBorder="1" applyAlignment="1">
      <alignment vertical="center"/>
    </xf>
    <xf numFmtId="0" fontId="7" fillId="5" borderId="2" xfId="0" applyFont="1" applyFill="1" applyBorder="1" applyAlignment="1">
      <alignment vertical="center"/>
    </xf>
    <xf numFmtId="0" fontId="6" fillId="5" borderId="13" xfId="0" applyFont="1" applyFill="1" applyBorder="1" applyAlignment="1">
      <alignment horizontal="center" vertical="center" wrapText="1"/>
    </xf>
    <xf numFmtId="43" fontId="7" fillId="5" borderId="3" xfId="0" applyNumberFormat="1" applyFont="1" applyFill="1" applyBorder="1" applyAlignment="1">
      <alignment horizontal="center" vertical="center"/>
    </xf>
    <xf numFmtId="1" fontId="7" fillId="5" borderId="18" xfId="0" applyNumberFormat="1" applyFont="1" applyFill="1" applyBorder="1" applyAlignment="1">
      <alignment horizontal="center" vertical="center" textRotation="180" wrapText="1"/>
    </xf>
    <xf numFmtId="0" fontId="6" fillId="20" borderId="4" xfId="0" applyFont="1" applyFill="1" applyBorder="1" applyAlignment="1">
      <alignment horizontal="justify" vertical="center"/>
    </xf>
    <xf numFmtId="0" fontId="6" fillId="20" borderId="4" xfId="0" applyFont="1" applyFill="1" applyBorder="1" applyAlignment="1">
      <alignment horizontal="center" vertical="center"/>
    </xf>
    <xf numFmtId="9" fontId="6" fillId="20" borderId="4" xfId="5" applyNumberFormat="1" applyFont="1" applyFill="1" applyBorder="1" applyAlignment="1">
      <alignment horizontal="center" vertical="center"/>
    </xf>
    <xf numFmtId="43" fontId="6" fillId="20" borderId="4" xfId="0" applyNumberFormat="1" applyFont="1" applyFill="1" applyBorder="1" applyAlignment="1">
      <alignment vertical="center"/>
    </xf>
    <xf numFmtId="43" fontId="6" fillId="20" borderId="4" xfId="0" applyNumberFormat="1" applyFont="1" applyFill="1" applyBorder="1" applyAlignment="1">
      <alignment horizontal="center" vertical="center"/>
    </xf>
    <xf numFmtId="1" fontId="6" fillId="20" borderId="4" xfId="0" applyNumberFormat="1" applyFont="1" applyFill="1" applyBorder="1" applyAlignment="1">
      <alignment horizontal="center" vertical="center"/>
    </xf>
    <xf numFmtId="1" fontId="6" fillId="20" borderId="4" xfId="0" applyNumberFormat="1" applyFont="1" applyFill="1" applyBorder="1" applyAlignment="1">
      <alignment vertical="center"/>
    </xf>
    <xf numFmtId="1" fontId="6" fillId="20" borderId="13" xfId="0" applyNumberFormat="1" applyFont="1" applyFill="1" applyBorder="1" applyAlignment="1">
      <alignment horizontal="center" vertical="center" wrapText="1"/>
    </xf>
    <xf numFmtId="4" fontId="7" fillId="20" borderId="1" xfId="0" applyNumberFormat="1" applyFont="1" applyFill="1" applyBorder="1" applyAlignment="1">
      <alignment horizontal="center" vertical="center" wrapText="1"/>
    </xf>
    <xf numFmtId="179" fontId="6" fillId="20" borderId="4" xfId="0" applyNumberFormat="1" applyFont="1" applyFill="1" applyBorder="1" applyAlignment="1">
      <alignment horizontal="center" vertical="center"/>
    </xf>
    <xf numFmtId="179" fontId="6" fillId="20" borderId="1" xfId="0" applyNumberFormat="1" applyFont="1" applyFill="1" applyBorder="1" applyAlignment="1">
      <alignment horizontal="center" vertical="center"/>
    </xf>
    <xf numFmtId="0" fontId="6" fillId="20" borderId="5" xfId="0" applyFont="1" applyFill="1" applyBorder="1" applyAlignment="1">
      <alignment horizontal="justify" vertical="center"/>
    </xf>
    <xf numFmtId="1" fontId="6" fillId="8" borderId="14" xfId="0" applyNumberFormat="1" applyFont="1" applyFill="1" applyBorder="1" applyAlignment="1">
      <alignment horizontal="center" vertical="center"/>
    </xf>
    <xf numFmtId="0" fontId="6" fillId="8" borderId="2" xfId="0" applyFont="1" applyFill="1" applyBorder="1" applyAlignment="1">
      <alignment vertical="center"/>
    </xf>
    <xf numFmtId="0" fontId="6" fillId="8" borderId="2" xfId="0" applyFont="1" applyFill="1" applyBorder="1" applyAlignment="1">
      <alignment horizontal="justify" vertical="center"/>
    </xf>
    <xf numFmtId="0" fontId="6" fillId="8" borderId="1" xfId="0" applyFont="1" applyFill="1" applyBorder="1" applyAlignment="1">
      <alignment horizontal="center" vertical="center" wrapText="1"/>
    </xf>
    <xf numFmtId="1" fontId="6" fillId="8" borderId="2" xfId="0" applyNumberFormat="1" applyFont="1" applyFill="1" applyBorder="1" applyAlignment="1">
      <alignment horizontal="center" vertical="center"/>
    </xf>
    <xf numFmtId="9" fontId="6" fillId="8" borderId="2" xfId="5" applyNumberFormat="1" applyFont="1" applyFill="1" applyBorder="1" applyAlignment="1">
      <alignment horizontal="center" vertical="center"/>
    </xf>
    <xf numFmtId="43" fontId="6" fillId="8" borderId="2" xfId="0" applyNumberFormat="1" applyFont="1" applyFill="1" applyBorder="1" applyAlignment="1">
      <alignment vertical="center"/>
    </xf>
    <xf numFmtId="43" fontId="6" fillId="8" borderId="2" xfId="0" applyNumberFormat="1" applyFont="1" applyFill="1" applyBorder="1" applyAlignment="1">
      <alignment horizontal="center" vertical="center"/>
    </xf>
    <xf numFmtId="0" fontId="6" fillId="8" borderId="1" xfId="0" applyFont="1" applyFill="1" applyBorder="1" applyAlignment="1">
      <alignment horizontal="right" vertical="center" wrapText="1"/>
    </xf>
    <xf numFmtId="0" fontId="7" fillId="8" borderId="1" xfId="0" applyFont="1" applyFill="1" applyBorder="1" applyAlignment="1">
      <alignment horizontal="center" vertical="center" wrapText="1"/>
    </xf>
    <xf numFmtId="0" fontId="6" fillId="8" borderId="2" xfId="0" applyFont="1" applyFill="1" applyBorder="1" applyAlignment="1">
      <alignment horizontal="center" vertical="center"/>
    </xf>
    <xf numFmtId="1" fontId="6" fillId="8" borderId="2" xfId="0" applyNumberFormat="1" applyFont="1" applyFill="1" applyBorder="1" applyAlignment="1">
      <alignment vertical="center"/>
    </xf>
    <xf numFmtId="1" fontId="6" fillId="8" borderId="18" xfId="0" applyNumberFormat="1" applyFont="1" applyFill="1" applyBorder="1" applyAlignment="1">
      <alignment horizontal="center" vertical="center" wrapText="1"/>
    </xf>
    <xf numFmtId="1" fontId="6" fillId="8" borderId="2" xfId="0" applyNumberFormat="1" applyFont="1" applyFill="1" applyBorder="1" applyAlignment="1">
      <alignment horizontal="justify" vertical="center"/>
    </xf>
    <xf numFmtId="1" fontId="6" fillId="8" borderId="1" xfId="0" applyNumberFormat="1" applyFont="1" applyFill="1" applyBorder="1" applyAlignment="1">
      <alignment horizontal="center" vertical="center" wrapText="1"/>
    </xf>
    <xf numFmtId="1" fontId="6" fillId="8" borderId="13" xfId="0" applyNumberFormat="1" applyFont="1" applyFill="1" applyBorder="1" applyAlignment="1">
      <alignment horizontal="center" vertical="center" wrapText="1"/>
    </xf>
    <xf numFmtId="4" fontId="7" fillId="8" borderId="1" xfId="0" applyNumberFormat="1" applyFont="1" applyFill="1" applyBorder="1" applyAlignment="1">
      <alignment horizontal="center" vertical="center" wrapText="1"/>
    </xf>
    <xf numFmtId="9" fontId="7" fillId="8" borderId="1" xfId="5" applyFont="1" applyFill="1" applyBorder="1" applyAlignment="1">
      <alignment horizontal="center" vertical="center" wrapText="1"/>
    </xf>
    <xf numFmtId="179" fontId="6" fillId="8" borderId="2" xfId="0" applyNumberFormat="1" applyFont="1" applyFill="1" applyBorder="1" applyAlignment="1">
      <alignment horizontal="center" vertical="center"/>
    </xf>
    <xf numFmtId="170" fontId="7" fillId="8" borderId="1" xfId="0" applyNumberFormat="1" applyFont="1" applyFill="1" applyBorder="1" applyAlignment="1">
      <alignment horizontal="center" vertical="center" wrapText="1"/>
    </xf>
    <xf numFmtId="179" fontId="6" fillId="8" borderId="1" xfId="0" applyNumberFormat="1" applyFont="1" applyFill="1" applyBorder="1" applyAlignment="1">
      <alignment horizontal="center" vertical="center"/>
    </xf>
    <xf numFmtId="0" fontId="6" fillId="8" borderId="14" xfId="0" applyFont="1" applyFill="1" applyBorder="1" applyAlignment="1">
      <alignment horizontal="justify" vertical="center"/>
    </xf>
    <xf numFmtId="0" fontId="7" fillId="5" borderId="17" xfId="0" applyFont="1" applyFill="1" applyBorder="1" applyAlignment="1">
      <alignment vertical="center"/>
    </xf>
    <xf numFmtId="1" fontId="6" fillId="9" borderId="6" xfId="0" applyNumberFormat="1" applyFont="1" applyFill="1" applyBorder="1" applyAlignment="1">
      <alignment horizontal="center" vertical="center" wrapText="1"/>
    </xf>
    <xf numFmtId="14" fontId="7" fillId="5" borderId="9" xfId="0" applyNumberFormat="1" applyFont="1" applyFill="1" applyBorder="1" applyAlignment="1">
      <alignment horizontal="center" vertical="center"/>
    </xf>
    <xf numFmtId="1" fontId="7" fillId="0" borderId="5" xfId="0" applyNumberFormat="1" applyFont="1" applyFill="1" applyBorder="1" applyAlignment="1">
      <alignment horizontal="center" vertical="center"/>
    </xf>
    <xf numFmtId="0" fontId="7" fillId="5" borderId="18" xfId="0" applyFont="1" applyFill="1" applyBorder="1"/>
    <xf numFmtId="41" fontId="7" fillId="5" borderId="1" xfId="1" applyFont="1" applyFill="1" applyBorder="1" applyAlignment="1">
      <alignment horizontal="center"/>
    </xf>
    <xf numFmtId="4" fontId="7" fillId="5" borderId="1" xfId="1" applyNumberFormat="1" applyFont="1" applyFill="1" applyBorder="1" applyAlignment="1">
      <alignment horizontal="center" vertical="center"/>
    </xf>
    <xf numFmtId="0" fontId="7" fillId="9" borderId="8" xfId="0" applyFont="1" applyFill="1" applyBorder="1" applyAlignment="1">
      <alignment horizontal="center" vertical="center"/>
    </xf>
    <xf numFmtId="0" fontId="7" fillId="9" borderId="6" xfId="0" applyFont="1" applyFill="1" applyBorder="1" applyAlignment="1">
      <alignment horizontal="center" vertical="center"/>
    </xf>
    <xf numFmtId="0" fontId="7" fillId="9" borderId="7" xfId="0" applyFont="1" applyFill="1" applyBorder="1" applyAlignment="1">
      <alignment horizontal="center" vertical="center"/>
    </xf>
    <xf numFmtId="0" fontId="7" fillId="9" borderId="15" xfId="0" applyFont="1" applyFill="1" applyBorder="1"/>
    <xf numFmtId="0" fontId="7" fillId="9" borderId="16" xfId="0" applyFont="1" applyFill="1" applyBorder="1"/>
    <xf numFmtId="1" fontId="6" fillId="9" borderId="15" xfId="0" applyNumberFormat="1" applyFont="1" applyFill="1" applyBorder="1" applyAlignment="1">
      <alignment horizontal="center" vertical="center" wrapText="1"/>
    </xf>
    <xf numFmtId="0" fontId="7" fillId="9" borderId="1" xfId="0" applyFont="1" applyFill="1" applyBorder="1" applyAlignment="1">
      <alignment horizontal="right" vertical="center"/>
    </xf>
    <xf numFmtId="0" fontId="7" fillId="9" borderId="1" xfId="0" applyFont="1" applyFill="1" applyBorder="1" applyAlignment="1">
      <alignment horizontal="center"/>
    </xf>
    <xf numFmtId="1" fontId="7" fillId="9" borderId="1" xfId="0" applyNumberFormat="1" applyFont="1" applyFill="1" applyBorder="1"/>
    <xf numFmtId="1" fontId="7" fillId="9" borderId="3" xfId="0" applyNumberFormat="1" applyFont="1" applyFill="1" applyBorder="1"/>
    <xf numFmtId="9" fontId="7" fillId="9" borderId="1" xfId="5" applyFont="1" applyFill="1" applyBorder="1" applyAlignment="1">
      <alignment horizontal="center" vertical="center"/>
    </xf>
    <xf numFmtId="0" fontId="7" fillId="9" borderId="1" xfId="0" applyFont="1" applyFill="1" applyBorder="1"/>
    <xf numFmtId="14" fontId="7" fillId="5" borderId="3" xfId="0" applyNumberFormat="1" applyFont="1" applyFill="1" applyBorder="1" applyAlignment="1">
      <alignment horizontal="center" vertical="center"/>
    </xf>
    <xf numFmtId="0" fontId="7" fillId="0" borderId="15" xfId="0" applyFont="1" applyBorder="1"/>
    <xf numFmtId="0" fontId="7" fillId="5" borderId="3" xfId="0" applyFont="1" applyFill="1" applyBorder="1" applyAlignment="1">
      <alignment horizontal="center" vertical="center"/>
    </xf>
    <xf numFmtId="172" fontId="7" fillId="5" borderId="1" xfId="0" applyNumberFormat="1" applyFont="1" applyFill="1" applyBorder="1" applyAlignment="1">
      <alignment horizontal="right" vertical="center"/>
    </xf>
    <xf numFmtId="172" fontId="7" fillId="5" borderId="1" xfId="0" applyNumberFormat="1" applyFont="1" applyFill="1" applyBorder="1" applyAlignment="1">
      <alignment horizontal="center"/>
    </xf>
    <xf numFmtId="172" fontId="7" fillId="5" borderId="1" xfId="0" applyNumberFormat="1" applyFont="1" applyFill="1" applyBorder="1" applyAlignment="1">
      <alignment horizontal="center" vertical="center"/>
    </xf>
    <xf numFmtId="4" fontId="7" fillId="5" borderId="1" xfId="0" applyNumberFormat="1" applyFont="1" applyFill="1" applyBorder="1" applyAlignment="1">
      <alignment horizontal="center" vertical="center"/>
    </xf>
    <xf numFmtId="0" fontId="7" fillId="5" borderId="1" xfId="0" applyFont="1" applyFill="1" applyBorder="1"/>
    <xf numFmtId="0" fontId="7" fillId="5" borderId="1" xfId="0" applyFont="1" applyFill="1" applyBorder="1" applyAlignment="1">
      <alignment horizontal="center"/>
    </xf>
    <xf numFmtId="0" fontId="7" fillId="5" borderId="5" xfId="0" applyFont="1" applyFill="1" applyBorder="1" applyAlignment="1">
      <alignment horizontal="justify" vertical="center" wrapText="1"/>
    </xf>
    <xf numFmtId="43" fontId="7" fillId="5" borderId="1" xfId="0" applyNumberFormat="1" applyFont="1" applyFill="1" applyBorder="1" applyAlignment="1">
      <alignment horizontal="center" vertical="center"/>
    </xf>
    <xf numFmtId="0" fontId="7" fillId="5" borderId="1" xfId="0" applyFont="1" applyFill="1" applyBorder="1" applyAlignment="1">
      <alignment horizontal="right" vertical="center"/>
    </xf>
    <xf numFmtId="1" fontId="7" fillId="5" borderId="0" xfId="0" applyNumberFormat="1" applyFont="1" applyFill="1"/>
    <xf numFmtId="1" fontId="7" fillId="5" borderId="8" xfId="0" applyNumberFormat="1" applyFont="1" applyFill="1" applyBorder="1" applyAlignment="1">
      <alignment horizontal="justify" vertical="center"/>
    </xf>
    <xf numFmtId="1" fontId="7" fillId="5" borderId="1" xfId="0" applyNumberFormat="1" applyFont="1" applyFill="1" applyBorder="1"/>
    <xf numFmtId="1" fontId="7" fillId="5" borderId="3" xfId="0" applyNumberFormat="1" applyFont="1" applyFill="1" applyBorder="1"/>
    <xf numFmtId="178" fontId="7" fillId="5" borderId="5" xfId="0" applyNumberFormat="1" applyFont="1" applyFill="1" applyBorder="1" applyAlignment="1">
      <alignment horizontal="left" vertical="center" wrapText="1"/>
    </xf>
    <xf numFmtId="0" fontId="7" fillId="0" borderId="18" xfId="0" applyFont="1" applyBorder="1"/>
    <xf numFmtId="0" fontId="7" fillId="0" borderId="0" xfId="0" applyFont="1" applyAlignment="1">
      <alignment horizontal="justify" vertical="center" wrapText="1"/>
    </xf>
    <xf numFmtId="1" fontId="7" fillId="5" borderId="1" xfId="0" applyNumberFormat="1" applyFont="1" applyFill="1" applyBorder="1" applyAlignment="1">
      <alignment horizontal="justify" vertical="center"/>
    </xf>
    <xf numFmtId="1" fontId="7" fillId="5" borderId="3" xfId="0" applyNumberFormat="1" applyFont="1" applyFill="1" applyBorder="1" applyAlignment="1">
      <alignment horizontal="center" vertical="center"/>
    </xf>
    <xf numFmtId="1" fontId="6" fillId="9" borderId="0" xfId="0" applyNumberFormat="1" applyFont="1" applyFill="1" applyBorder="1" applyAlignment="1">
      <alignment horizontal="justify" vertical="center"/>
    </xf>
    <xf numFmtId="1" fontId="6" fillId="9" borderId="0" xfId="0" applyNumberFormat="1" applyFont="1" applyFill="1" applyBorder="1" applyAlignment="1">
      <alignment vertical="center"/>
    </xf>
    <xf numFmtId="9" fontId="7" fillId="9" borderId="4" xfId="5" applyFont="1" applyFill="1" applyBorder="1" applyAlignment="1">
      <alignment horizontal="center" vertical="center"/>
    </xf>
    <xf numFmtId="1" fontId="7" fillId="9" borderId="1" xfId="0" applyNumberFormat="1" applyFont="1" applyFill="1" applyBorder="1" applyAlignment="1">
      <alignment vertical="center"/>
    </xf>
    <xf numFmtId="0" fontId="7" fillId="5" borderId="10" xfId="0" applyFont="1" applyFill="1" applyBorder="1" applyAlignment="1">
      <alignment horizontal="center" vertical="center" wrapText="1"/>
    </xf>
    <xf numFmtId="0" fontId="7" fillId="5" borderId="14" xfId="0" applyFont="1" applyFill="1" applyBorder="1" applyAlignment="1">
      <alignment vertical="center"/>
    </xf>
    <xf numFmtId="0" fontId="7" fillId="5" borderId="6" xfId="0" applyFont="1" applyFill="1" applyBorder="1" applyAlignment="1">
      <alignment horizontal="center" vertical="center"/>
    </xf>
    <xf numFmtId="1" fontId="7" fillId="5" borderId="7" xfId="0" applyNumberFormat="1" applyFont="1" applyFill="1" applyBorder="1" applyAlignment="1">
      <alignment horizontal="center" vertical="center"/>
    </xf>
    <xf numFmtId="0" fontId="7" fillId="9" borderId="1" xfId="0" applyFont="1" applyFill="1" applyBorder="1" applyAlignment="1">
      <alignment horizontal="justify" vertical="center"/>
    </xf>
    <xf numFmtId="1" fontId="6" fillId="9" borderId="1" xfId="0" applyNumberFormat="1" applyFont="1" applyFill="1" applyBorder="1" applyAlignment="1">
      <alignment horizontal="justify" vertical="center"/>
    </xf>
    <xf numFmtId="1" fontId="7" fillId="5" borderId="17" xfId="0" applyNumberFormat="1" applyFont="1" applyFill="1" applyBorder="1" applyAlignment="1">
      <alignment horizontal="center" vertical="center"/>
    </xf>
    <xf numFmtId="4" fontId="7" fillId="5" borderId="8" xfId="0" applyNumberFormat="1" applyFont="1" applyFill="1" applyBorder="1" applyAlignment="1">
      <alignment horizontal="center" vertical="center"/>
    </xf>
    <xf numFmtId="1" fontId="6" fillId="20" borderId="1" xfId="0" applyNumberFormat="1" applyFont="1" applyFill="1" applyBorder="1" applyAlignment="1">
      <alignment horizontal="left" vertical="center" wrapText="1"/>
    </xf>
    <xf numFmtId="0" fontId="6" fillId="20" borderId="1" xfId="0" applyFont="1" applyFill="1" applyBorder="1" applyAlignment="1">
      <alignment vertical="center"/>
    </xf>
    <xf numFmtId="0" fontId="7" fillId="20" borderId="1" xfId="0" applyFont="1" applyFill="1" applyBorder="1"/>
    <xf numFmtId="0" fontId="7" fillId="20" borderId="1" xfId="0" applyFont="1" applyFill="1" applyBorder="1" applyAlignment="1">
      <alignment horizontal="justify" vertical="center" wrapText="1"/>
    </xf>
    <xf numFmtId="0" fontId="6" fillId="20" borderId="1" xfId="0" applyFont="1" applyFill="1" applyBorder="1" applyAlignment="1">
      <alignment horizontal="justify" vertical="center"/>
    </xf>
    <xf numFmtId="0" fontId="6" fillId="20" borderId="1" xfId="0" applyFont="1" applyFill="1" applyBorder="1" applyAlignment="1">
      <alignment horizontal="center" vertical="center"/>
    </xf>
    <xf numFmtId="9" fontId="6" fillId="20" borderId="1" xfId="5" applyNumberFormat="1" applyFont="1" applyFill="1" applyBorder="1" applyAlignment="1">
      <alignment horizontal="center" vertical="center"/>
    </xf>
    <xf numFmtId="43" fontId="6" fillId="20" borderId="1" xfId="0" applyNumberFormat="1" applyFont="1" applyFill="1" applyBorder="1" applyAlignment="1">
      <alignment vertical="center"/>
    </xf>
    <xf numFmtId="43" fontId="6" fillId="20" borderId="1" xfId="0" applyNumberFormat="1" applyFont="1" applyFill="1" applyBorder="1" applyAlignment="1">
      <alignment horizontal="center" vertical="center"/>
    </xf>
    <xf numFmtId="0" fontId="7" fillId="20" borderId="1" xfId="0" applyFont="1" applyFill="1" applyBorder="1" applyAlignment="1">
      <alignment horizontal="right" vertical="center"/>
    </xf>
    <xf numFmtId="0" fontId="7" fillId="20" borderId="1" xfId="0" applyFont="1" applyFill="1" applyBorder="1" applyAlignment="1">
      <alignment horizontal="center"/>
    </xf>
    <xf numFmtId="1" fontId="6" fillId="20" borderId="1" xfId="0" applyNumberFormat="1" applyFont="1" applyFill="1" applyBorder="1" applyAlignment="1">
      <alignment horizontal="center" vertical="center"/>
    </xf>
    <xf numFmtId="1" fontId="6" fillId="20" borderId="3" xfId="0" applyNumberFormat="1" applyFont="1" applyFill="1" applyBorder="1" applyAlignment="1">
      <alignment vertical="center"/>
    </xf>
    <xf numFmtId="1" fontId="7" fillId="20" borderId="1" xfId="0" applyNumberFormat="1" applyFont="1" applyFill="1" applyBorder="1"/>
    <xf numFmtId="1" fontId="6" fillId="20" borderId="1" xfId="0" applyNumberFormat="1" applyFont="1" applyFill="1" applyBorder="1" applyAlignment="1">
      <alignment vertical="center"/>
    </xf>
    <xf numFmtId="1" fontId="6" fillId="20" borderId="5" xfId="0" applyNumberFormat="1" applyFont="1" applyFill="1" applyBorder="1" applyAlignment="1">
      <alignment vertical="center"/>
    </xf>
    <xf numFmtId="43" fontId="7" fillId="20" borderId="3" xfId="6" applyFont="1" applyFill="1" applyBorder="1"/>
    <xf numFmtId="43" fontId="7" fillId="20" borderId="1" xfId="6" applyFont="1" applyFill="1" applyBorder="1" applyAlignment="1">
      <alignment horizontal="center" vertical="center"/>
    </xf>
    <xf numFmtId="0" fontId="7" fillId="20" borderId="1" xfId="0" applyFont="1" applyFill="1" applyBorder="1" applyAlignment="1">
      <alignment horizontal="center" vertical="center"/>
    </xf>
    <xf numFmtId="4" fontId="7" fillId="20" borderId="1" xfId="0" applyNumberFormat="1" applyFont="1" applyFill="1" applyBorder="1" applyAlignment="1">
      <alignment horizontal="center" vertical="center"/>
    </xf>
    <xf numFmtId="9" fontId="7" fillId="20" borderId="1" xfId="5" applyFont="1" applyFill="1" applyBorder="1" applyAlignment="1">
      <alignment horizontal="center" vertical="center"/>
    </xf>
    <xf numFmtId="0" fontId="7" fillId="8" borderId="1" xfId="0" applyFont="1" applyFill="1" applyBorder="1" applyAlignment="1">
      <alignment horizontal="center" vertical="center"/>
    </xf>
    <xf numFmtId="1" fontId="6" fillId="8" borderId="1" xfId="0" applyNumberFormat="1" applyFont="1" applyFill="1" applyBorder="1" applyAlignment="1">
      <alignment horizontal="center" vertical="center"/>
    </xf>
    <xf numFmtId="0" fontId="6" fillId="8" borderId="1" xfId="0" applyFont="1" applyFill="1" applyBorder="1" applyAlignment="1">
      <alignment vertical="center"/>
    </xf>
    <xf numFmtId="0" fontId="7" fillId="8" borderId="1" xfId="0" applyFont="1" applyFill="1" applyBorder="1" applyAlignment="1">
      <alignment horizontal="justify" vertical="center"/>
    </xf>
    <xf numFmtId="0" fontId="6" fillId="8" borderId="1" xfId="0" applyFont="1" applyFill="1" applyBorder="1" applyAlignment="1">
      <alignment horizontal="justify" vertical="center"/>
    </xf>
    <xf numFmtId="0" fontId="7" fillId="8" borderId="1" xfId="0" applyFont="1" applyFill="1" applyBorder="1"/>
    <xf numFmtId="9" fontId="6" fillId="8" borderId="1" xfId="5" applyNumberFormat="1" applyFont="1" applyFill="1" applyBorder="1" applyAlignment="1">
      <alignment horizontal="center" vertical="center"/>
    </xf>
    <xf numFmtId="43" fontId="6" fillId="8" borderId="1" xfId="0" applyNumberFormat="1" applyFont="1" applyFill="1" applyBorder="1" applyAlignment="1">
      <alignment vertical="center"/>
    </xf>
    <xf numFmtId="43" fontId="6" fillId="8" borderId="1" xfId="0" applyNumberFormat="1" applyFont="1" applyFill="1" applyBorder="1" applyAlignment="1">
      <alignment horizontal="center" vertical="center"/>
    </xf>
    <xf numFmtId="0" fontId="7" fillId="8" borderId="1" xfId="0" applyFont="1" applyFill="1" applyBorder="1" applyAlignment="1">
      <alignment horizontal="right" vertical="center"/>
    </xf>
    <xf numFmtId="0" fontId="7" fillId="8" borderId="1" xfId="0" applyFont="1" applyFill="1" applyBorder="1" applyAlignment="1">
      <alignment horizontal="center"/>
    </xf>
    <xf numFmtId="0" fontId="6" fillId="8" borderId="1" xfId="0" applyFont="1" applyFill="1" applyBorder="1" applyAlignment="1">
      <alignment horizontal="center" vertical="center"/>
    </xf>
    <xf numFmtId="1" fontId="6" fillId="8" borderId="3" xfId="0" applyNumberFormat="1" applyFont="1" applyFill="1" applyBorder="1" applyAlignment="1">
      <alignment vertical="center"/>
    </xf>
    <xf numFmtId="1" fontId="7" fillId="8" borderId="1" xfId="0" applyNumberFormat="1" applyFont="1" applyFill="1" applyBorder="1"/>
    <xf numFmtId="1" fontId="6" fillId="8" borderId="1" xfId="0" applyNumberFormat="1" applyFont="1" applyFill="1" applyBorder="1" applyAlignment="1">
      <alignment horizontal="justify" vertical="center"/>
    </xf>
    <xf numFmtId="1" fontId="6" fillId="8" borderId="1" xfId="0" applyNumberFormat="1" applyFont="1" applyFill="1" applyBorder="1" applyAlignment="1">
      <alignment vertical="center"/>
    </xf>
    <xf numFmtId="1" fontId="6" fillId="8" borderId="5" xfId="0" applyNumberFormat="1" applyFont="1" applyFill="1" applyBorder="1" applyAlignment="1">
      <alignment vertical="center"/>
    </xf>
    <xf numFmtId="1" fontId="7" fillId="8" borderId="3" xfId="0" applyNumberFormat="1" applyFont="1" applyFill="1" applyBorder="1"/>
    <xf numFmtId="4" fontId="7" fillId="8" borderId="1" xfId="0" applyNumberFormat="1" applyFont="1" applyFill="1" applyBorder="1" applyAlignment="1">
      <alignment horizontal="center" vertical="center"/>
    </xf>
    <xf numFmtId="9" fontId="7" fillId="8" borderId="1" xfId="5" applyFont="1" applyFill="1" applyBorder="1" applyAlignment="1">
      <alignment horizontal="center" vertical="center"/>
    </xf>
    <xf numFmtId="179" fontId="6" fillId="8" borderId="4" xfId="0" applyNumberFormat="1" applyFont="1" applyFill="1" applyBorder="1" applyAlignment="1">
      <alignment horizontal="center" vertical="center"/>
    </xf>
    <xf numFmtId="0" fontId="6" fillId="8" borderId="5" xfId="0" applyFont="1" applyFill="1" applyBorder="1" applyAlignment="1">
      <alignment horizontal="justify" vertical="center"/>
    </xf>
    <xf numFmtId="0" fontId="7" fillId="9" borderId="8" xfId="0" applyFont="1" applyFill="1" applyBorder="1"/>
    <xf numFmtId="0" fontId="6" fillId="9" borderId="8" xfId="0" applyFont="1" applyFill="1" applyBorder="1" applyAlignment="1">
      <alignment vertical="center"/>
    </xf>
    <xf numFmtId="9" fontId="6" fillId="9" borderId="1" xfId="5" applyNumberFormat="1" applyFont="1" applyFill="1" applyBorder="1" applyAlignment="1">
      <alignment horizontal="center" vertical="center"/>
    </xf>
    <xf numFmtId="43" fontId="6" fillId="9" borderId="1" xfId="0" applyNumberFormat="1" applyFont="1" applyFill="1" applyBorder="1" applyAlignment="1">
      <alignment vertical="center"/>
    </xf>
    <xf numFmtId="43" fontId="6" fillId="9" borderId="1" xfId="0" applyNumberFormat="1" applyFont="1" applyFill="1" applyBorder="1" applyAlignment="1">
      <alignment horizontal="center" vertical="center"/>
    </xf>
    <xf numFmtId="1" fontId="6" fillId="9" borderId="3" xfId="0" applyNumberFormat="1" applyFont="1" applyFill="1" applyBorder="1" applyAlignment="1">
      <alignment vertical="center"/>
    </xf>
    <xf numFmtId="1" fontId="6" fillId="9" borderId="5" xfId="0" applyNumberFormat="1" applyFont="1" applyFill="1" applyBorder="1" applyAlignment="1">
      <alignment vertical="center"/>
    </xf>
    <xf numFmtId="0" fontId="7" fillId="0" borderId="2" xfId="0" applyFont="1" applyFill="1" applyBorder="1" applyAlignment="1">
      <alignment horizontal="center" vertical="center" wrapText="1"/>
    </xf>
    <xf numFmtId="1" fontId="7" fillId="5" borderId="14" xfId="0" applyNumberFormat="1" applyFont="1" applyFill="1" applyBorder="1" applyAlignment="1">
      <alignment horizontal="center" vertical="center"/>
    </xf>
    <xf numFmtId="4" fontId="7" fillId="5" borderId="18" xfId="0" applyNumberFormat="1" applyFont="1" applyFill="1" applyBorder="1" applyAlignment="1">
      <alignment horizontal="center" vertical="center"/>
    </xf>
    <xf numFmtId="0" fontId="7" fillId="5" borderId="1" xfId="0" applyNumberFormat="1" applyFont="1" applyFill="1" applyBorder="1" applyAlignment="1">
      <alignment horizontal="justify" vertical="center" wrapText="1"/>
    </xf>
    <xf numFmtId="0" fontId="7" fillId="0" borderId="1" xfId="0" applyNumberFormat="1" applyFont="1" applyFill="1" applyBorder="1" applyAlignment="1">
      <alignment horizontal="center" vertical="center"/>
    </xf>
    <xf numFmtId="9" fontId="7" fillId="0" borderId="0" xfId="5" applyNumberFormat="1" applyFont="1" applyAlignment="1">
      <alignment horizontal="center"/>
    </xf>
    <xf numFmtId="0" fontId="7" fillId="0" borderId="0" xfId="0" applyFont="1" applyAlignment="1">
      <alignment horizontal="right" vertical="center"/>
    </xf>
    <xf numFmtId="39" fontId="7" fillId="0" borderId="0" xfId="0" applyNumberFormat="1" applyFont="1"/>
    <xf numFmtId="4" fontId="7" fillId="0" borderId="0" xfId="0" applyNumberFormat="1" applyFont="1" applyAlignment="1">
      <alignment horizontal="center" vertical="center"/>
    </xf>
    <xf numFmtId="9" fontId="7" fillId="0" borderId="0" xfId="5" applyFont="1" applyAlignment="1">
      <alignment horizontal="center" vertical="center"/>
    </xf>
    <xf numFmtId="1" fontId="6" fillId="9" borderId="7" xfId="0" applyNumberFormat="1" applyFont="1" applyFill="1" applyBorder="1" applyAlignment="1">
      <alignment horizontal="center" vertical="center" wrapText="1"/>
    </xf>
    <xf numFmtId="0" fontId="3" fillId="5" borderId="1" xfId="0" applyFont="1" applyFill="1" applyBorder="1" applyAlignment="1">
      <alignment horizontal="justify" vertical="center"/>
    </xf>
    <xf numFmtId="0" fontId="6" fillId="0" borderId="9" xfId="0" applyFont="1" applyBorder="1"/>
    <xf numFmtId="1" fontId="7" fillId="0" borderId="16" xfId="2" applyNumberFormat="1" applyFont="1" applyBorder="1" applyAlignment="1">
      <alignment horizontal="center" vertical="center"/>
    </xf>
    <xf numFmtId="169" fontId="7" fillId="0" borderId="0" xfId="2" applyFont="1" applyBorder="1" applyAlignment="1">
      <alignment horizontal="left" vertical="center" wrapText="1"/>
    </xf>
    <xf numFmtId="169" fontId="7" fillId="0" borderId="0" xfId="2" applyFont="1" applyBorder="1" applyAlignment="1">
      <alignment vertical="center" wrapText="1"/>
    </xf>
    <xf numFmtId="169" fontId="7" fillId="0" borderId="2" xfId="2" applyFont="1" applyBorder="1" applyAlignment="1">
      <alignment vertical="center" wrapText="1"/>
    </xf>
    <xf numFmtId="1" fontId="7" fillId="0" borderId="6" xfId="2" applyNumberFormat="1" applyFont="1" applyBorder="1" applyAlignment="1">
      <alignment horizontal="center" vertical="center"/>
    </xf>
    <xf numFmtId="169" fontId="7" fillId="0" borderId="9" xfId="2" applyFont="1" applyBorder="1" applyAlignment="1">
      <alignment horizontal="left" vertical="center" wrapText="1"/>
    </xf>
    <xf numFmtId="169" fontId="6" fillId="0" borderId="9" xfId="2" applyFont="1" applyBorder="1"/>
    <xf numFmtId="169" fontId="7" fillId="0" borderId="9" xfId="2" applyFont="1" applyBorder="1"/>
    <xf numFmtId="43" fontId="7" fillId="0" borderId="1" xfId="0" applyNumberFormat="1" applyFont="1" applyBorder="1"/>
    <xf numFmtId="0" fontId="7" fillId="0" borderId="3" xfId="0" applyFont="1" applyBorder="1"/>
    <xf numFmtId="0" fontId="7" fillId="0" borderId="4" xfId="0" applyFont="1" applyBorder="1" applyAlignment="1">
      <alignment horizontal="justify"/>
    </xf>
    <xf numFmtId="43" fontId="7" fillId="0" borderId="1" xfId="0" applyNumberFormat="1" applyFont="1" applyBorder="1" applyAlignment="1">
      <alignment horizontal="center"/>
    </xf>
    <xf numFmtId="43" fontId="7" fillId="0" borderId="1" xfId="0" applyNumberFormat="1" applyFont="1" applyBorder="1" applyAlignment="1">
      <alignment horizontal="right" vertical="center"/>
    </xf>
    <xf numFmtId="0" fontId="7" fillId="0" borderId="4" xfId="0" applyFont="1" applyBorder="1"/>
    <xf numFmtId="1" fontId="7" fillId="0" borderId="4" xfId="0" applyNumberFormat="1" applyFont="1" applyBorder="1"/>
    <xf numFmtId="39" fontId="7" fillId="0" borderId="1" xfId="0" applyNumberFormat="1" applyFont="1" applyBorder="1"/>
    <xf numFmtId="9" fontId="7" fillId="0" borderId="3" xfId="5" applyFont="1" applyBorder="1" applyAlignment="1">
      <alignment horizontal="center" vertical="center"/>
    </xf>
    <xf numFmtId="9" fontId="7" fillId="0" borderId="5" xfId="5" applyNumberFormat="1" applyFont="1" applyBorder="1" applyAlignment="1">
      <alignment horizontal="center"/>
    </xf>
    <xf numFmtId="0" fontId="6" fillId="0" borderId="9" xfId="0" applyFont="1" applyBorder="1" applyAlignment="1">
      <alignment horizontal="justify" vertical="center"/>
    </xf>
    <xf numFmtId="0" fontId="3" fillId="5" borderId="2" xfId="0" applyFont="1" applyFill="1" applyBorder="1" applyAlignment="1"/>
    <xf numFmtId="0" fontId="3" fillId="5" borderId="6" xfId="0" applyFont="1" applyFill="1" applyBorder="1" applyAlignment="1"/>
    <xf numFmtId="0" fontId="3" fillId="5" borderId="7" xfId="0" applyFont="1" applyFill="1" applyBorder="1" applyAlignment="1"/>
    <xf numFmtId="0" fontId="3" fillId="5" borderId="16" xfId="0" applyFont="1" applyFill="1" applyBorder="1" applyAlignment="1"/>
    <xf numFmtId="0" fontId="3" fillId="5" borderId="17" xfId="0" applyFont="1" applyFill="1" applyBorder="1" applyAlignment="1"/>
    <xf numFmtId="0" fontId="3" fillId="5" borderId="13" xfId="0" applyFont="1" applyFill="1" applyBorder="1" applyAlignment="1"/>
    <xf numFmtId="0" fontId="3" fillId="5" borderId="14" xfId="0" applyFont="1" applyFill="1" applyBorder="1" applyAlignment="1"/>
    <xf numFmtId="178" fontId="3" fillId="5" borderId="1" xfId="0" applyNumberFormat="1" applyFont="1" applyFill="1" applyBorder="1" applyAlignment="1">
      <alignment horizontal="center" vertical="center"/>
    </xf>
    <xf numFmtId="14" fontId="4" fillId="0" borderId="1" xfId="22" applyNumberFormat="1" applyFont="1" applyFill="1" applyBorder="1" applyAlignment="1">
      <alignment vertical="center"/>
    </xf>
    <xf numFmtId="14" fontId="4" fillId="0" borderId="1" xfId="22" applyNumberFormat="1" applyFont="1" applyFill="1" applyBorder="1" applyAlignment="1">
      <alignment horizontal="justify" vertical="center"/>
    </xf>
    <xf numFmtId="0" fontId="18" fillId="0" borderId="0" xfId="22" applyFont="1"/>
    <xf numFmtId="14" fontId="4" fillId="0" borderId="1" xfId="22" applyNumberFormat="1" applyFont="1" applyFill="1" applyBorder="1" applyAlignment="1">
      <alignment horizontal="left" vertical="center"/>
    </xf>
    <xf numFmtId="14" fontId="4" fillId="0" borderId="1" xfId="22" applyNumberFormat="1" applyFont="1" applyFill="1" applyBorder="1" applyAlignment="1">
      <alignment horizontal="justify" vertical="center" wrapText="1"/>
    </xf>
    <xf numFmtId="0" fontId="18" fillId="0" borderId="9" xfId="22" applyFont="1" applyFill="1" applyBorder="1"/>
    <xf numFmtId="0" fontId="18" fillId="0" borderId="0" xfId="22" applyFont="1" applyFill="1" applyBorder="1"/>
    <xf numFmtId="0" fontId="6" fillId="3" borderId="4" xfId="22" applyFont="1" applyFill="1" applyBorder="1" applyAlignment="1">
      <alignment horizontal="center" vertical="center"/>
    </xf>
    <xf numFmtId="0" fontId="7" fillId="0" borderId="0" xfId="22" applyFont="1"/>
    <xf numFmtId="3" fontId="6" fillId="13" borderId="8" xfId="22" applyNumberFormat="1" applyFont="1" applyFill="1" applyBorder="1" applyAlignment="1">
      <alignment horizontal="center" vertical="center" wrapText="1"/>
    </xf>
    <xf numFmtId="0" fontId="6" fillId="0" borderId="0" xfId="22" applyFont="1" applyFill="1" applyAlignment="1"/>
    <xf numFmtId="0" fontId="6" fillId="13" borderId="15" xfId="22" applyNumberFormat="1" applyFont="1" applyFill="1" applyBorder="1" applyAlignment="1">
      <alignment horizontal="center" vertical="center" wrapText="1"/>
    </xf>
    <xf numFmtId="0" fontId="6" fillId="3" borderId="8" xfId="22" applyFont="1" applyFill="1" applyBorder="1" applyAlignment="1">
      <alignment horizontal="center" vertical="center" wrapText="1"/>
    </xf>
    <xf numFmtId="0" fontId="6" fillId="3" borderId="6" xfId="22" applyFont="1" applyFill="1" applyBorder="1" applyAlignment="1">
      <alignment horizontal="center" vertical="center" textRotation="255"/>
    </xf>
    <xf numFmtId="14" fontId="6" fillId="13" borderId="8" xfId="22" applyNumberFormat="1" applyFont="1" applyFill="1" applyBorder="1" applyAlignment="1">
      <alignment horizontal="center" vertical="center" wrapText="1"/>
    </xf>
    <xf numFmtId="0" fontId="4" fillId="6" borderId="8" xfId="22" applyFont="1" applyFill="1" applyBorder="1" applyAlignment="1">
      <alignment horizontal="center" vertical="center" wrapText="1"/>
    </xf>
    <xf numFmtId="0" fontId="4" fillId="6" borderId="4" xfId="22" applyFont="1" applyFill="1" applyBorder="1" applyAlignment="1">
      <alignment vertical="center" wrapText="1"/>
    </xf>
    <xf numFmtId="14" fontId="4" fillId="6" borderId="4" xfId="22" applyNumberFormat="1" applyFont="1" applyFill="1" applyBorder="1" applyAlignment="1">
      <alignment vertical="center" wrapText="1"/>
    </xf>
    <xf numFmtId="0" fontId="4" fillId="6" borderId="5" xfId="22" applyFont="1" applyFill="1" applyBorder="1" applyAlignment="1">
      <alignment vertical="center" wrapText="1"/>
    </xf>
    <xf numFmtId="0" fontId="3" fillId="0" borderId="0" xfId="22" applyFont="1" applyFill="1"/>
    <xf numFmtId="0" fontId="3" fillId="0" borderId="0" xfId="22" applyFont="1"/>
    <xf numFmtId="0" fontId="4" fillId="5" borderId="8" xfId="22" applyFont="1" applyFill="1" applyBorder="1" applyAlignment="1">
      <alignment horizontal="center" vertical="center" wrapText="1"/>
    </xf>
    <xf numFmtId="0" fontId="4" fillId="5" borderId="8" xfId="22" applyFont="1" applyFill="1" applyBorder="1" applyAlignment="1">
      <alignment vertical="center" wrapText="1"/>
    </xf>
    <xf numFmtId="0" fontId="4" fillId="7" borderId="7" xfId="22" applyFont="1" applyFill="1" applyBorder="1" applyAlignment="1">
      <alignment horizontal="center" vertical="center" wrapText="1"/>
    </xf>
    <xf numFmtId="0" fontId="4" fillId="5" borderId="15" xfId="22" applyFont="1" applyFill="1" applyBorder="1" applyAlignment="1">
      <alignment horizontal="center" vertical="center" wrapText="1"/>
    </xf>
    <xf numFmtId="0" fontId="4" fillId="5" borderId="15" xfId="22" applyFont="1" applyFill="1" applyBorder="1" applyAlignment="1">
      <alignment vertical="center" wrapText="1"/>
    </xf>
    <xf numFmtId="0" fontId="4" fillId="9" borderId="1" xfId="22" applyFont="1" applyFill="1" applyBorder="1" applyAlignment="1">
      <alignment horizontal="center" vertical="center" wrapText="1"/>
    </xf>
    <xf numFmtId="49" fontId="3" fillId="5" borderId="15" xfId="22" applyNumberFormat="1" applyFont="1" applyFill="1" applyBorder="1" applyAlignment="1">
      <alignment vertical="center" wrapText="1"/>
    </xf>
    <xf numFmtId="0" fontId="3" fillId="5" borderId="15" xfId="22" applyFont="1" applyFill="1" applyBorder="1" applyAlignment="1">
      <alignment vertical="center" wrapText="1"/>
    </xf>
    <xf numFmtId="49" fontId="7" fillId="5" borderId="8" xfId="22" applyNumberFormat="1" applyFont="1" applyFill="1" applyBorder="1" applyAlignment="1">
      <alignment vertical="center" wrapText="1"/>
    </xf>
    <xf numFmtId="0" fontId="7" fillId="5" borderId="8" xfId="22" applyFont="1" applyFill="1" applyBorder="1" applyAlignment="1">
      <alignment vertical="center" wrapText="1"/>
    </xf>
    <xf numFmtId="0" fontId="7" fillId="0" borderId="1" xfId="23" applyNumberFormat="1" applyFont="1" applyFill="1" applyBorder="1" applyAlignment="1">
      <alignment horizontal="center" vertical="center" wrapText="1"/>
    </xf>
    <xf numFmtId="0" fontId="7" fillId="0" borderId="1" xfId="22" applyFont="1" applyFill="1" applyBorder="1" applyAlignment="1">
      <alignment horizontal="justify" vertical="center" wrapText="1"/>
    </xf>
    <xf numFmtId="0" fontId="7" fillId="0" borderId="1" xfId="22" applyFont="1" applyFill="1" applyBorder="1" applyAlignment="1">
      <alignment horizontal="center" vertical="center" wrapText="1"/>
    </xf>
    <xf numFmtId="0" fontId="7" fillId="0" borderId="1" xfId="22" applyFont="1" applyFill="1" applyBorder="1" applyAlignment="1">
      <alignment horizontal="center" vertical="center"/>
    </xf>
    <xf numFmtId="9" fontId="7" fillId="0" borderId="1" xfId="24" applyFont="1" applyFill="1" applyBorder="1" applyAlignment="1">
      <alignment horizontal="center" vertical="center" wrapText="1"/>
    </xf>
    <xf numFmtId="202" fontId="7" fillId="0" borderId="1" xfId="22" applyNumberFormat="1" applyFont="1" applyFill="1" applyBorder="1" applyAlignment="1">
      <alignment horizontal="center" vertical="center" wrapText="1"/>
    </xf>
    <xf numFmtId="203" fontId="7" fillId="0" borderId="1" xfId="22" applyNumberFormat="1" applyFont="1" applyFill="1" applyBorder="1" applyAlignment="1">
      <alignment horizontal="center" vertical="center" wrapText="1"/>
    </xf>
    <xf numFmtId="0" fontId="7" fillId="0" borderId="1" xfId="22" applyNumberFormat="1" applyFont="1" applyFill="1" applyBorder="1" applyAlignment="1">
      <alignment horizontal="center" vertical="center" wrapText="1"/>
    </xf>
    <xf numFmtId="164" fontId="7" fillId="0" borderId="1" xfId="22" applyNumberFormat="1" applyFont="1" applyFill="1" applyBorder="1" applyAlignment="1">
      <alignment horizontal="center" vertical="center" wrapText="1"/>
    </xf>
    <xf numFmtId="0" fontId="7" fillId="0" borderId="8" xfId="22" applyFont="1" applyFill="1" applyBorder="1" applyAlignment="1">
      <alignment horizontal="center" vertical="center" wrapText="1"/>
    </xf>
    <xf numFmtId="14" fontId="7" fillId="0" borderId="1" xfId="22" applyNumberFormat="1" applyFont="1" applyFill="1" applyBorder="1" applyAlignment="1">
      <alignment horizontal="center" vertical="center" wrapText="1"/>
    </xf>
    <xf numFmtId="0" fontId="3" fillId="0" borderId="0" xfId="22" applyFont="1" applyFill="1" applyBorder="1"/>
    <xf numFmtId="0" fontId="6" fillId="9" borderId="1" xfId="22" applyFont="1" applyFill="1" applyBorder="1" applyAlignment="1">
      <alignment horizontal="center" vertical="center" wrapText="1"/>
    </xf>
    <xf numFmtId="0" fontId="6" fillId="9" borderId="1" xfId="22" applyFont="1" applyFill="1" applyBorder="1" applyAlignment="1">
      <alignment horizontal="left" vertical="center" wrapText="1"/>
    </xf>
    <xf numFmtId="205" fontId="6" fillId="9" borderId="1" xfId="22" applyNumberFormat="1" applyFont="1" applyFill="1" applyBorder="1" applyAlignment="1">
      <alignment horizontal="left" vertical="center" wrapText="1"/>
    </xf>
    <xf numFmtId="14" fontId="6" fillId="9" borderId="1" xfId="22" applyNumberFormat="1" applyFont="1" applyFill="1" applyBorder="1" applyAlignment="1">
      <alignment horizontal="left" vertical="center" wrapText="1"/>
    </xf>
    <xf numFmtId="49" fontId="3" fillId="5" borderId="15" xfId="22" applyNumberFormat="1" applyFont="1" applyFill="1" applyBorder="1" applyAlignment="1">
      <alignment horizontal="center" vertical="center" wrapText="1"/>
    </xf>
    <xf numFmtId="0" fontId="3" fillId="5" borderId="15" xfId="22" applyFont="1" applyFill="1" applyBorder="1" applyAlignment="1">
      <alignment horizontal="center" vertical="center" wrapText="1"/>
    </xf>
    <xf numFmtId="0" fontId="3" fillId="5" borderId="15" xfId="22" applyFont="1" applyFill="1" applyBorder="1" applyAlignment="1">
      <alignment horizontal="justify" vertical="center" wrapText="1"/>
    </xf>
    <xf numFmtId="202" fontId="17" fillId="4" borderId="4" xfId="22" applyNumberFormat="1" applyFont="1" applyFill="1" applyBorder="1" applyAlignment="1">
      <alignment vertical="center" wrapText="1"/>
    </xf>
    <xf numFmtId="0" fontId="17" fillId="4" borderId="4" xfId="22" applyFont="1" applyFill="1" applyBorder="1" applyAlignment="1">
      <alignment vertical="center" wrapText="1"/>
    </xf>
    <xf numFmtId="0" fontId="17" fillId="4" borderId="4" xfId="22" applyFont="1" applyFill="1" applyBorder="1" applyAlignment="1">
      <alignment horizontal="justify" vertical="center" wrapText="1"/>
    </xf>
    <xf numFmtId="204" fontId="17" fillId="4" borderId="1" xfId="22" applyNumberFormat="1" applyFont="1" applyFill="1" applyBorder="1" applyAlignment="1">
      <alignment horizontal="center" vertical="center" wrapText="1"/>
    </xf>
    <xf numFmtId="203" fontId="17" fillId="4" borderId="4" xfId="22" applyNumberFormat="1" applyFont="1" applyFill="1" applyBorder="1" applyAlignment="1">
      <alignment horizontal="center" vertical="center" wrapText="1"/>
    </xf>
    <xf numFmtId="0" fontId="17" fillId="4" borderId="4" xfId="22" applyFont="1" applyFill="1" applyBorder="1" applyAlignment="1">
      <alignment vertical="center"/>
    </xf>
    <xf numFmtId="164" fontId="17" fillId="4" borderId="4" xfId="22" applyNumberFormat="1" applyFont="1" applyFill="1" applyBorder="1" applyAlignment="1">
      <alignment vertical="center"/>
    </xf>
    <xf numFmtId="9" fontId="17" fillId="4" borderId="4" xfId="24" applyFont="1" applyFill="1" applyBorder="1" applyAlignment="1">
      <alignment horizontal="center" vertical="center"/>
    </xf>
    <xf numFmtId="0" fontId="17" fillId="4" borderId="4" xfId="22" applyFont="1" applyFill="1" applyBorder="1" applyAlignment="1">
      <alignment horizontal="right" vertical="center"/>
    </xf>
    <xf numFmtId="14" fontId="17" fillId="4" borderId="4" xfId="22" applyNumberFormat="1" applyFont="1" applyFill="1" applyBorder="1" applyAlignment="1">
      <alignment horizontal="right" vertical="center"/>
    </xf>
    <xf numFmtId="14" fontId="17" fillId="4" borderId="4" xfId="22" applyNumberFormat="1" applyFont="1" applyFill="1" applyBorder="1" applyAlignment="1">
      <alignment horizontal="center" vertical="center"/>
    </xf>
    <xf numFmtId="14" fontId="17" fillId="4" borderId="21" xfId="22" applyNumberFormat="1" applyFont="1" applyFill="1" applyBorder="1" applyAlignment="1">
      <alignment horizontal="left" vertical="center"/>
    </xf>
    <xf numFmtId="0" fontId="17" fillId="4" borderId="5" xfId="22" applyFont="1" applyFill="1" applyBorder="1" applyAlignment="1">
      <alignment horizontal="left" vertical="center"/>
    </xf>
    <xf numFmtId="0" fontId="18" fillId="0" borderId="0" xfId="22" applyFont="1" applyFill="1"/>
    <xf numFmtId="0" fontId="18" fillId="0" borderId="0" xfId="22" applyFont="1" applyFill="1" applyAlignment="1">
      <alignment horizontal="center"/>
    </xf>
    <xf numFmtId="0" fontId="18" fillId="0" borderId="0" xfId="22" applyFont="1" applyFill="1" applyAlignment="1"/>
    <xf numFmtId="0" fontId="18" fillId="0" borderId="0" xfId="22" applyFont="1" applyFill="1" applyAlignment="1">
      <alignment horizontal="center" vertical="center"/>
    </xf>
    <xf numFmtId="0" fontId="18" fillId="0" borderId="0" xfId="22" applyFont="1" applyFill="1" applyAlignment="1">
      <alignment horizontal="justify" vertical="center"/>
    </xf>
    <xf numFmtId="0" fontId="18" fillId="0" borderId="0" xfId="22" applyFont="1" applyFill="1" applyAlignment="1">
      <alignment horizontal="right" vertical="center"/>
    </xf>
    <xf numFmtId="14" fontId="18" fillId="0" borderId="0" xfId="22" applyNumberFormat="1" applyFont="1" applyFill="1" applyAlignment="1">
      <alignment horizontal="right" vertical="center"/>
    </xf>
    <xf numFmtId="14" fontId="18" fillId="0" borderId="0" xfId="22" applyNumberFormat="1" applyFont="1" applyFill="1" applyAlignment="1">
      <alignment horizontal="center"/>
    </xf>
    <xf numFmtId="14" fontId="18" fillId="0" borderId="0" xfId="22" applyNumberFormat="1" applyFont="1" applyFill="1" applyAlignment="1">
      <alignment horizontal="left"/>
    </xf>
    <xf numFmtId="3" fontId="3" fillId="0" borderId="0" xfId="22" applyNumberFormat="1" applyFont="1" applyAlignment="1">
      <alignment horizontal="right" vertical="center"/>
    </xf>
    <xf numFmtId="203" fontId="18" fillId="0" borderId="0" xfId="22" applyNumberFormat="1" applyFont="1" applyFill="1" applyAlignment="1">
      <alignment horizontal="justify" vertical="center"/>
    </xf>
    <xf numFmtId="204" fontId="18" fillId="0" borderId="0" xfId="22" applyNumberFormat="1" applyFont="1" applyFill="1" applyAlignment="1">
      <alignment horizontal="justify" vertical="center"/>
    </xf>
    <xf numFmtId="206" fontId="18" fillId="0" borderId="0" xfId="22" applyNumberFormat="1" applyFont="1" applyFill="1" applyAlignment="1">
      <alignment horizontal="justify" vertical="center"/>
    </xf>
    <xf numFmtId="4" fontId="18" fillId="0" borderId="0" xfId="22" applyNumberFormat="1" applyFont="1" applyFill="1" applyAlignment="1">
      <alignment horizontal="justify" vertical="center"/>
    </xf>
    <xf numFmtId="0" fontId="18" fillId="0" borderId="0" xfId="22" applyFont="1" applyAlignment="1">
      <alignment horizontal="center"/>
    </xf>
    <xf numFmtId="0" fontId="18" fillId="5" borderId="0" xfId="22" applyFont="1" applyFill="1"/>
    <xf numFmtId="0" fontId="18" fillId="5" borderId="0" xfId="22" applyFont="1" applyFill="1" applyAlignment="1"/>
    <xf numFmtId="0" fontId="18" fillId="5" borderId="0" xfId="22" applyFont="1" applyFill="1" applyAlignment="1">
      <alignment horizontal="center" vertical="center"/>
    </xf>
    <xf numFmtId="0" fontId="18" fillId="5" borderId="0" xfId="22" applyFont="1" applyFill="1" applyAlignment="1">
      <alignment horizontal="justify" vertical="center"/>
    </xf>
    <xf numFmtId="14" fontId="18" fillId="0" borderId="0" xfId="22" applyNumberFormat="1" applyFont="1" applyAlignment="1">
      <alignment horizontal="center"/>
    </xf>
    <xf numFmtId="14" fontId="18" fillId="0" borderId="0" xfId="22" applyNumberFormat="1" applyFont="1" applyAlignment="1">
      <alignment horizontal="left"/>
    </xf>
    <xf numFmtId="1" fontId="6" fillId="0" borderId="4" xfId="0" applyNumberFormat="1" applyFont="1" applyBorder="1" applyAlignment="1">
      <alignment horizontal="right" vertical="center"/>
    </xf>
    <xf numFmtId="175" fontId="7" fillId="5" borderId="8" xfId="0" applyNumberFormat="1" applyFont="1" applyFill="1" applyBorder="1" applyAlignment="1">
      <alignment horizontal="center" vertical="center" wrapText="1"/>
    </xf>
    <xf numFmtId="175" fontId="7" fillId="5" borderId="15" xfId="0" applyNumberFormat="1" applyFont="1" applyFill="1" applyBorder="1" applyAlignment="1">
      <alignment horizontal="center" vertical="center" wrapText="1"/>
    </xf>
    <xf numFmtId="175" fontId="7" fillId="5" borderId="18" xfId="0" applyNumberFormat="1" applyFont="1" applyFill="1" applyBorder="1" applyAlignment="1">
      <alignment horizontal="center" vertical="center" wrapText="1"/>
    </xf>
    <xf numFmtId="0" fontId="7" fillId="0" borderId="8" xfId="0" applyFont="1" applyBorder="1" applyAlignment="1">
      <alignment horizontal="center" vertical="center"/>
    </xf>
    <xf numFmtId="0" fontId="7" fillId="0" borderId="15" xfId="0" applyFont="1" applyBorder="1" applyAlignment="1">
      <alignment horizontal="center" vertical="center"/>
    </xf>
    <xf numFmtId="0" fontId="7" fillId="0" borderId="18" xfId="0" applyFont="1" applyBorder="1" applyAlignment="1">
      <alignment horizontal="center" vertical="center"/>
    </xf>
    <xf numFmtId="175" fontId="7" fillId="5" borderId="1"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1" fontId="7" fillId="0" borderId="3" xfId="0" applyNumberFormat="1" applyFont="1" applyFill="1" applyBorder="1" applyAlignment="1">
      <alignment horizontal="center" vertical="center" wrapText="1"/>
    </xf>
    <xf numFmtId="0" fontId="7" fillId="5" borderId="1" xfId="0" applyFont="1" applyFill="1" applyBorder="1" applyAlignment="1">
      <alignment horizontal="justify" vertical="center" wrapText="1"/>
    </xf>
    <xf numFmtId="0" fontId="7" fillId="5" borderId="8" xfId="0" applyFont="1" applyFill="1" applyBorder="1" applyAlignment="1">
      <alignment horizontal="justify" vertical="center" wrapText="1"/>
    </xf>
    <xf numFmtId="42" fontId="7" fillId="5" borderId="8" xfId="8" applyFont="1" applyFill="1" applyBorder="1" applyAlignment="1">
      <alignment horizontal="center" vertical="center" wrapText="1"/>
    </xf>
    <xf numFmtId="42" fontId="7" fillId="5" borderId="15" xfId="8" applyFont="1" applyFill="1" applyBorder="1" applyAlignment="1">
      <alignment horizontal="center" vertical="center" wrapText="1"/>
    </xf>
    <xf numFmtId="42" fontId="7" fillId="5" borderId="18" xfId="8" applyFont="1" applyFill="1" applyBorder="1" applyAlignment="1">
      <alignment horizontal="center" vertical="center" wrapText="1"/>
    </xf>
    <xf numFmtId="0" fontId="7" fillId="5" borderId="15" xfId="0" applyFont="1" applyFill="1" applyBorder="1" applyAlignment="1">
      <alignment horizontal="justify" vertical="center" wrapText="1"/>
    </xf>
    <xf numFmtId="0" fontId="7" fillId="5" borderId="18" xfId="0" applyFont="1" applyFill="1" applyBorder="1" applyAlignment="1">
      <alignment horizontal="justify" vertical="center" wrapText="1"/>
    </xf>
    <xf numFmtId="1" fontId="7" fillId="0" borderId="1" xfId="0" applyNumberFormat="1" applyFont="1" applyFill="1" applyBorder="1" applyAlignment="1">
      <alignment horizontal="center" vertical="center"/>
    </xf>
    <xf numFmtId="0" fontId="7" fillId="0" borderId="1" xfId="0" applyFont="1" applyFill="1" applyBorder="1" applyAlignment="1">
      <alignment horizontal="justify" vertical="center" wrapText="1"/>
    </xf>
    <xf numFmtId="42" fontId="7" fillId="0" borderId="1" xfId="8" applyFont="1" applyFill="1" applyBorder="1" applyAlignment="1">
      <alignment horizontal="center" vertical="center"/>
    </xf>
    <xf numFmtId="41" fontId="7" fillId="5" borderId="1" xfId="1" applyFont="1" applyFill="1" applyBorder="1" applyAlignment="1">
      <alignment horizontal="center" vertical="center" wrapText="1"/>
    </xf>
    <xf numFmtId="174" fontId="7" fillId="0" borderId="1" xfId="7" applyNumberFormat="1" applyFont="1" applyFill="1" applyBorder="1" applyAlignment="1">
      <alignment horizontal="center" vertical="center"/>
    </xf>
    <xf numFmtId="0" fontId="7" fillId="0" borderId="1" xfId="0" applyFont="1" applyFill="1" applyBorder="1" applyAlignment="1">
      <alignment horizontal="center" vertical="center"/>
    </xf>
    <xf numFmtId="3" fontId="7" fillId="5" borderId="8" xfId="0" applyNumberFormat="1" applyFont="1" applyFill="1" applyBorder="1" applyAlignment="1">
      <alignment horizontal="justify" vertical="center" wrapText="1"/>
    </xf>
    <xf numFmtId="3" fontId="7" fillId="5" borderId="15" xfId="0" applyNumberFormat="1" applyFont="1" applyFill="1" applyBorder="1" applyAlignment="1">
      <alignment horizontal="justify" vertical="center" wrapText="1"/>
    </xf>
    <xf numFmtId="3" fontId="7" fillId="5" borderId="18" xfId="0" applyNumberFormat="1" applyFont="1" applyFill="1" applyBorder="1" applyAlignment="1">
      <alignment horizontal="justify" vertical="center" wrapText="1"/>
    </xf>
    <xf numFmtId="0" fontId="7" fillId="0" borderId="5" xfId="0" applyFont="1" applyFill="1" applyBorder="1" applyAlignment="1">
      <alignment horizontal="center" vertical="center"/>
    </xf>
    <xf numFmtId="42" fontId="7" fillId="5" borderId="1" xfId="8" applyFont="1" applyFill="1" applyBorder="1" applyAlignment="1">
      <alignment horizontal="center" vertical="center" wrapText="1"/>
    </xf>
    <xf numFmtId="0" fontId="8" fillId="0" borderId="1" xfId="0" applyFont="1" applyBorder="1" applyAlignment="1">
      <alignment horizontal="center" vertical="center" wrapText="1"/>
    </xf>
    <xf numFmtId="0" fontId="6" fillId="3" borderId="6"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 xfId="0" applyFont="1" applyFill="1" applyBorder="1" applyAlignment="1">
      <alignment horizontal="center" vertical="center" wrapText="1"/>
    </xf>
    <xf numFmtId="170" fontId="6" fillId="3" borderId="3" xfId="0" applyNumberFormat="1" applyFont="1" applyFill="1" applyBorder="1" applyAlignment="1">
      <alignment horizontal="center" vertical="center" wrapText="1"/>
    </xf>
    <xf numFmtId="170" fontId="6" fillId="3" borderId="5" xfId="0" applyNumberFormat="1"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7" fillId="0" borderId="5" xfId="0" applyFont="1" applyFill="1" applyBorder="1" applyAlignment="1">
      <alignment horizontal="center" vertical="center" wrapText="1"/>
    </xf>
    <xf numFmtId="1" fontId="7" fillId="5" borderId="1" xfId="0" applyNumberFormat="1" applyFont="1" applyFill="1" applyBorder="1" applyAlignment="1">
      <alignment horizontal="center" vertical="center" wrapText="1"/>
    </xf>
    <xf numFmtId="169" fontId="6" fillId="3" borderId="10" xfId="2" applyFont="1" applyFill="1" applyBorder="1" applyAlignment="1">
      <alignment horizontal="center" vertical="center"/>
    </xf>
    <xf numFmtId="169" fontId="6" fillId="3" borderId="11" xfId="2" applyFont="1" applyFill="1" applyBorder="1" applyAlignment="1">
      <alignment horizontal="center" vertical="center"/>
    </xf>
    <xf numFmtId="169" fontId="6" fillId="3" borderId="12" xfId="2" applyFont="1" applyFill="1" applyBorder="1" applyAlignment="1">
      <alignment horizontal="center" vertical="center"/>
    </xf>
    <xf numFmtId="0" fontId="6" fillId="4" borderId="8"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 xfId="0" applyFont="1" applyFill="1" applyBorder="1" applyAlignment="1">
      <alignment horizontal="center" vertical="center" wrapText="1"/>
    </xf>
    <xf numFmtId="43" fontId="6" fillId="4" borderId="1" xfId="7" applyNumberFormat="1" applyFont="1" applyFill="1" applyBorder="1" applyAlignment="1">
      <alignment horizontal="center" vertical="center" wrapText="1"/>
    </xf>
    <xf numFmtId="43" fontId="6" fillId="4" borderId="8" xfId="7" applyNumberFormat="1" applyFont="1" applyFill="1" applyBorder="1" applyAlignment="1">
      <alignment horizontal="center" vertical="center" wrapText="1"/>
    </xf>
    <xf numFmtId="43" fontId="6" fillId="4" borderId="1" xfId="0" applyNumberFormat="1" applyFont="1" applyFill="1" applyBorder="1" applyAlignment="1">
      <alignment horizontal="center" vertical="center" wrapText="1"/>
    </xf>
    <xf numFmtId="43" fontId="6" fillId="4" borderId="8" xfId="0" applyNumberFormat="1" applyFont="1" applyFill="1" applyBorder="1" applyAlignment="1">
      <alignment horizontal="center" vertical="center" wrapText="1"/>
    </xf>
    <xf numFmtId="9" fontId="6" fillId="4" borderId="1" xfId="3" applyFont="1" applyFill="1" applyBorder="1" applyAlignment="1">
      <alignment horizontal="center" vertical="center" wrapText="1"/>
    </xf>
    <xf numFmtId="9" fontId="6" fillId="4" borderId="8" xfId="3"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0" borderId="13"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14" xfId="0" applyFont="1" applyBorder="1" applyAlignment="1">
      <alignment horizontal="center" vertical="center"/>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1" fontId="6" fillId="3" borderId="8" xfId="0" applyNumberFormat="1" applyFont="1" applyFill="1" applyBorder="1" applyAlignment="1">
      <alignment horizontal="center" vertical="center" wrapText="1"/>
    </xf>
    <xf numFmtId="1" fontId="6" fillId="3" borderId="15" xfId="0" applyNumberFormat="1" applyFont="1" applyFill="1" applyBorder="1" applyAlignment="1">
      <alignment horizontal="center" vertical="center" wrapText="1"/>
    </xf>
    <xf numFmtId="170" fontId="6" fillId="3" borderId="6" xfId="0" applyNumberFormat="1" applyFont="1" applyFill="1" applyBorder="1" applyAlignment="1">
      <alignment horizontal="center" vertical="center" wrapText="1"/>
    </xf>
    <xf numFmtId="170" fontId="6" fillId="3" borderId="7" xfId="0" applyNumberFormat="1" applyFont="1" applyFill="1" applyBorder="1" applyAlignment="1">
      <alignment horizontal="center" vertical="center" wrapText="1"/>
    </xf>
    <xf numFmtId="170" fontId="6" fillId="3" borderId="13" xfId="0" applyNumberFormat="1" applyFont="1" applyFill="1" applyBorder="1" applyAlignment="1">
      <alignment horizontal="center" vertical="center" wrapText="1"/>
    </xf>
    <xf numFmtId="170" fontId="6" fillId="3" borderId="14" xfId="0" applyNumberFormat="1" applyFont="1" applyFill="1" applyBorder="1" applyAlignment="1">
      <alignment horizontal="center" vertical="center" wrapText="1"/>
    </xf>
    <xf numFmtId="3" fontId="6" fillId="3" borderId="1" xfId="0" applyNumberFormat="1" applyFont="1" applyFill="1" applyBorder="1" applyAlignment="1">
      <alignment horizontal="center" vertical="center" wrapText="1"/>
    </xf>
    <xf numFmtId="3" fontId="6" fillId="3" borderId="8" xfId="0" applyNumberFormat="1" applyFont="1" applyFill="1" applyBorder="1" applyAlignment="1">
      <alignment horizontal="center" vertical="center" wrapText="1"/>
    </xf>
    <xf numFmtId="0" fontId="6" fillId="0" borderId="0" xfId="0" applyFont="1" applyAlignment="1">
      <alignment horizont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179" fontId="7" fillId="5" borderId="8" xfId="0" applyNumberFormat="1" applyFont="1" applyFill="1" applyBorder="1" applyAlignment="1">
      <alignment horizontal="center" vertical="center"/>
    </xf>
    <xf numFmtId="179" fontId="7" fillId="5" borderId="18" xfId="0" applyNumberFormat="1" applyFont="1" applyFill="1" applyBorder="1" applyAlignment="1">
      <alignment horizontal="center" vertical="center"/>
    </xf>
    <xf numFmtId="0" fontId="7" fillId="0" borderId="8" xfId="0" applyFont="1" applyFill="1" applyBorder="1" applyAlignment="1">
      <alignment horizontal="center"/>
    </xf>
    <xf numFmtId="0" fontId="7" fillId="0" borderId="15" xfId="0" applyFont="1" applyFill="1" applyBorder="1" applyAlignment="1">
      <alignment horizontal="center"/>
    </xf>
    <xf numFmtId="0" fontId="7" fillId="0" borderId="1" xfId="0" applyFont="1" applyFill="1" applyBorder="1" applyAlignment="1">
      <alignment horizontal="center"/>
    </xf>
    <xf numFmtId="1" fontId="7" fillId="0" borderId="8" xfId="0" applyNumberFormat="1" applyFont="1" applyFill="1" applyBorder="1" applyAlignment="1">
      <alignment horizontal="center" vertical="center" wrapText="1"/>
    </xf>
    <xf numFmtId="1" fontId="7" fillId="0" borderId="15" xfId="0" applyNumberFormat="1" applyFont="1" applyFill="1" applyBorder="1" applyAlignment="1">
      <alignment horizontal="center" vertical="center" wrapText="1"/>
    </xf>
    <xf numFmtId="0" fontId="7" fillId="0" borderId="15" xfId="0" applyFont="1" applyFill="1" applyBorder="1" applyAlignment="1">
      <alignment horizontal="center" vertical="top" wrapText="1"/>
    </xf>
    <xf numFmtId="0" fontId="7" fillId="0" borderId="18" xfId="0" applyFont="1" applyFill="1" applyBorder="1" applyAlignment="1">
      <alignment horizontal="center" vertical="top" wrapText="1"/>
    </xf>
    <xf numFmtId="1" fontId="7" fillId="5" borderId="15" xfId="0" applyNumberFormat="1" applyFont="1" applyFill="1" applyBorder="1" applyAlignment="1">
      <alignment horizontal="center" vertical="top"/>
    </xf>
    <xf numFmtId="1" fontId="7" fillId="5" borderId="18" xfId="0" applyNumberFormat="1" applyFont="1" applyFill="1" applyBorder="1" applyAlignment="1">
      <alignment horizontal="center" vertical="top"/>
    </xf>
    <xf numFmtId="1" fontId="7" fillId="5" borderId="15" xfId="0" applyNumberFormat="1" applyFont="1" applyFill="1" applyBorder="1" applyAlignment="1">
      <alignment horizontal="center" vertical="top" wrapText="1"/>
    </xf>
    <xf numFmtId="1" fontId="7" fillId="5" borderId="18" xfId="0" applyNumberFormat="1" applyFont="1" applyFill="1" applyBorder="1" applyAlignment="1">
      <alignment horizontal="center" vertical="top" wrapText="1"/>
    </xf>
    <xf numFmtId="1" fontId="7" fillId="0" borderId="8" xfId="0" applyNumberFormat="1" applyFont="1" applyFill="1" applyBorder="1" applyAlignment="1">
      <alignment horizontal="center" vertical="center"/>
    </xf>
    <xf numFmtId="1" fontId="7" fillId="0" borderId="18" xfId="0" applyNumberFormat="1" applyFont="1" applyFill="1" applyBorder="1" applyAlignment="1">
      <alignment horizontal="center" vertical="center"/>
    </xf>
    <xf numFmtId="43" fontId="7" fillId="0" borderId="8" xfId="6" applyFont="1" applyFill="1" applyBorder="1" applyAlignment="1">
      <alignment horizontal="right" vertical="center"/>
    </xf>
    <xf numFmtId="43" fontId="7" fillId="0" borderId="18" xfId="6" applyFont="1" applyFill="1" applyBorder="1" applyAlignment="1">
      <alignment horizontal="right" vertical="center"/>
    </xf>
    <xf numFmtId="9" fontId="7" fillId="0" borderId="8" xfId="5" applyFont="1" applyFill="1" applyBorder="1" applyAlignment="1">
      <alignment horizontal="center" vertical="center"/>
    </xf>
    <xf numFmtId="9" fontId="7" fillId="0" borderId="18" xfId="5" applyFont="1" applyFill="1" applyBorder="1" applyAlignment="1">
      <alignment horizontal="center" vertical="center"/>
    </xf>
    <xf numFmtId="1" fontId="7" fillId="0" borderId="8" xfId="0" applyNumberFormat="1" applyFont="1" applyFill="1" applyBorder="1" applyAlignment="1">
      <alignment horizontal="justify" vertical="center"/>
    </xf>
    <xf numFmtId="1" fontId="7" fillId="0" borderId="18" xfId="0" applyNumberFormat="1" applyFont="1" applyFill="1" applyBorder="1" applyAlignment="1">
      <alignment horizontal="justify" vertical="center"/>
    </xf>
    <xf numFmtId="1" fontId="7" fillId="0" borderId="15" xfId="0" applyNumberFormat="1" applyFont="1" applyFill="1" applyBorder="1" applyAlignment="1">
      <alignment horizontal="center" vertical="center"/>
    </xf>
    <xf numFmtId="1" fontId="7" fillId="0" borderId="18" xfId="0" applyNumberFormat="1" applyFont="1" applyFill="1" applyBorder="1" applyAlignment="1">
      <alignment horizontal="center" vertical="center" wrapText="1"/>
    </xf>
    <xf numFmtId="1" fontId="7" fillId="5" borderId="8" xfId="0" applyNumberFormat="1" applyFont="1" applyFill="1" applyBorder="1" applyAlignment="1">
      <alignment horizontal="center"/>
    </xf>
    <xf numFmtId="1" fontId="7" fillId="5" borderId="15" xfId="0" applyNumberFormat="1" applyFont="1" applyFill="1" applyBorder="1" applyAlignment="1">
      <alignment horizontal="center"/>
    </xf>
    <xf numFmtId="178" fontId="7" fillId="5" borderId="8" xfId="0" applyNumberFormat="1" applyFont="1" applyFill="1" applyBorder="1" applyAlignment="1">
      <alignment horizontal="center" vertical="center"/>
    </xf>
    <xf numFmtId="178" fontId="7" fillId="5" borderId="15" xfId="0" applyNumberFormat="1" applyFont="1" applyFill="1" applyBorder="1" applyAlignment="1">
      <alignment horizontal="center" vertical="center"/>
    </xf>
    <xf numFmtId="178" fontId="7" fillId="5" borderId="18" xfId="0" applyNumberFormat="1" applyFont="1" applyFill="1" applyBorder="1" applyAlignment="1">
      <alignment horizontal="center" vertical="center"/>
    </xf>
    <xf numFmtId="0" fontId="7" fillId="5" borderId="1" xfId="0" applyFont="1" applyFill="1" applyBorder="1" applyAlignment="1">
      <alignment horizontal="justify" vertical="center"/>
    </xf>
    <xf numFmtId="0" fontId="7" fillId="5" borderId="1" xfId="0" applyFont="1" applyFill="1" applyBorder="1" applyAlignment="1">
      <alignment horizontal="center" vertical="center"/>
    </xf>
    <xf numFmtId="1" fontId="7" fillId="5" borderId="1" xfId="0" applyNumberFormat="1" applyFont="1" applyFill="1" applyBorder="1" applyAlignment="1">
      <alignment horizontal="center" vertical="center"/>
    </xf>
    <xf numFmtId="1" fontId="7" fillId="5" borderId="8" xfId="0" applyNumberFormat="1" applyFont="1" applyFill="1" applyBorder="1" applyAlignment="1">
      <alignment horizontal="center" vertical="center"/>
    </xf>
    <xf numFmtId="1" fontId="7" fillId="5" borderId="18" xfId="0" applyNumberFormat="1" applyFont="1" applyFill="1" applyBorder="1" applyAlignment="1">
      <alignment horizontal="center" vertical="center"/>
    </xf>
    <xf numFmtId="9" fontId="7" fillId="5" borderId="1" xfId="5" applyFont="1" applyFill="1" applyBorder="1" applyAlignment="1">
      <alignment horizontal="center" vertical="center"/>
    </xf>
    <xf numFmtId="0" fontId="7" fillId="0" borderId="16" xfId="0" applyFont="1" applyFill="1" applyBorder="1" applyAlignment="1">
      <alignment horizontal="center" vertical="center" wrapText="1"/>
    </xf>
    <xf numFmtId="1" fontId="7" fillId="0" borderId="15" xfId="0" applyNumberFormat="1" applyFont="1" applyFill="1" applyBorder="1" applyAlignment="1">
      <alignment horizontal="center" vertical="top"/>
    </xf>
    <xf numFmtId="0" fontId="7" fillId="0" borderId="8" xfId="0" applyFont="1" applyFill="1" applyBorder="1" applyAlignment="1">
      <alignment horizontal="center" wrapText="1"/>
    </xf>
    <xf numFmtId="0" fontId="7" fillId="0" borderId="15" xfId="0" applyFont="1" applyFill="1" applyBorder="1" applyAlignment="1">
      <alignment horizontal="center" wrapText="1"/>
    </xf>
    <xf numFmtId="0" fontId="7" fillId="0" borderId="8" xfId="0" applyFont="1" applyFill="1" applyBorder="1" applyAlignment="1">
      <alignment horizontal="justify" vertical="center" wrapText="1"/>
    </xf>
    <xf numFmtId="0" fontId="7" fillId="0" borderId="8" xfId="0" applyFont="1" applyFill="1" applyBorder="1" applyAlignment="1">
      <alignment horizontal="center" vertical="center" wrapText="1"/>
    </xf>
    <xf numFmtId="0" fontId="7" fillId="0" borderId="15" xfId="0" applyFont="1" applyFill="1" applyBorder="1" applyAlignment="1">
      <alignment horizontal="center" vertical="center" wrapText="1"/>
    </xf>
    <xf numFmtId="14" fontId="7" fillId="0" borderId="1" xfId="0" applyNumberFormat="1" applyFont="1" applyFill="1" applyBorder="1" applyAlignment="1">
      <alignment horizontal="center" vertical="center"/>
    </xf>
    <xf numFmtId="14" fontId="7" fillId="0" borderId="8" xfId="0" applyNumberFormat="1" applyFont="1" applyFill="1" applyBorder="1" applyAlignment="1">
      <alignment horizontal="center" vertical="center"/>
    </xf>
    <xf numFmtId="14" fontId="7" fillId="0" borderId="15" xfId="0" applyNumberFormat="1" applyFont="1" applyFill="1" applyBorder="1" applyAlignment="1">
      <alignment horizontal="center" vertical="center"/>
    </xf>
    <xf numFmtId="0" fontId="7" fillId="0" borderId="1" xfId="0" applyFont="1" applyFill="1" applyBorder="1" applyAlignment="1">
      <alignment horizontal="justify" vertical="center"/>
    </xf>
    <xf numFmtId="0" fontId="7" fillId="0" borderId="8" xfId="0" applyFont="1" applyFill="1" applyBorder="1" applyAlignment="1">
      <alignment horizontal="center" vertical="center"/>
    </xf>
    <xf numFmtId="0" fontId="7" fillId="0" borderId="15" xfId="0" applyFont="1" applyFill="1" applyBorder="1" applyAlignment="1">
      <alignment horizontal="center" vertical="center"/>
    </xf>
    <xf numFmtId="43" fontId="7" fillId="0" borderId="15" xfId="6" applyFont="1" applyFill="1" applyBorder="1" applyAlignment="1">
      <alignment horizontal="right" vertical="center"/>
    </xf>
    <xf numFmtId="9" fontId="7" fillId="0" borderId="15" xfId="5" applyFont="1" applyFill="1" applyBorder="1" applyAlignment="1">
      <alignment horizontal="center" vertical="center"/>
    </xf>
    <xf numFmtId="9" fontId="7" fillId="0" borderId="1" xfId="5" applyFont="1" applyFill="1" applyBorder="1" applyAlignment="1">
      <alignment horizontal="center" vertical="center"/>
    </xf>
    <xf numFmtId="178" fontId="7" fillId="0" borderId="1" xfId="0" applyNumberFormat="1" applyFont="1" applyFill="1" applyBorder="1" applyAlignment="1">
      <alignment horizontal="right" vertical="center"/>
    </xf>
    <xf numFmtId="1" fontId="7" fillId="0" borderId="8" xfId="0" applyNumberFormat="1" applyFont="1" applyFill="1" applyBorder="1" applyAlignment="1">
      <alignment horizontal="center"/>
    </xf>
    <xf numFmtId="1" fontId="7" fillId="0" borderId="15" xfId="0" applyNumberFormat="1" applyFont="1" applyFill="1" applyBorder="1" applyAlignment="1">
      <alignment horizontal="center"/>
    </xf>
    <xf numFmtId="2" fontId="7" fillId="0" borderId="8" xfId="0" applyNumberFormat="1" applyFont="1" applyFill="1" applyBorder="1" applyAlignment="1">
      <alignment horizontal="center" vertical="center"/>
    </xf>
    <xf numFmtId="2" fontId="7" fillId="0" borderId="15" xfId="0" applyNumberFormat="1" applyFont="1" applyFill="1" applyBorder="1" applyAlignment="1">
      <alignment horizontal="center" vertical="center"/>
    </xf>
    <xf numFmtId="179" fontId="7" fillId="5" borderId="1" xfId="0" applyNumberFormat="1" applyFont="1" applyFill="1" applyBorder="1" applyAlignment="1">
      <alignment horizontal="center" vertical="center"/>
    </xf>
    <xf numFmtId="179" fontId="7" fillId="5" borderId="15" xfId="0" applyNumberFormat="1" applyFont="1" applyFill="1" applyBorder="1" applyAlignment="1">
      <alignment horizontal="center" vertical="center"/>
    </xf>
    <xf numFmtId="178" fontId="7" fillId="5" borderId="1" xfId="0" applyNumberFormat="1" applyFont="1" applyFill="1" applyBorder="1" applyAlignment="1">
      <alignment horizontal="right" vertical="center"/>
    </xf>
    <xf numFmtId="0" fontId="7" fillId="5" borderId="15" xfId="0" applyFont="1" applyFill="1" applyBorder="1" applyAlignment="1">
      <alignment horizontal="center" vertical="top" wrapText="1"/>
    </xf>
    <xf numFmtId="0" fontId="7" fillId="5" borderId="18" xfId="0" applyFont="1" applyFill="1" applyBorder="1" applyAlignment="1">
      <alignment horizontal="center" vertical="top" wrapText="1"/>
    </xf>
    <xf numFmtId="43" fontId="7" fillId="0" borderId="8" xfId="6" applyFont="1" applyFill="1" applyBorder="1" applyAlignment="1">
      <alignment horizontal="right" vertical="center" wrapText="1"/>
    </xf>
    <xf numFmtId="43" fontId="7" fillId="0" borderId="15" xfId="6" applyFont="1" applyFill="1" applyBorder="1" applyAlignment="1">
      <alignment horizontal="right" vertical="center" wrapText="1"/>
    </xf>
    <xf numFmtId="43" fontId="7" fillId="0" borderId="18" xfId="6" applyFont="1" applyFill="1" applyBorder="1" applyAlignment="1">
      <alignment horizontal="right" vertical="center" wrapText="1"/>
    </xf>
    <xf numFmtId="9" fontId="7" fillId="0" borderId="8" xfId="5" applyFont="1" applyFill="1" applyBorder="1" applyAlignment="1">
      <alignment horizontal="center" vertical="center" wrapText="1"/>
    </xf>
    <xf numFmtId="9" fontId="7" fillId="0" borderId="15" xfId="5" applyFont="1" applyFill="1" applyBorder="1" applyAlignment="1">
      <alignment horizontal="center" vertical="center" wrapText="1"/>
    </xf>
    <xf numFmtId="9" fontId="7" fillId="0" borderId="18" xfId="5" applyFont="1" applyFill="1" applyBorder="1" applyAlignment="1">
      <alignment horizontal="center" vertical="center" wrapText="1"/>
    </xf>
    <xf numFmtId="0" fontId="7" fillId="5" borderId="8" xfId="0" applyFont="1" applyFill="1" applyBorder="1" applyAlignment="1">
      <alignment horizontal="center" wrapText="1"/>
    </xf>
    <xf numFmtId="0" fontId="7" fillId="5" borderId="15" xfId="0" applyFont="1" applyFill="1" applyBorder="1" applyAlignment="1">
      <alignment horizontal="center" wrapText="1"/>
    </xf>
    <xf numFmtId="2" fontId="7" fillId="5" borderId="8" xfId="0" applyNumberFormat="1" applyFont="1" applyFill="1" applyBorder="1" applyAlignment="1">
      <alignment horizontal="center" vertical="center"/>
    </xf>
    <xf numFmtId="2" fontId="7" fillId="5" borderId="15" xfId="0" applyNumberFormat="1" applyFont="1" applyFill="1" applyBorder="1" applyAlignment="1">
      <alignment horizontal="center" vertical="center"/>
    </xf>
    <xf numFmtId="2" fontId="7" fillId="5" borderId="18" xfId="0" applyNumberFormat="1" applyFont="1" applyFill="1" applyBorder="1" applyAlignment="1">
      <alignment horizontal="center" vertical="center"/>
    </xf>
    <xf numFmtId="178" fontId="7" fillId="0" borderId="16" xfId="0" applyNumberFormat="1" applyFont="1" applyFill="1" applyBorder="1" applyAlignment="1">
      <alignment vertical="center" wrapText="1"/>
    </xf>
    <xf numFmtId="1" fontId="7" fillId="5" borderId="16" xfId="0" applyNumberFormat="1" applyFont="1" applyFill="1" applyBorder="1" applyAlignment="1">
      <alignment horizontal="center"/>
    </xf>
    <xf numFmtId="0" fontId="6" fillId="5" borderId="0" xfId="0" applyFont="1" applyFill="1" applyBorder="1" applyAlignment="1">
      <alignment horizontal="center" vertical="center" wrapText="1"/>
    </xf>
    <xf numFmtId="0" fontId="7" fillId="5" borderId="16" xfId="0" applyFont="1" applyFill="1" applyBorder="1" applyAlignment="1">
      <alignment horizontal="center"/>
    </xf>
    <xf numFmtId="0" fontId="7" fillId="5" borderId="0" xfId="0" applyFont="1" applyFill="1" applyBorder="1" applyAlignment="1">
      <alignment horizontal="center"/>
    </xf>
    <xf numFmtId="1" fontId="7" fillId="5" borderId="8" xfId="0" applyNumberFormat="1" applyFont="1" applyFill="1" applyBorder="1" applyAlignment="1">
      <alignment horizontal="center" vertical="center" wrapText="1"/>
    </xf>
    <xf numFmtId="1" fontId="7" fillId="5" borderId="15" xfId="0" applyNumberFormat="1" applyFont="1" applyFill="1" applyBorder="1" applyAlignment="1">
      <alignment horizontal="center" vertical="center" wrapText="1"/>
    </xf>
    <xf numFmtId="1" fontId="7" fillId="5" borderId="18" xfId="0" applyNumberFormat="1" applyFont="1" applyFill="1" applyBorder="1" applyAlignment="1">
      <alignment horizontal="center" vertical="center" wrapText="1"/>
    </xf>
    <xf numFmtId="1" fontId="7" fillId="5" borderId="8" xfId="0" applyNumberFormat="1" applyFont="1" applyFill="1" applyBorder="1" applyAlignment="1">
      <alignment horizontal="justify" vertical="center" wrapText="1"/>
    </xf>
    <xf numFmtId="1" fontId="7" fillId="5" borderId="15" xfId="0" applyNumberFormat="1" applyFont="1" applyFill="1" applyBorder="1" applyAlignment="1">
      <alignment horizontal="justify" vertical="center" wrapText="1"/>
    </xf>
    <xf numFmtId="1" fontId="7" fillId="5" borderId="18" xfId="0" applyNumberFormat="1" applyFont="1" applyFill="1" applyBorder="1" applyAlignment="1">
      <alignment horizontal="justify" vertical="center" wrapText="1"/>
    </xf>
    <xf numFmtId="179" fontId="7" fillId="5" borderId="8" xfId="0" applyNumberFormat="1" applyFont="1" applyFill="1" applyBorder="1" applyAlignment="1">
      <alignment horizontal="center" vertical="center" wrapText="1"/>
    </xf>
    <xf numFmtId="179" fontId="7" fillId="5" borderId="15" xfId="0" applyNumberFormat="1" applyFont="1" applyFill="1" applyBorder="1" applyAlignment="1">
      <alignment horizontal="center" vertical="center" wrapText="1"/>
    </xf>
    <xf numFmtId="179" fontId="7" fillId="5" borderId="18" xfId="0" applyNumberFormat="1" applyFont="1" applyFill="1" applyBorder="1" applyAlignment="1">
      <alignment horizontal="center" vertical="center" wrapText="1"/>
    </xf>
    <xf numFmtId="1" fontId="6" fillId="5" borderId="8" xfId="0" applyNumberFormat="1" applyFont="1" applyFill="1" applyBorder="1" applyAlignment="1">
      <alignment horizontal="center" vertical="center" wrapText="1"/>
    </xf>
    <xf numFmtId="1" fontId="6" fillId="5" borderId="15" xfId="0" applyNumberFormat="1" applyFont="1" applyFill="1" applyBorder="1" applyAlignment="1">
      <alignment horizontal="center" vertical="center" wrapText="1"/>
    </xf>
    <xf numFmtId="1" fontId="6" fillId="5" borderId="18" xfId="0" applyNumberFormat="1" applyFont="1" applyFill="1" applyBorder="1" applyAlignment="1">
      <alignment horizontal="center" vertical="center" wrapText="1"/>
    </xf>
    <xf numFmtId="178" fontId="7" fillId="5" borderId="8" xfId="6" applyNumberFormat="1" applyFont="1" applyFill="1" applyBorder="1" applyAlignment="1">
      <alignment horizontal="right" vertical="center" wrapText="1"/>
    </xf>
    <xf numFmtId="43" fontId="7" fillId="5" borderId="15" xfId="6" applyFont="1" applyFill="1" applyBorder="1" applyAlignment="1">
      <alignment horizontal="right" vertical="center" wrapText="1"/>
    </xf>
    <xf numFmtId="43" fontId="7" fillId="5" borderId="18" xfId="6" applyFont="1" applyFill="1" applyBorder="1" applyAlignment="1">
      <alignment horizontal="right" vertical="center" wrapText="1"/>
    </xf>
    <xf numFmtId="9" fontId="7" fillId="5" borderId="8" xfId="5" applyFont="1" applyFill="1" applyBorder="1" applyAlignment="1">
      <alignment horizontal="center" vertical="center" wrapText="1"/>
    </xf>
    <xf numFmtId="9" fontId="7" fillId="5" borderId="15" xfId="5" applyFont="1" applyFill="1" applyBorder="1" applyAlignment="1">
      <alignment horizontal="center" vertical="center" wrapText="1"/>
    </xf>
    <xf numFmtId="9" fontId="7" fillId="5" borderId="18" xfId="5" applyFont="1" applyFill="1" applyBorder="1" applyAlignment="1">
      <alignment horizontal="center" vertical="center" wrapText="1"/>
    </xf>
    <xf numFmtId="1" fontId="7" fillId="5" borderId="8" xfId="0" applyNumberFormat="1" applyFont="1" applyFill="1" applyBorder="1" applyAlignment="1">
      <alignment horizontal="center" wrapText="1"/>
    </xf>
    <xf numFmtId="1" fontId="7" fillId="5" borderId="15" xfId="0" applyNumberFormat="1" applyFont="1" applyFill="1" applyBorder="1" applyAlignment="1">
      <alignment horizontal="center" wrapText="1"/>
    </xf>
    <xf numFmtId="178" fontId="7" fillId="5" borderId="8" xfId="0" applyNumberFormat="1" applyFont="1" applyFill="1" applyBorder="1" applyAlignment="1">
      <alignment horizontal="right" vertical="center" wrapText="1"/>
    </xf>
    <xf numFmtId="178" fontId="7" fillId="5" borderId="15" xfId="0" applyNumberFormat="1" applyFont="1" applyFill="1" applyBorder="1" applyAlignment="1">
      <alignment horizontal="right" vertical="center" wrapText="1"/>
    </xf>
    <xf numFmtId="178" fontId="7" fillId="5" borderId="18" xfId="0" applyNumberFormat="1" applyFont="1" applyFill="1" applyBorder="1" applyAlignment="1">
      <alignment horizontal="right" vertical="center" wrapText="1"/>
    </xf>
    <xf numFmtId="0" fontId="7" fillId="5" borderId="8" xfId="0" applyFont="1" applyFill="1" applyBorder="1" applyAlignment="1">
      <alignment horizontal="center" vertical="center" wrapText="1"/>
    </xf>
    <xf numFmtId="0" fontId="7" fillId="5" borderId="18" xfId="0" applyFont="1" applyFill="1" applyBorder="1" applyAlignment="1">
      <alignment horizontal="center" vertical="center" wrapText="1"/>
    </xf>
    <xf numFmtId="179" fontId="7" fillId="5" borderId="1" xfId="0" applyNumberFormat="1" applyFont="1" applyFill="1" applyBorder="1" applyAlignment="1">
      <alignment horizontal="center" vertical="center" wrapText="1"/>
    </xf>
    <xf numFmtId="3" fontId="7" fillId="5" borderId="1" xfId="0" applyNumberFormat="1" applyFont="1" applyFill="1" applyBorder="1" applyAlignment="1">
      <alignment horizontal="justify" vertical="center" wrapText="1"/>
    </xf>
    <xf numFmtId="1" fontId="6" fillId="5" borderId="8" xfId="0" applyNumberFormat="1" applyFont="1" applyFill="1" applyBorder="1" applyAlignment="1">
      <alignment horizontal="center" vertical="center" textRotation="180" wrapText="1"/>
    </xf>
    <xf numFmtId="1" fontId="6" fillId="5" borderId="15" xfId="0" applyNumberFormat="1" applyFont="1" applyFill="1" applyBorder="1" applyAlignment="1">
      <alignment horizontal="center" vertical="center" textRotation="180" wrapText="1"/>
    </xf>
    <xf numFmtId="1" fontId="6" fillId="5" borderId="18" xfId="0" applyNumberFormat="1" applyFont="1" applyFill="1" applyBorder="1" applyAlignment="1">
      <alignment horizontal="center" vertical="center" textRotation="180" wrapText="1"/>
    </xf>
    <xf numFmtId="178" fontId="7" fillId="5" borderId="1" xfId="0" applyNumberFormat="1" applyFont="1" applyFill="1" applyBorder="1" applyAlignment="1">
      <alignment horizontal="right" vertical="center" wrapText="1"/>
    </xf>
    <xf numFmtId="0" fontId="7" fillId="5" borderId="15" xfId="0" applyFont="1" applyFill="1" applyBorder="1" applyAlignment="1">
      <alignment horizontal="center" vertical="center" wrapText="1"/>
    </xf>
    <xf numFmtId="0" fontId="8" fillId="0" borderId="8" xfId="0" applyFont="1" applyBorder="1" applyAlignment="1">
      <alignment horizontal="center"/>
    </xf>
    <xf numFmtId="0" fontId="8" fillId="0" borderId="15" xfId="0" applyFont="1" applyBorder="1" applyAlignment="1">
      <alignment horizontal="center"/>
    </xf>
    <xf numFmtId="43" fontId="6" fillId="5" borderId="8" xfId="6" applyFont="1" applyFill="1" applyBorder="1" applyAlignment="1">
      <alignment horizontal="right" vertical="center" textRotation="180" wrapText="1"/>
    </xf>
    <xf numFmtId="43" fontId="6" fillId="5" borderId="15" xfId="6" applyFont="1" applyFill="1" applyBorder="1" applyAlignment="1">
      <alignment horizontal="right" vertical="center" textRotation="180" wrapText="1"/>
    </xf>
    <xf numFmtId="43" fontId="6" fillId="5" borderId="18" xfId="6" applyFont="1" applyFill="1" applyBorder="1" applyAlignment="1">
      <alignment horizontal="right" vertical="center" textRotation="180" wrapText="1"/>
    </xf>
    <xf numFmtId="9" fontId="7" fillId="5" borderId="1" xfId="5"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16" xfId="0" applyFont="1" applyFill="1" applyBorder="1" applyAlignment="1">
      <alignment horizontal="center" vertical="center" wrapText="1"/>
    </xf>
    <xf numFmtId="1" fontId="7" fillId="0" borderId="8" xfId="0" applyNumberFormat="1" applyFont="1" applyFill="1" applyBorder="1" applyAlignment="1">
      <alignment horizontal="justify" vertical="center" wrapText="1"/>
    </xf>
    <xf numFmtId="1" fontId="7" fillId="0" borderId="18" xfId="0" applyNumberFormat="1" applyFont="1" applyFill="1" applyBorder="1" applyAlignment="1">
      <alignment horizontal="justify" vertical="center" wrapText="1"/>
    </xf>
    <xf numFmtId="179" fontId="7" fillId="0" borderId="8" xfId="0" applyNumberFormat="1" applyFont="1" applyFill="1" applyBorder="1" applyAlignment="1">
      <alignment horizontal="center" vertical="center"/>
    </xf>
    <xf numFmtId="179" fontId="7" fillId="0" borderId="18" xfId="0" applyNumberFormat="1" applyFont="1" applyFill="1" applyBorder="1" applyAlignment="1">
      <alignment horizontal="center" vertical="center"/>
    </xf>
    <xf numFmtId="1" fontId="7" fillId="0" borderId="7" xfId="0" applyNumberFormat="1" applyFont="1" applyFill="1" applyBorder="1" applyAlignment="1">
      <alignment horizontal="center"/>
    </xf>
    <xf numFmtId="1" fontId="7" fillId="0" borderId="17" xfId="0" applyNumberFormat="1" applyFont="1" applyFill="1" applyBorder="1" applyAlignment="1">
      <alignment horizontal="center"/>
    </xf>
    <xf numFmtId="179" fontId="7" fillId="0" borderId="1" xfId="0" applyNumberFormat="1" applyFont="1" applyFill="1" applyBorder="1" applyAlignment="1">
      <alignment horizontal="center" vertical="center"/>
    </xf>
    <xf numFmtId="1" fontId="7" fillId="0" borderId="18" xfId="0" applyNumberFormat="1" applyFont="1" applyFill="1" applyBorder="1" applyAlignment="1">
      <alignment horizontal="center" vertical="top"/>
    </xf>
    <xf numFmtId="1" fontId="7" fillId="0" borderId="17" xfId="0" applyNumberFormat="1" applyFont="1" applyFill="1" applyBorder="1" applyAlignment="1">
      <alignment horizontal="center" vertical="top" wrapText="1"/>
    </xf>
    <xf numFmtId="1" fontId="7" fillId="0" borderId="14" xfId="0" applyNumberFormat="1" applyFont="1" applyFill="1" applyBorder="1" applyAlignment="1">
      <alignment horizontal="center" vertical="top" wrapText="1"/>
    </xf>
    <xf numFmtId="182" fontId="7" fillId="0" borderId="8" xfId="0" applyNumberFormat="1" applyFont="1" applyFill="1" applyBorder="1" applyAlignment="1">
      <alignment horizontal="center" vertical="center"/>
    </xf>
    <xf numFmtId="182" fontId="7" fillId="0" borderId="18" xfId="0" applyNumberFormat="1" applyFont="1" applyFill="1" applyBorder="1" applyAlignment="1">
      <alignment horizontal="center" vertical="center"/>
    </xf>
    <xf numFmtId="1" fontId="7" fillId="0" borderId="15" xfId="0" applyNumberFormat="1" applyFont="1" applyFill="1" applyBorder="1" applyAlignment="1">
      <alignment horizontal="justify" vertical="center" wrapText="1"/>
    </xf>
    <xf numFmtId="179" fontId="7" fillId="0" borderId="15" xfId="0" applyNumberFormat="1" applyFont="1" applyFill="1" applyBorder="1" applyAlignment="1">
      <alignment horizontal="center" vertical="center"/>
    </xf>
    <xf numFmtId="178" fontId="7" fillId="0" borderId="8" xfId="6" applyNumberFormat="1" applyFont="1" applyFill="1" applyBorder="1" applyAlignment="1">
      <alignment horizontal="right" vertical="center" wrapText="1"/>
    </xf>
    <xf numFmtId="0" fontId="7" fillId="0" borderId="18" xfId="0" applyFont="1" applyFill="1" applyBorder="1" applyAlignment="1">
      <alignment horizontal="center" vertical="center"/>
    </xf>
    <xf numFmtId="1" fontId="7" fillId="0" borderId="8" xfId="0" applyNumberFormat="1" applyFont="1" applyFill="1" applyBorder="1" applyAlignment="1">
      <alignment horizontal="center" vertical="center" textRotation="180" wrapText="1"/>
    </xf>
    <xf numFmtId="1" fontId="7" fillId="0" borderId="15" xfId="0" applyNumberFormat="1" applyFont="1" applyFill="1" applyBorder="1" applyAlignment="1">
      <alignment horizontal="center" vertical="center" textRotation="180" wrapText="1"/>
    </xf>
    <xf numFmtId="1" fontId="7" fillId="0" borderId="18" xfId="0" applyNumberFormat="1" applyFont="1" applyFill="1" applyBorder="1" applyAlignment="1">
      <alignment horizontal="center" vertical="center" textRotation="180" wrapText="1"/>
    </xf>
    <xf numFmtId="43" fontId="7" fillId="0" borderId="8" xfId="6" applyFont="1" applyFill="1" applyBorder="1" applyAlignment="1">
      <alignment horizontal="right" vertical="center" textRotation="180" wrapText="1"/>
    </xf>
    <xf numFmtId="43" fontId="7" fillId="0" borderId="15" xfId="6" applyFont="1" applyFill="1" applyBorder="1" applyAlignment="1">
      <alignment horizontal="right" vertical="center" textRotation="180" wrapText="1"/>
    </xf>
    <xf numFmtId="43" fontId="7" fillId="0" borderId="18" xfId="6" applyFont="1" applyFill="1" applyBorder="1" applyAlignment="1">
      <alignment horizontal="right" vertical="center" textRotation="180" wrapText="1"/>
    </xf>
    <xf numFmtId="0" fontId="7" fillId="5" borderId="8" xfId="0" applyFont="1" applyFill="1" applyBorder="1" applyAlignment="1">
      <alignment horizontal="center" vertical="center"/>
    </xf>
    <xf numFmtId="0" fontId="7" fillId="5" borderId="15" xfId="0" applyFont="1" applyFill="1" applyBorder="1" applyAlignment="1">
      <alignment horizontal="center" vertical="center"/>
    </xf>
    <xf numFmtId="0" fontId="7" fillId="5" borderId="18" xfId="0" applyFont="1" applyFill="1" applyBorder="1" applyAlignment="1">
      <alignment horizontal="center" vertical="center"/>
    </xf>
    <xf numFmtId="14" fontId="7" fillId="5" borderId="1" xfId="0" applyNumberFormat="1" applyFont="1" applyFill="1" applyBorder="1" applyAlignment="1">
      <alignment horizontal="justify" vertical="center"/>
    </xf>
    <xf numFmtId="1" fontId="7" fillId="0" borderId="1" xfId="0" applyNumberFormat="1" applyFont="1" applyFill="1" applyBorder="1" applyAlignment="1">
      <alignment horizontal="justify" vertical="center" wrapText="1"/>
    </xf>
    <xf numFmtId="1" fontId="7" fillId="5" borderId="15" xfId="0" applyNumberFormat="1" applyFont="1" applyFill="1" applyBorder="1" applyAlignment="1">
      <alignment horizontal="center" vertical="center"/>
    </xf>
    <xf numFmtId="0" fontId="7" fillId="5" borderId="17" xfId="0"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1" fontId="6" fillId="0" borderId="8" xfId="0" applyNumberFormat="1" applyFont="1" applyFill="1" applyBorder="1" applyAlignment="1">
      <alignment horizontal="center" vertical="center" wrapText="1"/>
    </xf>
    <xf numFmtId="1" fontId="6" fillId="0" borderId="15" xfId="0" applyNumberFormat="1" applyFont="1" applyFill="1" applyBorder="1" applyAlignment="1">
      <alignment horizontal="center" vertical="center" wrapText="1"/>
    </xf>
    <xf numFmtId="1" fontId="6" fillId="0" borderId="18" xfId="0" applyNumberFormat="1" applyFont="1" applyFill="1" applyBorder="1" applyAlignment="1">
      <alignment horizontal="center" vertical="center" wrapText="1"/>
    </xf>
    <xf numFmtId="0" fontId="6" fillId="4" borderId="18" xfId="0" applyFont="1" applyFill="1" applyBorder="1" applyAlignment="1">
      <alignment horizontal="center" vertical="center" wrapText="1"/>
    </xf>
    <xf numFmtId="43" fontId="6" fillId="4" borderId="8" xfId="6" applyFont="1" applyFill="1" applyBorder="1" applyAlignment="1">
      <alignment horizontal="right" vertical="center" wrapText="1"/>
    </xf>
    <xf numFmtId="43" fontId="6" fillId="4" borderId="18" xfId="6" applyFont="1" applyFill="1" applyBorder="1" applyAlignment="1">
      <alignment horizontal="right" vertical="center" wrapText="1"/>
    </xf>
    <xf numFmtId="0" fontId="6" fillId="3" borderId="18" xfId="0" applyFont="1" applyFill="1" applyBorder="1" applyAlignment="1">
      <alignment horizontal="center" vertical="center" wrapText="1"/>
    </xf>
    <xf numFmtId="9" fontId="6" fillId="3" borderId="8" xfId="5" applyFont="1" applyFill="1" applyBorder="1" applyAlignment="1">
      <alignment horizontal="center" vertical="center" wrapText="1"/>
    </xf>
    <xf numFmtId="9" fontId="6" fillId="3" borderId="15" xfId="5" applyFont="1" applyFill="1" applyBorder="1" applyAlignment="1">
      <alignment horizontal="center" vertical="center" wrapText="1"/>
    </xf>
    <xf numFmtId="9" fontId="6" fillId="3" borderId="18" xfId="5" applyFont="1" applyFill="1" applyBorder="1" applyAlignment="1">
      <alignment horizontal="center" vertical="center" wrapText="1"/>
    </xf>
    <xf numFmtId="179" fontId="6" fillId="3" borderId="8" xfId="0" applyNumberFormat="1" applyFont="1" applyFill="1" applyBorder="1" applyAlignment="1">
      <alignment horizontal="center" vertical="center" wrapText="1"/>
    </xf>
    <xf numFmtId="179" fontId="6" fillId="3" borderId="18" xfId="0" applyNumberFormat="1" applyFont="1" applyFill="1" applyBorder="1" applyAlignment="1">
      <alignment horizontal="center" vertical="center" wrapText="1"/>
    </xf>
    <xf numFmtId="9" fontId="6" fillId="4" borderId="18" xfId="3" applyFont="1" applyFill="1" applyBorder="1" applyAlignment="1">
      <alignment horizontal="center" vertical="center" wrapText="1"/>
    </xf>
    <xf numFmtId="1" fontId="6" fillId="3" borderId="18" xfId="0" applyNumberFormat="1" applyFont="1" applyFill="1" applyBorder="1" applyAlignment="1">
      <alignment horizontal="center" vertical="center" wrapText="1"/>
    </xf>
    <xf numFmtId="182" fontId="7" fillId="0" borderId="8" xfId="0" applyNumberFormat="1" applyFont="1" applyFill="1" applyBorder="1" applyAlignment="1">
      <alignment horizontal="center" vertical="center" wrapText="1"/>
    </xf>
    <xf numFmtId="182" fontId="7" fillId="0" borderId="15" xfId="0" applyNumberFormat="1" applyFont="1" applyFill="1" applyBorder="1" applyAlignment="1">
      <alignment horizontal="center" vertical="center" wrapText="1"/>
    </xf>
    <xf numFmtId="182" fontId="7" fillId="0" borderId="18" xfId="0" applyNumberFormat="1" applyFont="1" applyFill="1" applyBorder="1" applyAlignment="1">
      <alignment horizontal="center" vertical="center" wrapText="1"/>
    </xf>
    <xf numFmtId="178" fontId="6" fillId="3" borderId="8" xfId="0" applyNumberFormat="1" applyFont="1" applyFill="1" applyBorder="1" applyAlignment="1">
      <alignment horizontal="right" vertical="center" wrapText="1"/>
    </xf>
    <xf numFmtId="178" fontId="6" fillId="3" borderId="15" xfId="0" applyNumberFormat="1" applyFont="1" applyFill="1" applyBorder="1" applyAlignment="1">
      <alignment horizontal="right" vertical="center" wrapText="1"/>
    </xf>
    <xf numFmtId="178" fontId="6" fillId="3" borderId="18" xfId="0" applyNumberFormat="1" applyFont="1" applyFill="1" applyBorder="1" applyAlignment="1">
      <alignment horizontal="right" vertical="center" wrapText="1"/>
    </xf>
    <xf numFmtId="0" fontId="7" fillId="5" borderId="8" xfId="0" applyFont="1" applyFill="1" applyBorder="1" applyAlignment="1">
      <alignment horizontal="center"/>
    </xf>
    <xf numFmtId="0" fontId="7" fillId="5" borderId="15" xfId="0" applyFont="1" applyFill="1" applyBorder="1" applyAlignment="1">
      <alignment horizontal="center"/>
    </xf>
    <xf numFmtId="0" fontId="7" fillId="0" borderId="18" xfId="0" applyFont="1" applyFill="1" applyBorder="1" applyAlignment="1">
      <alignment horizontal="center" vertical="center" wrapText="1"/>
    </xf>
    <xf numFmtId="1" fontId="6" fillId="3" borderId="7" xfId="0" applyNumberFormat="1" applyFont="1" applyFill="1" applyBorder="1" applyAlignment="1">
      <alignment horizontal="center" vertical="center" wrapText="1"/>
    </xf>
    <xf numFmtId="1" fontId="6" fillId="3" borderId="17" xfId="0" applyNumberFormat="1" applyFont="1" applyFill="1" applyBorder="1" applyAlignment="1">
      <alignment horizontal="center" vertical="center" wrapText="1"/>
    </xf>
    <xf numFmtId="1" fontId="6" fillId="3" borderId="14" xfId="0" applyNumberFormat="1" applyFont="1" applyFill="1" applyBorder="1" applyAlignment="1">
      <alignment horizontal="center" vertical="center" wrapText="1"/>
    </xf>
    <xf numFmtId="178" fontId="7" fillId="0" borderId="8" xfId="0" applyNumberFormat="1" applyFont="1" applyFill="1" applyBorder="1" applyAlignment="1">
      <alignment horizontal="center" vertical="center"/>
    </xf>
    <xf numFmtId="178" fontId="7" fillId="0" borderId="15" xfId="0" applyNumberFormat="1" applyFont="1" applyFill="1" applyBorder="1" applyAlignment="1">
      <alignment horizontal="center" vertical="center"/>
    </xf>
    <xf numFmtId="178" fontId="7" fillId="0" borderId="18" xfId="0" applyNumberFormat="1" applyFont="1" applyFill="1" applyBorder="1" applyAlignment="1">
      <alignment horizontal="center" vertical="center"/>
    </xf>
    <xf numFmtId="179" fontId="6" fillId="3" borderId="3" xfId="0" applyNumberFormat="1" applyFont="1" applyFill="1" applyBorder="1" applyAlignment="1">
      <alignment horizontal="center" vertical="center" wrapText="1"/>
    </xf>
    <xf numFmtId="179" fontId="6" fillId="3" borderId="5" xfId="0" applyNumberFormat="1" applyFont="1" applyFill="1" applyBorder="1" applyAlignment="1">
      <alignment horizontal="center" vertical="center" wrapText="1"/>
    </xf>
    <xf numFmtId="3" fontId="6" fillId="3" borderId="15" xfId="0" applyNumberFormat="1" applyFont="1" applyFill="1" applyBorder="1" applyAlignment="1">
      <alignment horizontal="center" vertical="center" wrapText="1"/>
    </xf>
    <xf numFmtId="3" fontId="6" fillId="3" borderId="18" xfId="0" applyNumberFormat="1" applyFont="1" applyFill="1" applyBorder="1" applyAlignment="1">
      <alignment horizontal="center" vertical="center" wrapText="1"/>
    </xf>
    <xf numFmtId="0" fontId="6" fillId="3" borderId="8" xfId="0" applyFont="1" applyFill="1" applyBorder="1" applyAlignment="1">
      <alignment horizontal="right" vertical="center" wrapText="1"/>
    </xf>
    <xf numFmtId="0" fontId="6" fillId="3" borderId="18" xfId="0" applyFont="1" applyFill="1" applyBorder="1" applyAlignment="1">
      <alignment horizontal="right" vertical="center" wrapText="1"/>
    </xf>
    <xf numFmtId="49" fontId="6" fillId="3" borderId="1" xfId="0" applyNumberFormat="1" applyFont="1" applyFill="1" applyBorder="1" applyAlignment="1">
      <alignment horizontal="center" vertical="center" wrapText="1"/>
    </xf>
    <xf numFmtId="178" fontId="6" fillId="3" borderId="1" xfId="0" applyNumberFormat="1" applyFont="1" applyFill="1" applyBorder="1" applyAlignment="1">
      <alignment horizontal="right" vertical="center" wrapText="1"/>
    </xf>
    <xf numFmtId="0" fontId="7" fillId="0" borderId="1" xfId="0" applyFont="1" applyBorder="1" applyAlignment="1">
      <alignment horizontal="justify" vertical="center" wrapText="1"/>
    </xf>
    <xf numFmtId="3" fontId="7" fillId="0" borderId="1" xfId="0" applyNumberFormat="1" applyFont="1" applyFill="1" applyBorder="1" applyAlignment="1">
      <alignment horizontal="left"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3" fontId="6" fillId="5" borderId="9" xfId="0" applyNumberFormat="1" applyFont="1" applyFill="1" applyBorder="1" applyAlignment="1">
      <alignment horizontal="center" vertical="center"/>
    </xf>
    <xf numFmtId="0" fontId="7" fillId="0" borderId="0" xfId="0" applyFont="1" applyAlignment="1">
      <alignment horizontal="center"/>
    </xf>
    <xf numFmtId="41" fontId="7" fillId="0" borderId="8" xfId="1" applyFont="1" applyFill="1" applyBorder="1" applyAlignment="1">
      <alignment horizontal="center" vertical="center" wrapText="1"/>
    </xf>
    <xf numFmtId="41" fontId="7" fillId="0" borderId="15" xfId="1" applyFont="1" applyFill="1" applyBorder="1" applyAlignment="1">
      <alignment horizontal="center" vertical="center" wrapText="1"/>
    </xf>
    <xf numFmtId="41" fontId="7" fillId="0" borderId="18" xfId="1" applyFont="1" applyFill="1" applyBorder="1" applyAlignment="1">
      <alignment horizontal="center" vertical="center" wrapText="1"/>
    </xf>
    <xf numFmtId="43" fontId="7" fillId="0" borderId="1" xfId="7" applyNumberFormat="1" applyFont="1" applyFill="1" applyBorder="1" applyAlignment="1">
      <alignment horizontal="center" vertical="center" wrapText="1"/>
    </xf>
    <xf numFmtId="9" fontId="7" fillId="0" borderId="1" xfId="5" applyFont="1" applyFill="1" applyBorder="1" applyAlignment="1">
      <alignment horizontal="center" vertical="center" wrapText="1"/>
    </xf>
    <xf numFmtId="0" fontId="7" fillId="0" borderId="1" xfId="0" applyFont="1" applyFill="1" applyBorder="1" applyAlignment="1">
      <alignment horizontal="justify" vertical="justify" wrapText="1"/>
    </xf>
    <xf numFmtId="1" fontId="7" fillId="0" borderId="8" xfId="6" applyNumberFormat="1" applyFont="1" applyFill="1" applyBorder="1" applyAlignment="1">
      <alignment horizontal="center" vertical="center" wrapText="1"/>
    </xf>
    <xf numFmtId="1" fontId="7" fillId="0" borderId="15" xfId="6" applyNumberFormat="1" applyFont="1" applyFill="1" applyBorder="1" applyAlignment="1">
      <alignment horizontal="center" vertical="center" wrapText="1"/>
    </xf>
    <xf numFmtId="1" fontId="7" fillId="0" borderId="18" xfId="6" applyNumberFormat="1" applyFont="1" applyFill="1" applyBorder="1" applyAlignment="1">
      <alignment horizontal="center" vertical="center" wrapText="1"/>
    </xf>
    <xf numFmtId="0" fontId="7" fillId="0" borderId="15" xfId="0" applyFont="1" applyFill="1" applyBorder="1" applyAlignment="1">
      <alignment horizontal="justify" vertical="center" wrapText="1"/>
    </xf>
    <xf numFmtId="0" fontId="7" fillId="0" borderId="18" xfId="0" applyFont="1" applyFill="1" applyBorder="1" applyAlignment="1">
      <alignment horizontal="justify" vertical="center" wrapText="1"/>
    </xf>
    <xf numFmtId="0" fontId="7" fillId="0" borderId="1" xfId="0" applyFont="1" applyBorder="1" applyAlignment="1">
      <alignment horizontal="center" vertical="center"/>
    </xf>
    <xf numFmtId="170" fontId="7" fillId="0" borderId="8" xfId="0" applyNumberFormat="1" applyFont="1" applyFill="1" applyBorder="1" applyAlignment="1">
      <alignment horizontal="center" vertical="center" wrapText="1"/>
    </xf>
    <xf numFmtId="170" fontId="7" fillId="0" borderId="18" xfId="0" applyNumberFormat="1" applyFont="1" applyFill="1" applyBorder="1" applyAlignment="1">
      <alignment horizontal="center" vertical="center" wrapText="1"/>
    </xf>
    <xf numFmtId="14" fontId="7" fillId="0" borderId="8" xfId="0" applyNumberFormat="1" applyFont="1" applyBorder="1" applyAlignment="1">
      <alignment horizontal="center" vertical="center"/>
    </xf>
    <xf numFmtId="14" fontId="7" fillId="0" borderId="18" xfId="0" applyNumberFormat="1" applyFont="1" applyBorder="1" applyAlignment="1">
      <alignment horizontal="center" vertical="center"/>
    </xf>
    <xf numFmtId="41" fontId="7" fillId="0" borderId="1" xfId="1" applyFont="1" applyFill="1" applyBorder="1" applyAlignment="1">
      <alignment horizontal="center" vertical="center" wrapText="1"/>
    </xf>
    <xf numFmtId="176" fontId="7" fillId="0" borderId="8" xfId="6" applyNumberFormat="1" applyFont="1" applyBorder="1" applyAlignment="1">
      <alignment horizontal="center" vertical="center"/>
    </xf>
    <xf numFmtId="176" fontId="7" fillId="0" borderId="15" xfId="6" applyNumberFormat="1" applyFont="1" applyBorder="1" applyAlignment="1">
      <alignment horizontal="center" vertical="center"/>
    </xf>
    <xf numFmtId="176" fontId="7" fillId="0" borderId="18" xfId="6" applyNumberFormat="1" applyFont="1" applyBorder="1" applyAlignment="1">
      <alignment horizontal="center" vertical="center"/>
    </xf>
    <xf numFmtId="0" fontId="7" fillId="0" borderId="1" xfId="0" applyFont="1" applyBorder="1" applyAlignment="1">
      <alignment horizontal="center"/>
    </xf>
    <xf numFmtId="3" fontId="7" fillId="0" borderId="8" xfId="0" applyNumberFormat="1" applyFont="1" applyFill="1" applyBorder="1" applyAlignment="1">
      <alignment horizontal="left" vertical="center" wrapText="1"/>
    </xf>
    <xf numFmtId="3" fontId="7" fillId="0" borderId="18" xfId="0" applyNumberFormat="1" applyFont="1" applyFill="1" applyBorder="1" applyAlignment="1">
      <alignment horizontal="left" vertical="center" wrapText="1"/>
    </xf>
    <xf numFmtId="43" fontId="7" fillId="0" borderId="8" xfId="7" applyNumberFormat="1" applyFont="1" applyBorder="1" applyAlignment="1">
      <alignment horizontal="center" vertical="center"/>
    </xf>
    <xf numFmtId="43" fontId="7" fillId="0" borderId="18" xfId="7" applyNumberFormat="1" applyFont="1" applyBorder="1" applyAlignment="1">
      <alignment horizontal="center" vertical="center"/>
    </xf>
    <xf numFmtId="9" fontId="7" fillId="5" borderId="8" xfId="5" applyNumberFormat="1" applyFont="1" applyFill="1" applyBorder="1" applyAlignment="1">
      <alignment horizontal="center" vertical="center"/>
    </xf>
    <xf numFmtId="9" fontId="7" fillId="5" borderId="18" xfId="5" applyNumberFormat="1" applyFont="1" applyFill="1" applyBorder="1" applyAlignment="1">
      <alignment horizontal="center" vertical="center"/>
    </xf>
    <xf numFmtId="0" fontId="7" fillId="0" borderId="8" xfId="0" applyFont="1" applyBorder="1" applyAlignment="1">
      <alignment horizontal="justify" vertical="center" wrapText="1"/>
    </xf>
    <xf numFmtId="0" fontId="7" fillId="0" borderId="18" xfId="0" applyFont="1" applyBorder="1" applyAlignment="1">
      <alignment horizontal="justify" vertical="center" wrapText="1"/>
    </xf>
    <xf numFmtId="1" fontId="7" fillId="0" borderId="8" xfId="0" applyNumberFormat="1" applyFont="1" applyBorder="1" applyAlignment="1">
      <alignment horizontal="center" vertical="center"/>
    </xf>
    <xf numFmtId="1" fontId="7" fillId="0" borderId="15" xfId="0" applyNumberFormat="1" applyFont="1" applyBorder="1" applyAlignment="1">
      <alignment horizontal="center" vertical="center"/>
    </xf>
    <xf numFmtId="1" fontId="7" fillId="0" borderId="18" xfId="0" applyNumberFormat="1" applyFont="1" applyBorder="1" applyAlignment="1">
      <alignment horizontal="center" vertical="center"/>
    </xf>
    <xf numFmtId="183" fontId="7" fillId="0" borderId="8" xfId="5" applyNumberFormat="1" applyFont="1" applyFill="1" applyBorder="1" applyAlignment="1">
      <alignment horizontal="center" vertical="center" wrapText="1"/>
    </xf>
    <xf numFmtId="183" fontId="7" fillId="0" borderId="15" xfId="5" applyNumberFormat="1" applyFont="1" applyFill="1" applyBorder="1" applyAlignment="1">
      <alignment horizontal="center" vertical="center" wrapText="1"/>
    </xf>
    <xf numFmtId="183" fontId="7" fillId="0" borderId="18" xfId="5" applyNumberFormat="1" applyFont="1" applyFill="1" applyBorder="1" applyAlignment="1">
      <alignment horizontal="center" vertical="center" wrapText="1"/>
    </xf>
    <xf numFmtId="43" fontId="7" fillId="0" borderId="8" xfId="7" applyNumberFormat="1" applyFont="1" applyFill="1" applyBorder="1" applyAlignment="1">
      <alignment horizontal="center" vertical="center" wrapText="1"/>
    </xf>
    <xf numFmtId="43" fontId="7" fillId="0" borderId="15" xfId="7" applyNumberFormat="1" applyFont="1" applyFill="1" applyBorder="1" applyAlignment="1">
      <alignment horizontal="center" vertical="center" wrapText="1"/>
    </xf>
    <xf numFmtId="43" fontId="7" fillId="0" borderId="18" xfId="7"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0" fontId="6" fillId="9" borderId="9" xfId="0" applyFont="1" applyFill="1" applyBorder="1" applyAlignment="1">
      <alignment horizontal="center" vertical="center"/>
    </xf>
    <xf numFmtId="0" fontId="6" fillId="9" borderId="4" xfId="0" applyFont="1" applyFill="1" applyBorder="1" applyAlignment="1">
      <alignment horizontal="center" vertical="center"/>
    </xf>
    <xf numFmtId="170"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xf>
    <xf numFmtId="169" fontId="6" fillId="3" borderId="1" xfId="2" applyFont="1" applyFill="1" applyBorder="1" applyAlignment="1">
      <alignment horizontal="center" vertical="center"/>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43" fontId="6" fillId="3" borderId="1" xfId="7" applyNumberFormat="1"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17" borderId="8" xfId="0" applyFont="1" applyFill="1" applyBorder="1" applyAlignment="1">
      <alignment horizontal="center" vertical="center" wrapText="1"/>
    </xf>
    <xf numFmtId="0" fontId="6" fillId="17" borderId="15" xfId="0" applyFont="1" applyFill="1" applyBorder="1" applyAlignment="1">
      <alignment horizontal="center" vertical="center" wrapText="1"/>
    </xf>
    <xf numFmtId="0" fontId="6" fillId="17" borderId="18" xfId="0" applyFont="1" applyFill="1" applyBorder="1" applyAlignment="1">
      <alignment horizontal="center" vertical="center" wrapText="1"/>
    </xf>
    <xf numFmtId="0" fontId="6" fillId="17"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1"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5" xfId="0" applyFont="1" applyFill="1" applyBorder="1" applyAlignment="1">
      <alignment horizontal="center" vertical="center"/>
    </xf>
    <xf numFmtId="170" fontId="6" fillId="17" borderId="6" xfId="0" applyNumberFormat="1" applyFont="1" applyFill="1" applyBorder="1" applyAlignment="1">
      <alignment horizontal="center" vertical="center" wrapText="1"/>
    </xf>
    <xf numFmtId="170" fontId="6" fillId="17" borderId="7" xfId="0" applyNumberFormat="1" applyFont="1" applyFill="1" applyBorder="1" applyAlignment="1">
      <alignment horizontal="center" vertical="center" wrapText="1"/>
    </xf>
    <xf numFmtId="170" fontId="6" fillId="17" borderId="13" xfId="0" applyNumberFormat="1" applyFont="1" applyFill="1" applyBorder="1" applyAlignment="1">
      <alignment horizontal="center" vertical="center" wrapText="1"/>
    </xf>
    <xf numFmtId="170" fontId="6" fillId="17" borderId="14" xfId="0" applyNumberFormat="1" applyFont="1" applyFill="1" applyBorder="1" applyAlignment="1">
      <alignment horizontal="center" vertical="center" wrapText="1"/>
    </xf>
    <xf numFmtId="3" fontId="6" fillId="17" borderId="1" xfId="0" applyNumberFormat="1" applyFont="1" applyFill="1" applyBorder="1" applyAlignment="1">
      <alignment horizontal="center" vertical="center" wrapText="1"/>
    </xf>
    <xf numFmtId="170" fontId="6" fillId="17" borderId="3" xfId="0" applyNumberFormat="1" applyFont="1" applyFill="1" applyBorder="1" applyAlignment="1">
      <alignment horizontal="center" vertical="center" wrapText="1"/>
    </xf>
    <xf numFmtId="170" fontId="6" fillId="17" borderId="5" xfId="0" applyNumberFormat="1" applyFont="1" applyFill="1" applyBorder="1" applyAlignment="1">
      <alignment horizontal="center" vertical="center" wrapText="1"/>
    </xf>
    <xf numFmtId="0" fontId="6" fillId="17" borderId="3" xfId="0" applyFont="1" applyFill="1" applyBorder="1" applyAlignment="1">
      <alignment horizontal="center" vertical="center"/>
    </xf>
    <xf numFmtId="0" fontId="6" fillId="17" borderId="4" xfId="0" applyFont="1" applyFill="1" applyBorder="1" applyAlignment="1">
      <alignment horizontal="center" vertical="center"/>
    </xf>
    <xf numFmtId="0" fontId="6" fillId="17" borderId="5" xfId="0" applyFont="1" applyFill="1" applyBorder="1" applyAlignment="1">
      <alignment horizontal="center" vertical="center"/>
    </xf>
    <xf numFmtId="169" fontId="6" fillId="17" borderId="10" xfId="2" applyFont="1" applyFill="1" applyBorder="1" applyAlignment="1">
      <alignment horizontal="center" vertical="center"/>
    </xf>
    <xf numFmtId="169" fontId="6" fillId="17" borderId="11" xfId="2" applyFont="1" applyFill="1" applyBorder="1" applyAlignment="1">
      <alignment horizontal="center" vertical="center"/>
    </xf>
    <xf numFmtId="169" fontId="6" fillId="17" borderId="12" xfId="2" applyFont="1" applyFill="1" applyBorder="1" applyAlignment="1">
      <alignment horizontal="center" vertical="center"/>
    </xf>
    <xf numFmtId="0" fontId="6" fillId="5" borderId="15" xfId="0" applyFont="1" applyFill="1" applyBorder="1" applyAlignment="1">
      <alignment horizontal="center" vertical="center" textRotation="90"/>
    </xf>
    <xf numFmtId="0" fontId="6" fillId="5" borderId="18" xfId="0" applyFont="1" applyFill="1" applyBorder="1" applyAlignment="1">
      <alignment horizontal="center" vertical="center" textRotation="90"/>
    </xf>
    <xf numFmtId="0" fontId="7" fillId="5" borderId="8" xfId="0" applyFont="1" applyFill="1" applyBorder="1" applyAlignment="1">
      <alignment horizontal="center" vertical="center" textRotation="255" wrapText="1"/>
    </xf>
    <xf numFmtId="0" fontId="7" fillId="5" borderId="15" xfId="0" applyFont="1" applyFill="1" applyBorder="1" applyAlignment="1">
      <alignment horizontal="center" vertical="center" textRotation="255" wrapText="1"/>
    </xf>
    <xf numFmtId="0" fontId="7" fillId="5" borderId="18" xfId="0" applyFont="1" applyFill="1" applyBorder="1" applyAlignment="1">
      <alignment horizontal="center" vertical="center" textRotation="255" wrapText="1"/>
    </xf>
    <xf numFmtId="1" fontId="6" fillId="17" borderId="1" xfId="0" applyNumberFormat="1" applyFont="1" applyFill="1" applyBorder="1" applyAlignment="1">
      <alignment horizontal="center" vertical="center" wrapText="1"/>
    </xf>
    <xf numFmtId="0" fontId="6" fillId="17" borderId="6" xfId="0" applyFont="1" applyFill="1" applyBorder="1" applyAlignment="1">
      <alignment horizontal="center" vertical="center" wrapText="1"/>
    </xf>
    <xf numFmtId="0" fontId="6" fillId="17" borderId="9" xfId="0" applyFont="1" applyFill="1" applyBorder="1" applyAlignment="1">
      <alignment horizontal="center" vertical="center" wrapText="1"/>
    </xf>
    <xf numFmtId="0" fontId="6" fillId="17" borderId="7" xfId="0" applyFont="1" applyFill="1" applyBorder="1" applyAlignment="1">
      <alignment horizontal="center" vertical="center" wrapText="1"/>
    </xf>
    <xf numFmtId="0" fontId="6" fillId="17" borderId="16" xfId="0" applyFont="1" applyFill="1" applyBorder="1" applyAlignment="1">
      <alignment horizontal="center" vertical="center" wrapText="1"/>
    </xf>
    <xf numFmtId="0" fontId="6" fillId="17" borderId="0" xfId="0" applyFont="1" applyFill="1" applyBorder="1" applyAlignment="1">
      <alignment horizontal="center" vertical="center" wrapText="1"/>
    </xf>
    <xf numFmtId="0" fontId="6" fillId="17" borderId="17" xfId="0" applyFont="1" applyFill="1" applyBorder="1" applyAlignment="1">
      <alignment horizontal="center" vertical="center" wrapText="1"/>
    </xf>
    <xf numFmtId="0" fontId="6" fillId="17" borderId="1" xfId="0" applyFont="1" applyFill="1" applyBorder="1" applyAlignment="1">
      <alignment horizontal="justify" vertical="center" wrapText="1"/>
    </xf>
    <xf numFmtId="0" fontId="6" fillId="17" borderId="13" xfId="0" applyFont="1" applyFill="1" applyBorder="1" applyAlignment="1">
      <alignment horizontal="center" vertical="center" wrapText="1"/>
    </xf>
    <xf numFmtId="0" fontId="6" fillId="17" borderId="14" xfId="0" applyFont="1" applyFill="1" applyBorder="1" applyAlignment="1">
      <alignment horizontal="center" vertical="center" wrapText="1"/>
    </xf>
    <xf numFmtId="0" fontId="6" fillId="10" borderId="9" xfId="0" applyFont="1" applyFill="1" applyBorder="1" applyAlignment="1">
      <alignment horizontal="left" vertical="center"/>
    </xf>
    <xf numFmtId="0" fontId="6" fillId="10" borderId="4" xfId="0" applyFont="1" applyFill="1" applyBorder="1" applyAlignment="1">
      <alignment horizontal="left" vertical="center"/>
    </xf>
    <xf numFmtId="0" fontId="6" fillId="9" borderId="9" xfId="0" applyFont="1" applyFill="1" applyBorder="1" applyAlignment="1">
      <alignment horizontal="left" vertical="center"/>
    </xf>
    <xf numFmtId="0" fontId="6" fillId="9" borderId="4" xfId="0" applyFont="1" applyFill="1" applyBorder="1" applyAlignment="1">
      <alignment horizontal="left" vertical="center"/>
    </xf>
    <xf numFmtId="44" fontId="6" fillId="17" borderId="1" xfId="11" applyNumberFormat="1" applyFont="1" applyFill="1" applyBorder="1" applyAlignment="1">
      <alignment horizontal="center" vertical="center" wrapText="1"/>
    </xf>
    <xf numFmtId="9" fontId="6" fillId="17" borderId="1" xfId="3" applyFont="1" applyFill="1" applyBorder="1" applyAlignment="1">
      <alignment horizontal="center" vertical="center" wrapText="1"/>
    </xf>
    <xf numFmtId="167" fontId="7" fillId="5" borderId="8" xfId="11" applyFont="1" applyFill="1" applyBorder="1" applyAlignment="1">
      <alignment horizontal="center" vertical="center"/>
    </xf>
    <xf numFmtId="167" fontId="7" fillId="5" borderId="18" xfId="11" applyFont="1" applyFill="1" applyBorder="1" applyAlignment="1">
      <alignment horizontal="center" vertical="center"/>
    </xf>
    <xf numFmtId="2" fontId="7" fillId="5" borderId="8" xfId="11" applyNumberFormat="1" applyFont="1" applyFill="1" applyBorder="1" applyAlignment="1">
      <alignment horizontal="center" vertical="center"/>
    </xf>
    <xf numFmtId="2" fontId="7" fillId="5" borderId="18" xfId="11" applyNumberFormat="1" applyFont="1" applyFill="1" applyBorder="1" applyAlignment="1">
      <alignment horizontal="center" vertical="center"/>
    </xf>
    <xf numFmtId="9" fontId="7" fillId="5" borderId="8" xfId="5" applyFont="1" applyFill="1" applyBorder="1" applyAlignment="1">
      <alignment horizontal="center" vertical="center"/>
    </xf>
    <xf numFmtId="9" fontId="7" fillId="5" borderId="15" xfId="5" applyFont="1" applyFill="1" applyBorder="1" applyAlignment="1">
      <alignment horizontal="center" vertical="center"/>
    </xf>
    <xf numFmtId="9" fontId="7" fillId="5" borderId="18" xfId="5" applyFont="1" applyFill="1" applyBorder="1" applyAlignment="1">
      <alignment horizontal="center" vertical="center"/>
    </xf>
    <xf numFmtId="166" fontId="7" fillId="5" borderId="8" xfId="11" applyNumberFormat="1" applyFont="1" applyFill="1" applyBorder="1" applyAlignment="1">
      <alignment horizontal="center" vertical="center"/>
    </xf>
    <xf numFmtId="166" fontId="7" fillId="5" borderId="15" xfId="11" applyNumberFormat="1" applyFont="1" applyFill="1" applyBorder="1" applyAlignment="1">
      <alignment horizontal="center" vertical="center"/>
    </xf>
    <xf numFmtId="166" fontId="7" fillId="5" borderId="18" xfId="11" applyNumberFormat="1" applyFont="1" applyFill="1" applyBorder="1" applyAlignment="1">
      <alignment horizontal="center" vertical="center"/>
    </xf>
    <xf numFmtId="182" fontId="7" fillId="5" borderId="8" xfId="11" applyNumberFormat="1" applyFont="1" applyFill="1" applyBorder="1" applyAlignment="1">
      <alignment horizontal="center" vertical="center"/>
    </xf>
    <xf numFmtId="182" fontId="7" fillId="5" borderId="15" xfId="11" applyNumberFormat="1" applyFont="1" applyFill="1" applyBorder="1" applyAlignment="1">
      <alignment horizontal="center" vertical="center"/>
    </xf>
    <xf numFmtId="182" fontId="7" fillId="5" borderId="18" xfId="11" applyNumberFormat="1" applyFont="1" applyFill="1" applyBorder="1" applyAlignment="1">
      <alignment horizontal="center" vertical="center"/>
    </xf>
    <xf numFmtId="44" fontId="7" fillId="5" borderId="8" xfId="11" applyNumberFormat="1" applyFont="1" applyFill="1" applyBorder="1" applyAlignment="1">
      <alignment horizontal="center" vertical="center"/>
    </xf>
    <xf numFmtId="44" fontId="7" fillId="5" borderId="15" xfId="11" applyNumberFormat="1" applyFont="1" applyFill="1" applyBorder="1" applyAlignment="1">
      <alignment horizontal="center" vertical="center"/>
    </xf>
    <xf numFmtId="44" fontId="7" fillId="5" borderId="18" xfId="11" applyNumberFormat="1" applyFont="1" applyFill="1" applyBorder="1" applyAlignment="1">
      <alignment horizontal="center" vertical="center"/>
    </xf>
    <xf numFmtId="167" fontId="7" fillId="5" borderId="15" xfId="11" applyFont="1" applyFill="1" applyBorder="1" applyAlignment="1">
      <alignment horizontal="center" vertical="center"/>
    </xf>
    <xf numFmtId="0" fontId="7" fillId="5" borderId="8" xfId="0" applyFont="1" applyFill="1" applyBorder="1" applyAlignment="1">
      <alignment horizontal="justify" vertical="center"/>
    </xf>
    <xf numFmtId="0" fontId="7" fillId="5" borderId="18" xfId="0" applyFont="1" applyFill="1" applyBorder="1" applyAlignment="1">
      <alignment horizontal="justify" vertical="center"/>
    </xf>
    <xf numFmtId="0" fontId="7" fillId="5" borderId="15" xfId="0" applyFont="1" applyFill="1" applyBorder="1" applyAlignment="1">
      <alignment horizontal="justify" vertical="center"/>
    </xf>
    <xf numFmtId="2" fontId="7" fillId="5" borderId="15" xfId="11" applyNumberFormat="1" applyFont="1" applyFill="1" applyBorder="1" applyAlignment="1">
      <alignment horizontal="center" vertical="center"/>
    </xf>
    <xf numFmtId="1" fontId="7" fillId="5" borderId="8" xfId="1" applyNumberFormat="1" applyFont="1" applyFill="1" applyBorder="1" applyAlignment="1">
      <alignment horizontal="center" vertical="center"/>
    </xf>
    <xf numFmtId="1" fontId="7" fillId="5" borderId="15" xfId="1" applyNumberFormat="1" applyFont="1" applyFill="1" applyBorder="1" applyAlignment="1">
      <alignment horizontal="center" vertical="center"/>
    </xf>
    <xf numFmtId="1" fontId="7" fillId="5" borderId="18" xfId="1" applyNumberFormat="1" applyFont="1" applyFill="1" applyBorder="1" applyAlignment="1">
      <alignment horizontal="center" vertical="center"/>
    </xf>
    <xf numFmtId="0" fontId="7" fillId="5" borderId="8" xfId="0" applyFont="1" applyFill="1" applyBorder="1" applyAlignment="1">
      <alignment horizontal="center" vertical="center" textRotation="90"/>
    </xf>
    <xf numFmtId="0" fontId="7" fillId="5" borderId="15" xfId="0" applyFont="1" applyFill="1" applyBorder="1" applyAlignment="1">
      <alignment horizontal="center" vertical="center" textRotation="90"/>
    </xf>
    <xf numFmtId="0" fontId="7" fillId="5" borderId="18" xfId="0" applyFont="1" applyFill="1" applyBorder="1" applyAlignment="1">
      <alignment horizontal="center" vertical="center" textRotation="90"/>
    </xf>
    <xf numFmtId="0" fontId="6" fillId="5" borderId="0" xfId="0" applyFont="1" applyFill="1" applyAlignment="1">
      <alignment horizontal="center"/>
    </xf>
    <xf numFmtId="167" fontId="6" fillId="5" borderId="0" xfId="11" applyFont="1" applyFill="1" applyAlignment="1">
      <alignment horizontal="center"/>
    </xf>
    <xf numFmtId="167" fontId="7" fillId="5" borderId="0" xfId="11" applyFont="1" applyFill="1" applyAlignment="1">
      <alignment horizontal="center"/>
    </xf>
    <xf numFmtId="0" fontId="7" fillId="5" borderId="8" xfId="0" applyFont="1" applyFill="1" applyBorder="1" applyAlignment="1">
      <alignment horizontal="justify" wrapText="1"/>
    </xf>
    <xf numFmtId="0" fontId="7" fillId="5" borderId="18" xfId="0" applyFont="1" applyFill="1" applyBorder="1" applyAlignment="1">
      <alignment horizontal="justify" wrapText="1"/>
    </xf>
    <xf numFmtId="0" fontId="6" fillId="0" borderId="3" xfId="0" applyFont="1" applyBorder="1" applyAlignment="1">
      <alignment horizontal="center" vertical="center"/>
    </xf>
    <xf numFmtId="169" fontId="6" fillId="3" borderId="8" xfId="2" applyFont="1" applyFill="1" applyBorder="1" applyAlignment="1">
      <alignment horizontal="center" vertical="center" wrapText="1"/>
    </xf>
    <xf numFmtId="169" fontId="6" fillId="3" borderId="15" xfId="2" applyFont="1" applyFill="1" applyBorder="1" applyAlignment="1">
      <alignment horizontal="center" vertical="center" wrapText="1"/>
    </xf>
    <xf numFmtId="169" fontId="6" fillId="3" borderId="18" xfId="2" applyFont="1" applyFill="1" applyBorder="1" applyAlignment="1">
      <alignment horizontal="center" vertical="center" wrapText="1"/>
    </xf>
    <xf numFmtId="169" fontId="6" fillId="3" borderId="6" xfId="2" applyFont="1" applyFill="1" applyBorder="1" applyAlignment="1">
      <alignment horizontal="center" vertical="center" wrapText="1"/>
    </xf>
    <xf numFmtId="169" fontId="6" fillId="3" borderId="7" xfId="2" applyFont="1" applyFill="1" applyBorder="1" applyAlignment="1">
      <alignment horizontal="center" vertical="center" wrapText="1"/>
    </xf>
    <xf numFmtId="169" fontId="6" fillId="3" borderId="16" xfId="2" applyFont="1" applyFill="1" applyBorder="1" applyAlignment="1">
      <alignment horizontal="center" vertical="center" wrapText="1"/>
    </xf>
    <xf numFmtId="169" fontId="6" fillId="3" borderId="17" xfId="2" applyFont="1" applyFill="1" applyBorder="1" applyAlignment="1">
      <alignment horizontal="center" vertical="center" wrapText="1"/>
    </xf>
    <xf numFmtId="169" fontId="6" fillId="3" borderId="13" xfId="2" applyFont="1" applyFill="1" applyBorder="1" applyAlignment="1">
      <alignment horizontal="center" vertical="center" wrapText="1"/>
    </xf>
    <xf numFmtId="169" fontId="6" fillId="3" borderId="14" xfId="2" applyFont="1" applyFill="1" applyBorder="1" applyAlignment="1">
      <alignment horizontal="center" vertical="center" wrapText="1"/>
    </xf>
    <xf numFmtId="3" fontId="6" fillId="3" borderId="8" xfId="2" applyNumberFormat="1" applyFont="1" applyFill="1" applyBorder="1" applyAlignment="1">
      <alignment horizontal="center" vertical="center" wrapText="1"/>
    </xf>
    <xf numFmtId="3" fontId="6" fillId="3" borderId="15" xfId="2" applyNumberFormat="1" applyFont="1" applyFill="1" applyBorder="1" applyAlignment="1">
      <alignment horizontal="center" vertical="center" wrapText="1"/>
    </xf>
    <xf numFmtId="3" fontId="6" fillId="3" borderId="18" xfId="2" applyNumberFormat="1" applyFont="1" applyFill="1" applyBorder="1" applyAlignment="1">
      <alignment horizontal="center" vertical="center" wrapText="1"/>
    </xf>
    <xf numFmtId="169" fontId="6" fillId="3" borderId="1" xfId="2" applyFont="1" applyFill="1" applyBorder="1" applyAlignment="1">
      <alignment horizontal="center" vertical="center" wrapText="1"/>
    </xf>
    <xf numFmtId="49" fontId="6" fillId="3" borderId="1" xfId="2" applyNumberFormat="1" applyFont="1" applyFill="1" applyBorder="1" applyAlignment="1">
      <alignment horizontal="center" vertical="center" wrapText="1"/>
    </xf>
    <xf numFmtId="169" fontId="6" fillId="3" borderId="1" xfId="2" applyFont="1" applyFill="1" applyBorder="1" applyAlignment="1">
      <alignment horizontal="center" vertical="center" textRotation="91" wrapText="1"/>
    </xf>
    <xf numFmtId="169" fontId="6" fillId="3" borderId="3" xfId="2" applyFont="1" applyFill="1" applyBorder="1" applyAlignment="1">
      <alignment horizontal="center" vertical="center"/>
    </xf>
    <xf numFmtId="169" fontId="6" fillId="3" borderId="4" xfId="2" applyFont="1" applyFill="1" applyBorder="1" applyAlignment="1">
      <alignment horizontal="center" vertical="center"/>
    </xf>
    <xf numFmtId="169" fontId="6" fillId="3" borderId="5" xfId="2" applyFont="1" applyFill="1" applyBorder="1" applyAlignment="1">
      <alignment horizontal="center" vertical="center"/>
    </xf>
    <xf numFmtId="170" fontId="6" fillId="3" borderId="8" xfId="2" applyNumberFormat="1" applyFont="1" applyFill="1" applyBorder="1" applyAlignment="1">
      <alignment horizontal="center" vertical="center" wrapText="1"/>
    </xf>
    <xf numFmtId="170" fontId="6" fillId="3" borderId="18" xfId="2" applyNumberFormat="1" applyFont="1" applyFill="1" applyBorder="1" applyAlignment="1">
      <alignment horizontal="center" vertical="center" wrapText="1"/>
    </xf>
    <xf numFmtId="170" fontId="6" fillId="3" borderId="1" xfId="2" applyNumberFormat="1" applyFont="1" applyFill="1" applyBorder="1" applyAlignment="1">
      <alignment horizontal="center" vertical="center" wrapText="1"/>
    </xf>
    <xf numFmtId="1" fontId="6" fillId="5" borderId="6" xfId="2" applyNumberFormat="1" applyFont="1" applyFill="1" applyBorder="1" applyAlignment="1">
      <alignment horizontal="center" vertical="center" wrapText="1"/>
    </xf>
    <xf numFmtId="1" fontId="6" fillId="5" borderId="9" xfId="2" applyNumberFormat="1" applyFont="1" applyFill="1" applyBorder="1" applyAlignment="1">
      <alignment horizontal="center" vertical="center" wrapText="1"/>
    </xf>
    <xf numFmtId="1" fontId="6" fillId="5" borderId="7" xfId="2" applyNumberFormat="1" applyFont="1" applyFill="1" applyBorder="1" applyAlignment="1">
      <alignment horizontal="center" vertical="center" wrapText="1"/>
    </xf>
    <xf numFmtId="1" fontId="6" fillId="5" borderId="16" xfId="2" applyNumberFormat="1" applyFont="1" applyFill="1" applyBorder="1" applyAlignment="1">
      <alignment horizontal="center" vertical="center" wrapText="1"/>
    </xf>
    <xf numFmtId="1" fontId="6" fillId="5" borderId="0" xfId="2" applyNumberFormat="1" applyFont="1" applyFill="1" applyBorder="1" applyAlignment="1">
      <alignment horizontal="center" vertical="center" wrapText="1"/>
    </xf>
    <xf numFmtId="1" fontId="6" fillId="5" borderId="17" xfId="2" applyNumberFormat="1" applyFont="1" applyFill="1" applyBorder="1" applyAlignment="1">
      <alignment horizontal="center" vertical="center" wrapText="1"/>
    </xf>
    <xf numFmtId="1" fontId="6" fillId="5" borderId="13" xfId="2" applyNumberFormat="1" applyFont="1" applyFill="1" applyBorder="1" applyAlignment="1">
      <alignment horizontal="center" vertical="center" wrapText="1"/>
    </xf>
    <xf numFmtId="1" fontId="6" fillId="5" borderId="2" xfId="2" applyNumberFormat="1" applyFont="1" applyFill="1" applyBorder="1" applyAlignment="1">
      <alignment horizontal="center" vertical="center" wrapText="1"/>
    </xf>
    <xf numFmtId="1" fontId="6" fillId="5" borderId="14" xfId="2" applyNumberFormat="1" applyFont="1" applyFill="1" applyBorder="1" applyAlignment="1">
      <alignment horizontal="center" vertical="center" wrapText="1"/>
    </xf>
    <xf numFmtId="3" fontId="6" fillId="5" borderId="8" xfId="2" applyNumberFormat="1" applyFont="1" applyFill="1" applyBorder="1" applyAlignment="1">
      <alignment horizontal="center" vertical="center" wrapText="1"/>
    </xf>
    <xf numFmtId="3" fontId="6" fillId="5" borderId="18" xfId="2" applyNumberFormat="1" applyFont="1" applyFill="1" applyBorder="1" applyAlignment="1">
      <alignment horizontal="center" vertical="center" wrapText="1"/>
    </xf>
    <xf numFmtId="169" fontId="7" fillId="5" borderId="8" xfId="2" applyFont="1" applyFill="1" applyBorder="1" applyAlignment="1">
      <alignment horizontal="justify" vertical="center" wrapText="1"/>
    </xf>
    <xf numFmtId="169" fontId="7" fillId="5" borderId="15" xfId="2" applyFont="1" applyFill="1" applyBorder="1" applyAlignment="1">
      <alignment horizontal="justify" vertical="center" wrapText="1"/>
    </xf>
    <xf numFmtId="169" fontId="7" fillId="0" borderId="8" xfId="2" applyFont="1" applyFill="1" applyBorder="1" applyAlignment="1">
      <alignment horizontal="center" vertical="center" wrapText="1"/>
    </xf>
    <xf numFmtId="169" fontId="7" fillId="0" borderId="15" xfId="2" applyFont="1" applyFill="1" applyBorder="1" applyAlignment="1">
      <alignment horizontal="center" vertical="center" wrapText="1"/>
    </xf>
    <xf numFmtId="3" fontId="7" fillId="0" borderId="8" xfId="2" applyNumberFormat="1" applyFont="1" applyBorder="1" applyAlignment="1">
      <alignment horizontal="center" vertical="center"/>
    </xf>
    <xf numFmtId="3" fontId="7" fillId="0" borderId="15" xfId="2" applyNumberFormat="1" applyFont="1" applyBorder="1" applyAlignment="1">
      <alignment horizontal="center" vertical="center"/>
    </xf>
    <xf numFmtId="3" fontId="6" fillId="4" borderId="8" xfId="0" applyNumberFormat="1" applyFont="1" applyFill="1" applyBorder="1" applyAlignment="1">
      <alignment horizontal="center" vertical="center" wrapText="1"/>
    </xf>
    <xf numFmtId="3" fontId="6" fillId="4" borderId="15" xfId="0" applyNumberFormat="1" applyFont="1" applyFill="1" applyBorder="1" applyAlignment="1">
      <alignment horizontal="center" vertical="center" wrapText="1"/>
    </xf>
    <xf numFmtId="3" fontId="6" fillId="4" borderId="18" xfId="0" applyNumberFormat="1" applyFont="1" applyFill="1" applyBorder="1" applyAlignment="1">
      <alignment horizontal="center" vertical="center" wrapText="1"/>
    </xf>
    <xf numFmtId="10" fontId="6" fillId="4" borderId="8" xfId="3" applyNumberFormat="1" applyFont="1" applyFill="1" applyBorder="1" applyAlignment="1">
      <alignment horizontal="center" vertical="center" wrapText="1"/>
    </xf>
    <xf numFmtId="10" fontId="6" fillId="4" borderId="15" xfId="3" applyNumberFormat="1" applyFont="1" applyFill="1" applyBorder="1" applyAlignment="1">
      <alignment horizontal="center" vertical="center" wrapText="1"/>
    </xf>
    <xf numFmtId="10" fontId="6" fillId="4" borderId="18" xfId="3" applyNumberFormat="1" applyFont="1" applyFill="1" applyBorder="1" applyAlignment="1">
      <alignment horizontal="center" vertical="center" wrapText="1"/>
    </xf>
    <xf numFmtId="169" fontId="7" fillId="5" borderId="18" xfId="2" applyFont="1" applyFill="1" applyBorder="1" applyAlignment="1">
      <alignment horizontal="justify" vertical="center" wrapText="1"/>
    </xf>
    <xf numFmtId="169" fontId="7" fillId="5" borderId="6" xfId="2" applyFont="1" applyFill="1" applyBorder="1" applyAlignment="1">
      <alignment horizontal="justify" vertical="center" wrapText="1"/>
    </xf>
    <xf numFmtId="169" fontId="7" fillId="5" borderId="16" xfId="2" applyFont="1" applyFill="1" applyBorder="1" applyAlignment="1">
      <alignment horizontal="justify" vertical="center" wrapText="1"/>
    </xf>
    <xf numFmtId="169" fontId="7" fillId="5" borderId="13" xfId="2" applyFont="1" applyFill="1" applyBorder="1" applyAlignment="1">
      <alignment horizontal="justify" vertical="center" wrapText="1"/>
    </xf>
    <xf numFmtId="169" fontId="7" fillId="5" borderId="1" xfId="2" applyFont="1" applyFill="1" applyBorder="1" applyAlignment="1">
      <alignment horizontal="justify" vertical="center" wrapText="1"/>
    </xf>
    <xf numFmtId="42" fontId="7" fillId="5" borderId="8" xfId="2" applyNumberFormat="1" applyFont="1" applyFill="1" applyBorder="1" applyAlignment="1">
      <alignment horizontal="center" vertical="center" wrapText="1"/>
    </xf>
    <xf numFmtId="42" fontId="7" fillId="5" borderId="18" xfId="2" applyNumberFormat="1" applyFont="1" applyFill="1" applyBorder="1" applyAlignment="1">
      <alignment horizontal="center" vertical="center" wrapText="1"/>
    </xf>
    <xf numFmtId="3" fontId="7" fillId="0" borderId="1" xfId="2" applyNumberFormat="1" applyFont="1" applyBorder="1" applyAlignment="1">
      <alignment horizontal="center" vertical="center"/>
    </xf>
    <xf numFmtId="169" fontId="7" fillId="5" borderId="8" xfId="2" applyFont="1" applyFill="1" applyBorder="1" applyAlignment="1">
      <alignment horizontal="center" vertical="center" wrapText="1"/>
    </xf>
    <xf numFmtId="169" fontId="7" fillId="5" borderId="15" xfId="2" applyFont="1" applyFill="1" applyBorder="1" applyAlignment="1">
      <alignment horizontal="center" vertical="center" wrapText="1"/>
    </xf>
    <xf numFmtId="169" fontId="7" fillId="5" borderId="18" xfId="2" applyFont="1" applyFill="1" applyBorder="1" applyAlignment="1">
      <alignment horizontal="center" vertical="center" wrapText="1"/>
    </xf>
    <xf numFmtId="49" fontId="7" fillId="0" borderId="7" xfId="2" applyNumberFormat="1" applyFont="1" applyFill="1" applyBorder="1" applyAlignment="1">
      <alignment horizontal="center" vertical="center" wrapText="1"/>
    </xf>
    <xf numFmtId="49" fontId="7" fillId="0" borderId="17" xfId="2" applyNumberFormat="1" applyFont="1" applyFill="1" applyBorder="1" applyAlignment="1">
      <alignment horizontal="center" vertical="center" wrapText="1"/>
    </xf>
    <xf numFmtId="49" fontId="7" fillId="0" borderId="14" xfId="2" applyNumberFormat="1" applyFont="1" applyFill="1" applyBorder="1" applyAlignment="1">
      <alignment horizontal="center" vertical="center" wrapText="1"/>
    </xf>
    <xf numFmtId="10" fontId="7" fillId="5" borderId="1" xfId="2" applyNumberFormat="1" applyFont="1" applyFill="1" applyBorder="1" applyAlignment="1">
      <alignment horizontal="center" vertical="center" wrapText="1"/>
    </xf>
    <xf numFmtId="174" fontId="7" fillId="5" borderId="8" xfId="2" applyNumberFormat="1" applyFont="1" applyFill="1" applyBorder="1" applyAlignment="1">
      <alignment horizontal="center" vertical="center" wrapText="1"/>
    </xf>
    <xf numFmtId="174" fontId="7" fillId="5" borderId="18" xfId="2" applyNumberFormat="1" applyFont="1" applyFill="1" applyBorder="1" applyAlignment="1">
      <alignment horizontal="center" vertical="center" wrapText="1"/>
    </xf>
    <xf numFmtId="42" fontId="7" fillId="5" borderId="15" xfId="2" applyNumberFormat="1" applyFont="1" applyFill="1" applyBorder="1" applyAlignment="1">
      <alignment horizontal="center" vertical="center" wrapText="1"/>
    </xf>
    <xf numFmtId="10" fontId="7" fillId="0" borderId="8" xfId="7" applyNumberFormat="1" applyFont="1" applyFill="1" applyBorder="1" applyAlignment="1">
      <alignment horizontal="center" vertical="center" wrapText="1"/>
    </xf>
    <xf numFmtId="10" fontId="7" fillId="0" borderId="15" xfId="7" applyNumberFormat="1" applyFont="1" applyFill="1" applyBorder="1" applyAlignment="1">
      <alignment horizontal="center" vertical="center" wrapText="1"/>
    </xf>
    <xf numFmtId="10" fontId="7" fillId="0" borderId="18" xfId="7" applyNumberFormat="1" applyFont="1" applyFill="1" applyBorder="1" applyAlignment="1">
      <alignment horizontal="center" vertical="center" wrapText="1"/>
    </xf>
    <xf numFmtId="3" fontId="6" fillId="5" borderId="1" xfId="2" applyNumberFormat="1" applyFont="1" applyFill="1" applyBorder="1" applyAlignment="1">
      <alignment horizontal="center" vertical="center" wrapText="1"/>
    </xf>
    <xf numFmtId="169" fontId="7" fillId="0" borderId="18" xfId="2" applyFont="1" applyFill="1" applyBorder="1" applyAlignment="1">
      <alignment horizontal="center" vertical="center" wrapText="1"/>
    </xf>
    <xf numFmtId="195" fontId="7" fillId="0" borderId="8" xfId="2" applyNumberFormat="1" applyFont="1" applyBorder="1" applyAlignment="1">
      <alignment horizontal="center" vertical="center"/>
    </xf>
    <xf numFmtId="195" fontId="7" fillId="0" borderId="15" xfId="2" applyNumberFormat="1" applyFont="1" applyBorder="1" applyAlignment="1">
      <alignment horizontal="center" vertical="center"/>
    </xf>
    <xf numFmtId="10" fontId="7" fillId="5" borderId="8" xfId="2" applyNumberFormat="1" applyFont="1" applyFill="1" applyBorder="1" applyAlignment="1">
      <alignment horizontal="center" vertical="center" wrapText="1"/>
    </xf>
    <xf numFmtId="10" fontId="7" fillId="5" borderId="15" xfId="2" applyNumberFormat="1" applyFont="1" applyFill="1" applyBorder="1" applyAlignment="1">
      <alignment horizontal="center" vertical="center" wrapText="1"/>
    </xf>
    <xf numFmtId="10" fontId="7" fillId="5" borderId="18" xfId="2" applyNumberFormat="1" applyFont="1" applyFill="1" applyBorder="1" applyAlignment="1">
      <alignment horizontal="center" vertical="center" wrapText="1"/>
    </xf>
    <xf numFmtId="174" fontId="7" fillId="5" borderId="15" xfId="2" applyNumberFormat="1" applyFont="1" applyFill="1" applyBorder="1" applyAlignment="1">
      <alignment horizontal="center" vertical="center" wrapText="1"/>
    </xf>
    <xf numFmtId="3" fontId="7" fillId="0" borderId="8" xfId="2" applyNumberFormat="1" applyFont="1" applyFill="1" applyBorder="1" applyAlignment="1">
      <alignment horizontal="center" vertical="center" wrapText="1"/>
    </xf>
    <xf numFmtId="3" fontId="7" fillId="0" borderId="15" xfId="2" applyNumberFormat="1" applyFont="1" applyFill="1" applyBorder="1" applyAlignment="1">
      <alignment horizontal="center" vertical="center" wrapText="1"/>
    </xf>
    <xf numFmtId="3" fontId="7" fillId="0" borderId="18" xfId="2" applyNumberFormat="1" applyFont="1" applyFill="1" applyBorder="1" applyAlignment="1">
      <alignment horizontal="center" vertical="center" wrapText="1"/>
    </xf>
    <xf numFmtId="3" fontId="6" fillId="5" borderId="15" xfId="2" applyNumberFormat="1" applyFont="1" applyFill="1" applyBorder="1" applyAlignment="1">
      <alignment horizontal="center" vertical="center" wrapText="1"/>
    </xf>
    <xf numFmtId="3" fontId="7" fillId="0" borderId="8" xfId="2" applyNumberFormat="1" applyFont="1" applyFill="1" applyBorder="1" applyAlignment="1">
      <alignment horizontal="center" vertical="center"/>
    </xf>
    <xf numFmtId="3" fontId="7" fillId="0" borderId="15" xfId="2" applyNumberFormat="1" applyFont="1" applyFill="1" applyBorder="1" applyAlignment="1">
      <alignment horizontal="center" vertical="center"/>
    </xf>
    <xf numFmtId="3" fontId="7" fillId="0" borderId="18" xfId="2" applyNumberFormat="1" applyFont="1" applyFill="1" applyBorder="1" applyAlignment="1">
      <alignment horizontal="center" vertical="center"/>
    </xf>
    <xf numFmtId="3" fontId="7" fillId="0" borderId="1" xfId="2" applyNumberFormat="1" applyFont="1" applyFill="1" applyBorder="1" applyAlignment="1">
      <alignment horizontal="center" vertical="center"/>
    </xf>
    <xf numFmtId="10" fontId="7" fillId="0" borderId="8" xfId="5" applyNumberFormat="1" applyFont="1" applyFill="1" applyBorder="1" applyAlignment="1">
      <alignment horizontal="center" vertical="center" wrapText="1"/>
    </xf>
    <xf numFmtId="10" fontId="7" fillId="0" borderId="15" xfId="5" applyNumberFormat="1" applyFont="1" applyFill="1" applyBorder="1" applyAlignment="1">
      <alignment horizontal="center" vertical="center" wrapText="1"/>
    </xf>
    <xf numFmtId="10" fontId="7" fillId="0" borderId="18" xfId="5" applyNumberFormat="1" applyFont="1" applyFill="1" applyBorder="1" applyAlignment="1">
      <alignment horizontal="center" vertical="center" wrapText="1"/>
    </xf>
    <xf numFmtId="169" fontId="7" fillId="0" borderId="1" xfId="2" applyFont="1" applyFill="1" applyBorder="1" applyAlignment="1">
      <alignment horizontal="center" vertical="center" wrapText="1"/>
    </xf>
    <xf numFmtId="196" fontId="7" fillId="0" borderId="8" xfId="2" applyNumberFormat="1" applyFont="1" applyBorder="1" applyAlignment="1">
      <alignment horizontal="center" vertical="center"/>
    </xf>
    <xf numFmtId="196" fontId="7" fillId="0" borderId="15" xfId="2" applyNumberFormat="1" applyFont="1" applyBorder="1" applyAlignment="1">
      <alignment horizontal="center" vertical="center"/>
    </xf>
    <xf numFmtId="196" fontId="7" fillId="0" borderId="18" xfId="2" applyNumberFormat="1" applyFont="1" applyBorder="1" applyAlignment="1">
      <alignment horizontal="center" vertical="center"/>
    </xf>
    <xf numFmtId="174" fontId="7" fillId="0" borderId="8" xfId="7" applyNumberFormat="1" applyFont="1" applyFill="1" applyBorder="1" applyAlignment="1">
      <alignment horizontal="center" vertical="center" wrapText="1"/>
    </xf>
    <xf numFmtId="174" fontId="7" fillId="0" borderId="15" xfId="7" applyNumberFormat="1" applyFont="1" applyFill="1" applyBorder="1" applyAlignment="1">
      <alignment horizontal="center" vertical="center" wrapText="1"/>
    </xf>
    <xf numFmtId="174" fontId="7" fillId="0" borderId="18" xfId="7" applyNumberFormat="1" applyFont="1" applyFill="1" applyBorder="1" applyAlignment="1">
      <alignment horizontal="center" vertical="center" wrapText="1"/>
    </xf>
    <xf numFmtId="169" fontId="6" fillId="0" borderId="8" xfId="2" applyFont="1" applyFill="1" applyBorder="1" applyAlignment="1">
      <alignment horizontal="center" vertical="center" textRotation="180" wrapText="1"/>
    </xf>
    <xf numFmtId="169" fontId="6" fillId="0" borderId="15" xfId="2" applyFont="1" applyFill="1" applyBorder="1" applyAlignment="1">
      <alignment horizontal="center" vertical="center" textRotation="180" wrapText="1"/>
    </xf>
    <xf numFmtId="169" fontId="6" fillId="0" borderId="18" xfId="2" applyFont="1" applyFill="1" applyBorder="1" applyAlignment="1">
      <alignment horizontal="center" vertical="center" textRotation="180" wrapText="1"/>
    </xf>
    <xf numFmtId="3" fontId="7" fillId="5" borderId="8" xfId="2" applyNumberFormat="1" applyFont="1" applyFill="1" applyBorder="1" applyAlignment="1">
      <alignment horizontal="center" vertical="center" wrapText="1"/>
    </xf>
    <xf numFmtId="3" fontId="7" fillId="5" borderId="15" xfId="2" applyNumberFormat="1" applyFont="1" applyFill="1" applyBorder="1" applyAlignment="1">
      <alignment horizontal="center" vertical="center" wrapText="1"/>
    </xf>
    <xf numFmtId="3" fontId="7" fillId="5" borderId="18" xfId="2" applyNumberFormat="1" applyFont="1" applyFill="1" applyBorder="1" applyAlignment="1">
      <alignment horizontal="center" vertical="center" wrapText="1"/>
    </xf>
    <xf numFmtId="3" fontId="7" fillId="0" borderId="8" xfId="2" applyNumberFormat="1" applyFont="1" applyFill="1" applyBorder="1" applyAlignment="1">
      <alignment horizontal="center" vertical="center" wrapText="1" readingOrder="1"/>
    </xf>
    <xf numFmtId="3" fontId="7" fillId="0" borderId="18" xfId="2" applyNumberFormat="1" applyFont="1" applyFill="1" applyBorder="1" applyAlignment="1">
      <alignment horizontal="center" vertical="center" wrapText="1" readingOrder="1"/>
    </xf>
    <xf numFmtId="10" fontId="7" fillId="0" borderId="8" xfId="7" applyNumberFormat="1" applyFont="1" applyFill="1" applyBorder="1" applyAlignment="1">
      <alignment horizontal="center" vertical="center" wrapText="1" readingOrder="1"/>
    </xf>
    <xf numFmtId="10" fontId="7" fillId="0" borderId="18" xfId="7" applyNumberFormat="1" applyFont="1" applyFill="1" applyBorder="1" applyAlignment="1">
      <alignment horizontal="center" vertical="center" wrapText="1" readingOrder="1"/>
    </xf>
    <xf numFmtId="1" fontId="7" fillId="0" borderId="8" xfId="2" applyNumberFormat="1" applyFont="1" applyFill="1" applyBorder="1" applyAlignment="1">
      <alignment horizontal="center" vertical="center" wrapText="1" readingOrder="1"/>
    </xf>
    <xf numFmtId="1" fontId="7" fillId="0" borderId="15" xfId="2" applyNumberFormat="1" applyFont="1" applyFill="1" applyBorder="1" applyAlignment="1">
      <alignment horizontal="center" vertical="center" wrapText="1" readingOrder="1"/>
    </xf>
    <xf numFmtId="1" fontId="7" fillId="0" borderId="18" xfId="2" applyNumberFormat="1" applyFont="1" applyFill="1" applyBorder="1" applyAlignment="1">
      <alignment horizontal="center" vertical="center" wrapText="1" readingOrder="1"/>
    </xf>
    <xf numFmtId="3" fontId="7" fillId="0" borderId="15" xfId="2" applyNumberFormat="1" applyFont="1" applyFill="1" applyBorder="1" applyAlignment="1">
      <alignment horizontal="center" vertical="center" wrapText="1" readingOrder="1"/>
    </xf>
    <xf numFmtId="10" fontId="7" fillId="0" borderId="8" xfId="2" applyNumberFormat="1" applyFont="1" applyFill="1" applyBorder="1" applyAlignment="1">
      <alignment horizontal="center" vertical="center" wrapText="1" readingOrder="1"/>
    </xf>
    <xf numFmtId="10" fontId="7" fillId="0" borderId="15" xfId="2" applyNumberFormat="1" applyFont="1" applyFill="1" applyBorder="1" applyAlignment="1">
      <alignment horizontal="center" vertical="center" wrapText="1" readingOrder="1"/>
    </xf>
    <xf numFmtId="10" fontId="7" fillId="0" borderId="18" xfId="2" applyNumberFormat="1" applyFont="1" applyFill="1" applyBorder="1" applyAlignment="1">
      <alignment horizontal="center" vertical="center" wrapText="1" readingOrder="1"/>
    </xf>
    <xf numFmtId="170" fontId="7" fillId="5" borderId="1" xfId="2" applyNumberFormat="1" applyFont="1" applyFill="1" applyBorder="1" applyAlignment="1">
      <alignment horizontal="center" vertical="center" wrapText="1"/>
    </xf>
    <xf numFmtId="1" fontId="6" fillId="5" borderId="8" xfId="2" applyNumberFormat="1" applyFont="1" applyFill="1" applyBorder="1" applyAlignment="1">
      <alignment horizontal="center" vertical="center" wrapText="1"/>
    </xf>
    <xf numFmtId="1" fontId="6" fillId="5" borderId="15" xfId="2" applyNumberFormat="1" applyFont="1" applyFill="1" applyBorder="1" applyAlignment="1">
      <alignment horizontal="center" vertical="center" wrapText="1"/>
    </xf>
    <xf numFmtId="1" fontId="6" fillId="5" borderId="18" xfId="2" applyNumberFormat="1" applyFont="1" applyFill="1" applyBorder="1" applyAlignment="1">
      <alignment horizontal="center" vertical="center" wrapText="1"/>
    </xf>
    <xf numFmtId="169" fontId="6" fillId="5" borderId="6" xfId="2" applyFont="1" applyFill="1" applyBorder="1" applyAlignment="1">
      <alignment vertical="center" wrapText="1"/>
    </xf>
    <xf numFmtId="169" fontId="6" fillId="5" borderId="7" xfId="2" applyFont="1" applyFill="1" applyBorder="1" applyAlignment="1">
      <alignment vertical="center" wrapText="1"/>
    </xf>
    <xf numFmtId="169" fontId="6" fillId="5" borderId="16" xfId="2" applyFont="1" applyFill="1" applyBorder="1" applyAlignment="1">
      <alignment vertical="center" wrapText="1"/>
    </xf>
    <xf numFmtId="169" fontId="6" fillId="5" borderId="17" xfId="2" applyFont="1" applyFill="1" applyBorder="1" applyAlignment="1">
      <alignment vertical="center" wrapText="1"/>
    </xf>
    <xf numFmtId="169" fontId="6" fillId="5" borderId="13" xfId="2" applyFont="1" applyFill="1" applyBorder="1" applyAlignment="1">
      <alignment vertical="center" wrapText="1"/>
    </xf>
    <xf numFmtId="169" fontId="6" fillId="5" borderId="14" xfId="2" applyFont="1" applyFill="1" applyBorder="1" applyAlignment="1">
      <alignment vertical="center" wrapText="1"/>
    </xf>
    <xf numFmtId="1" fontId="7" fillId="5" borderId="8" xfId="10" applyNumberFormat="1" applyFont="1" applyFill="1" applyBorder="1" applyAlignment="1">
      <alignment horizontal="center" vertical="center" wrapText="1"/>
    </xf>
    <xf numFmtId="1" fontId="7" fillId="5" borderId="18" xfId="10" applyNumberFormat="1" applyFont="1" applyFill="1" applyBorder="1" applyAlignment="1">
      <alignment horizontal="center" vertical="center" wrapText="1"/>
    </xf>
    <xf numFmtId="169" fontId="7" fillId="5" borderId="8" xfId="2" applyFont="1" applyFill="1" applyBorder="1" applyAlignment="1">
      <alignment horizontal="center" vertical="center"/>
    </xf>
    <xf numFmtId="169" fontId="7" fillId="5" borderId="18" xfId="2" applyFont="1" applyFill="1" applyBorder="1" applyAlignment="1">
      <alignment horizontal="center" vertical="center"/>
    </xf>
    <xf numFmtId="1" fontId="7" fillId="5" borderId="8" xfId="2" applyNumberFormat="1" applyFont="1" applyFill="1" applyBorder="1" applyAlignment="1">
      <alignment horizontal="center" vertical="center"/>
    </xf>
    <xf numFmtId="1" fontId="7" fillId="5" borderId="18" xfId="2" applyNumberFormat="1" applyFont="1" applyFill="1" applyBorder="1" applyAlignment="1">
      <alignment horizontal="center" vertical="center"/>
    </xf>
    <xf numFmtId="2" fontId="7" fillId="5" borderId="1" xfId="2" applyNumberFormat="1" applyFont="1" applyFill="1" applyBorder="1" applyAlignment="1">
      <alignment horizontal="center" vertical="center"/>
    </xf>
    <xf numFmtId="170" fontId="7" fillId="5" borderId="8" xfId="2" applyNumberFormat="1" applyFont="1" applyFill="1" applyBorder="1" applyAlignment="1">
      <alignment horizontal="center" vertical="center" wrapText="1"/>
    </xf>
    <xf numFmtId="170" fontId="7" fillId="5" borderId="18" xfId="2" applyNumberFormat="1" applyFont="1" applyFill="1" applyBorder="1" applyAlignment="1">
      <alignment horizontal="center" vertical="center" wrapText="1"/>
    </xf>
    <xf numFmtId="49" fontId="7" fillId="0" borderId="15" xfId="2" applyNumberFormat="1" applyFont="1" applyFill="1" applyBorder="1" applyAlignment="1">
      <alignment horizontal="center" vertical="center" wrapText="1"/>
    </xf>
    <xf numFmtId="49" fontId="7" fillId="0" borderId="18" xfId="2" applyNumberFormat="1" applyFont="1" applyFill="1" applyBorder="1" applyAlignment="1">
      <alignment horizontal="center" vertical="center" wrapText="1"/>
    </xf>
    <xf numFmtId="0" fontId="7" fillId="0" borderId="8" xfId="2" applyNumberFormat="1" applyFont="1" applyFill="1" applyBorder="1" applyAlignment="1">
      <alignment horizontal="center" vertical="center"/>
    </xf>
    <xf numFmtId="0" fontId="7" fillId="0" borderId="15" xfId="2" applyNumberFormat="1" applyFont="1" applyFill="1" applyBorder="1" applyAlignment="1">
      <alignment horizontal="center" vertical="center"/>
    </xf>
    <xf numFmtId="3" fontId="7" fillId="5" borderId="7" xfId="2" applyNumberFormat="1" applyFont="1" applyFill="1" applyBorder="1" applyAlignment="1">
      <alignment horizontal="center" vertical="center" wrapText="1"/>
    </xf>
    <xf numFmtId="3" fontId="7" fillId="5" borderId="17" xfId="2" applyNumberFormat="1" applyFont="1" applyFill="1" applyBorder="1" applyAlignment="1">
      <alignment horizontal="center" vertical="center" wrapText="1"/>
    </xf>
    <xf numFmtId="3" fontId="7" fillId="5" borderId="14" xfId="2" applyNumberFormat="1" applyFont="1" applyFill="1" applyBorder="1" applyAlignment="1">
      <alignment horizontal="center" vertical="center" wrapText="1"/>
    </xf>
    <xf numFmtId="3" fontId="7" fillId="0" borderId="17" xfId="2" applyNumberFormat="1" applyFont="1" applyFill="1" applyBorder="1" applyAlignment="1">
      <alignment horizontal="center" vertical="center" wrapText="1"/>
    </xf>
    <xf numFmtId="1" fontId="7" fillId="5" borderId="15" xfId="10" applyNumberFormat="1" applyFont="1" applyFill="1" applyBorder="1" applyAlignment="1">
      <alignment horizontal="center" vertical="center" wrapText="1"/>
    </xf>
    <xf numFmtId="169" fontId="7" fillId="5" borderId="15" xfId="2" applyFont="1" applyFill="1" applyBorder="1" applyAlignment="1">
      <alignment horizontal="center" vertical="center"/>
    </xf>
    <xf numFmtId="1" fontId="7" fillId="5" borderId="15" xfId="2" applyNumberFormat="1" applyFont="1" applyFill="1" applyBorder="1" applyAlignment="1">
      <alignment horizontal="center" vertical="center"/>
    </xf>
    <xf numFmtId="1" fontId="7" fillId="0" borderId="8" xfId="2" applyNumberFormat="1" applyFont="1" applyFill="1" applyBorder="1" applyAlignment="1">
      <alignment horizontal="center" vertical="center"/>
    </xf>
    <xf numFmtId="1" fontId="7" fillId="0" borderId="15" xfId="2" applyNumberFormat="1" applyFont="1" applyFill="1" applyBorder="1" applyAlignment="1">
      <alignment horizontal="center" vertical="center"/>
    </xf>
    <xf numFmtId="1" fontId="7" fillId="0" borderId="18" xfId="2" applyNumberFormat="1" applyFont="1" applyFill="1" applyBorder="1" applyAlignment="1">
      <alignment horizontal="center" vertical="center"/>
    </xf>
    <xf numFmtId="2" fontId="7" fillId="0" borderId="1" xfId="2" applyNumberFormat="1" applyFont="1" applyFill="1" applyBorder="1" applyAlignment="1">
      <alignment horizontal="center" vertical="center"/>
    </xf>
    <xf numFmtId="3" fontId="6" fillId="5" borderId="8" xfId="2" applyNumberFormat="1" applyFont="1" applyFill="1" applyBorder="1" applyAlignment="1">
      <alignment horizontal="center" vertical="center" textRotation="180" wrapText="1"/>
    </xf>
    <xf numFmtId="3" fontId="6" fillId="5" borderId="15" xfId="2" applyNumberFormat="1" applyFont="1" applyFill="1" applyBorder="1" applyAlignment="1">
      <alignment horizontal="center" vertical="center" textRotation="180" wrapText="1"/>
    </xf>
    <xf numFmtId="3" fontId="6" fillId="5" borderId="18" xfId="2" applyNumberFormat="1" applyFont="1" applyFill="1" applyBorder="1" applyAlignment="1">
      <alignment horizontal="center" vertical="center" textRotation="180" wrapText="1"/>
    </xf>
    <xf numFmtId="1" fontId="6" fillId="5" borderId="8" xfId="2" applyNumberFormat="1" applyFont="1" applyFill="1" applyBorder="1" applyAlignment="1">
      <alignment horizontal="center" vertical="center" textRotation="180" wrapText="1"/>
    </xf>
    <xf numFmtId="1" fontId="6" fillId="5" borderId="15" xfId="2" applyNumberFormat="1" applyFont="1" applyFill="1" applyBorder="1" applyAlignment="1">
      <alignment horizontal="center" vertical="center" textRotation="180" wrapText="1"/>
    </xf>
    <xf numFmtId="1" fontId="6" fillId="5" borderId="18" xfId="2" applyNumberFormat="1" applyFont="1" applyFill="1" applyBorder="1" applyAlignment="1">
      <alignment horizontal="center" vertical="center" textRotation="180" wrapText="1"/>
    </xf>
    <xf numFmtId="169" fontId="7" fillId="5" borderId="9" xfId="2" applyFont="1" applyFill="1" applyBorder="1" applyAlignment="1">
      <alignment horizontal="center" vertical="center" wrapText="1"/>
    </xf>
    <xf numFmtId="169" fontId="7" fillId="5" borderId="7" xfId="2" applyFont="1" applyFill="1" applyBorder="1" applyAlignment="1">
      <alignment horizontal="center" vertical="center" wrapText="1"/>
    </xf>
    <xf numFmtId="169" fontId="7" fillId="5" borderId="0" xfId="2" applyFont="1" applyFill="1" applyBorder="1" applyAlignment="1">
      <alignment horizontal="center" vertical="center" wrapText="1"/>
    </xf>
    <xf numFmtId="169" fontId="7" fillId="5" borderId="17" xfId="2" applyFont="1" applyFill="1" applyBorder="1" applyAlignment="1">
      <alignment horizontal="center" vertical="center" wrapText="1"/>
    </xf>
    <xf numFmtId="169" fontId="7" fillId="5" borderId="2" xfId="2" applyFont="1" applyFill="1" applyBorder="1" applyAlignment="1">
      <alignment horizontal="center" vertical="center" wrapText="1"/>
    </xf>
    <xf numFmtId="169" fontId="7" fillId="5" borderId="14" xfId="2" applyFont="1" applyFill="1" applyBorder="1" applyAlignment="1">
      <alignment horizontal="center" vertical="center" wrapText="1"/>
    </xf>
    <xf numFmtId="169" fontId="7" fillId="5" borderId="6" xfId="2" applyFont="1" applyFill="1" applyBorder="1" applyAlignment="1">
      <alignment vertical="center" wrapText="1"/>
    </xf>
    <xf numFmtId="169" fontId="7" fillId="5" borderId="7" xfId="2" applyFont="1" applyFill="1" applyBorder="1" applyAlignment="1">
      <alignment vertical="center" wrapText="1"/>
    </xf>
    <xf numFmtId="169" fontId="7" fillId="5" borderId="16" xfId="2" applyFont="1" applyFill="1" applyBorder="1" applyAlignment="1">
      <alignment vertical="center" wrapText="1"/>
    </xf>
    <xf numFmtId="169" fontId="7" fillId="5" borderId="17" xfId="2" applyFont="1" applyFill="1" applyBorder="1" applyAlignment="1">
      <alignment vertical="center" wrapText="1"/>
    </xf>
    <xf numFmtId="169" fontId="7" fillId="5" borderId="13" xfId="2" applyFont="1" applyFill="1" applyBorder="1" applyAlignment="1">
      <alignment vertical="center" wrapText="1"/>
    </xf>
    <xf numFmtId="169" fontId="7" fillId="5" borderId="14" xfId="2" applyFont="1" applyFill="1" applyBorder="1" applyAlignment="1">
      <alignment vertical="center" wrapText="1"/>
    </xf>
    <xf numFmtId="169" fontId="7" fillId="0" borderId="8" xfId="2" applyFont="1" applyBorder="1" applyAlignment="1">
      <alignment horizontal="justify" vertical="center" wrapText="1"/>
    </xf>
    <xf numFmtId="169" fontId="7" fillId="0" borderId="15" xfId="2" applyFont="1" applyBorder="1" applyAlignment="1">
      <alignment horizontal="justify" vertical="center" wrapText="1"/>
    </xf>
    <xf numFmtId="169" fontId="7" fillId="0" borderId="18" xfId="2" applyFont="1" applyBorder="1" applyAlignment="1">
      <alignment horizontal="justify" vertical="center" wrapText="1"/>
    </xf>
    <xf numFmtId="1" fontId="7" fillId="5" borderId="8" xfId="2" applyNumberFormat="1" applyFont="1" applyFill="1" applyBorder="1" applyAlignment="1">
      <alignment horizontal="center" vertical="center" wrapText="1"/>
    </xf>
    <xf numFmtId="1" fontId="7" fillId="5" borderId="15" xfId="2" applyNumberFormat="1" applyFont="1" applyFill="1" applyBorder="1" applyAlignment="1">
      <alignment horizontal="center" vertical="center" wrapText="1"/>
    </xf>
    <xf numFmtId="1" fontId="7" fillId="5" borderId="18" xfId="2" applyNumberFormat="1" applyFont="1" applyFill="1" applyBorder="1" applyAlignment="1">
      <alignment horizontal="center" vertical="center" wrapText="1"/>
    </xf>
    <xf numFmtId="197" fontId="7" fillId="5" borderId="8" xfId="2" applyNumberFormat="1" applyFont="1" applyFill="1" applyBorder="1" applyAlignment="1">
      <alignment horizontal="center" vertical="center" wrapText="1"/>
    </xf>
    <xf numFmtId="197" fontId="7" fillId="5" borderId="18" xfId="2" applyNumberFormat="1" applyFont="1" applyFill="1" applyBorder="1" applyAlignment="1">
      <alignment horizontal="center" vertical="center" wrapText="1"/>
    </xf>
    <xf numFmtId="1" fontId="7" fillId="0" borderId="8" xfId="2" applyNumberFormat="1" applyFont="1" applyBorder="1" applyAlignment="1">
      <alignment horizontal="center" vertical="center"/>
    </xf>
    <xf numFmtId="1" fontId="7" fillId="0" borderId="15" xfId="2" applyNumberFormat="1" applyFont="1" applyBorder="1" applyAlignment="1">
      <alignment horizontal="center" vertical="center"/>
    </xf>
    <xf numFmtId="1" fontId="7" fillId="0" borderId="18" xfId="2" applyNumberFormat="1" applyFont="1" applyBorder="1" applyAlignment="1">
      <alignment horizontal="center" vertical="center"/>
    </xf>
    <xf numFmtId="2" fontId="7" fillId="0" borderId="1" xfId="2" applyNumberFormat="1" applyFont="1" applyBorder="1" applyAlignment="1">
      <alignment horizontal="center" vertical="center"/>
    </xf>
    <xf numFmtId="10" fontId="7" fillId="0" borderId="8" xfId="2" applyNumberFormat="1" applyFont="1" applyFill="1" applyBorder="1" applyAlignment="1">
      <alignment horizontal="center" vertical="center" wrapText="1"/>
    </xf>
    <xf numFmtId="10" fontId="7" fillId="0" borderId="15" xfId="2" applyNumberFormat="1" applyFont="1" applyFill="1" applyBorder="1" applyAlignment="1">
      <alignment horizontal="center" vertical="center" wrapText="1"/>
    </xf>
    <xf numFmtId="10" fontId="7" fillId="0" borderId="18" xfId="2" applyNumberFormat="1" applyFont="1" applyFill="1" applyBorder="1" applyAlignment="1">
      <alignment horizontal="center" vertical="center" wrapText="1"/>
    </xf>
    <xf numFmtId="1" fontId="7" fillId="0" borderId="8" xfId="2" applyNumberFormat="1" applyFont="1" applyFill="1" applyBorder="1" applyAlignment="1">
      <alignment horizontal="center" vertical="center" wrapText="1"/>
    </xf>
    <xf numFmtId="1" fontId="7" fillId="0" borderId="15" xfId="2" applyNumberFormat="1" applyFont="1" applyFill="1" applyBorder="1" applyAlignment="1">
      <alignment horizontal="center" vertical="center" wrapText="1"/>
    </xf>
    <xf numFmtId="1" fontId="7" fillId="0" borderId="18" xfId="2" applyNumberFormat="1" applyFont="1" applyFill="1" applyBorder="1" applyAlignment="1">
      <alignment horizontal="center" vertical="center" wrapText="1"/>
    </xf>
    <xf numFmtId="169" fontId="7" fillId="0" borderId="8" xfId="2" applyFont="1" applyFill="1" applyBorder="1" applyAlignment="1">
      <alignment horizontal="justify" vertical="center" wrapText="1"/>
    </xf>
    <xf numFmtId="169" fontId="7" fillId="0" borderId="15" xfId="2" applyFont="1" applyFill="1" applyBorder="1" applyAlignment="1">
      <alignment horizontal="justify" vertical="center" wrapText="1"/>
    </xf>
    <xf numFmtId="169" fontId="7" fillId="0" borderId="18" xfId="2" applyFont="1" applyFill="1" applyBorder="1" applyAlignment="1">
      <alignment horizontal="justify" vertical="center" wrapText="1"/>
    </xf>
    <xf numFmtId="197" fontId="7" fillId="5" borderId="15" xfId="2" applyNumberFormat="1" applyFont="1" applyFill="1" applyBorder="1" applyAlignment="1">
      <alignment horizontal="center" vertical="center" wrapText="1"/>
    </xf>
    <xf numFmtId="185" fontId="7" fillId="5" borderId="8" xfId="2" applyNumberFormat="1" applyFont="1" applyFill="1" applyBorder="1" applyAlignment="1">
      <alignment horizontal="center" vertical="center"/>
    </xf>
    <xf numFmtId="185" fontId="7" fillId="5" borderId="15" xfId="2" applyNumberFormat="1" applyFont="1" applyFill="1" applyBorder="1" applyAlignment="1">
      <alignment horizontal="center" vertical="center"/>
    </xf>
    <xf numFmtId="185" fontId="7" fillId="5" borderId="18" xfId="2" applyNumberFormat="1" applyFont="1" applyFill="1" applyBorder="1" applyAlignment="1">
      <alignment horizontal="center" vertical="center"/>
    </xf>
    <xf numFmtId="1" fontId="7" fillId="0" borderId="1" xfId="2" applyNumberFormat="1" applyFont="1" applyBorder="1" applyAlignment="1">
      <alignment horizontal="center" vertical="center"/>
    </xf>
    <xf numFmtId="197" fontId="7" fillId="5" borderId="8" xfId="2" applyNumberFormat="1" applyFont="1" applyFill="1" applyBorder="1" applyAlignment="1">
      <alignment horizontal="center" vertical="center"/>
    </xf>
    <xf numFmtId="197" fontId="7" fillId="5" borderId="18" xfId="2" applyNumberFormat="1" applyFont="1" applyFill="1" applyBorder="1" applyAlignment="1">
      <alignment horizontal="center" vertical="center"/>
    </xf>
    <xf numFmtId="169" fontId="7" fillId="5" borderId="8" xfId="2" applyFont="1" applyFill="1" applyBorder="1" applyAlignment="1">
      <alignment horizontal="left" vertical="center" wrapText="1"/>
    </xf>
    <xf numFmtId="169" fontId="7" fillId="5" borderId="15" xfId="2" applyFont="1" applyFill="1" applyBorder="1" applyAlignment="1">
      <alignment horizontal="left" vertical="center" wrapText="1"/>
    </xf>
    <xf numFmtId="169" fontId="7" fillId="5" borderId="18" xfId="2" applyFont="1" applyFill="1" applyBorder="1" applyAlignment="1">
      <alignment horizontal="left" vertical="center" wrapText="1"/>
    </xf>
    <xf numFmtId="197" fontId="7" fillId="5" borderId="15" xfId="2" applyNumberFormat="1" applyFont="1" applyFill="1" applyBorder="1" applyAlignment="1">
      <alignment horizontal="center" vertical="center"/>
    </xf>
    <xf numFmtId="169" fontId="7" fillId="0" borderId="6" xfId="2" applyFont="1" applyBorder="1" applyAlignment="1">
      <alignment vertical="center" wrapText="1"/>
    </xf>
    <xf numFmtId="169" fontId="7" fillId="0" borderId="7" xfId="2" applyFont="1" applyBorder="1" applyAlignment="1">
      <alignment vertical="center" wrapText="1"/>
    </xf>
    <xf numFmtId="169" fontId="7" fillId="0" borderId="16" xfId="2" applyFont="1" applyBorder="1" applyAlignment="1">
      <alignment vertical="center" wrapText="1"/>
    </xf>
    <xf numFmtId="169" fontId="7" fillId="0" borderId="17" xfId="2" applyFont="1" applyBorder="1" applyAlignment="1">
      <alignment vertical="center" wrapText="1"/>
    </xf>
    <xf numFmtId="169" fontId="7" fillId="0" borderId="13" xfId="2" applyFont="1" applyBorder="1" applyAlignment="1">
      <alignment vertical="center" wrapText="1"/>
    </xf>
    <xf numFmtId="169" fontId="7" fillId="0" borderId="14" xfId="2" applyFont="1" applyBorder="1" applyAlignment="1">
      <alignment vertical="center" wrapText="1"/>
    </xf>
    <xf numFmtId="169" fontId="7" fillId="0" borderId="8" xfId="2" applyFont="1" applyFill="1" applyBorder="1" applyAlignment="1">
      <alignment horizontal="center" vertical="center"/>
    </xf>
    <xf numFmtId="169" fontId="7" fillId="0" borderId="18" xfId="2" applyFont="1" applyFill="1" applyBorder="1" applyAlignment="1">
      <alignment horizontal="center" vertical="center"/>
    </xf>
    <xf numFmtId="3" fontId="7" fillId="0" borderId="18" xfId="2" applyNumberFormat="1" applyFont="1" applyBorder="1" applyAlignment="1">
      <alignment horizontal="center" vertical="center"/>
    </xf>
    <xf numFmtId="4" fontId="7" fillId="0" borderId="1" xfId="2" applyNumberFormat="1" applyFont="1" applyBorder="1" applyAlignment="1">
      <alignment horizontal="center" vertical="center"/>
    </xf>
    <xf numFmtId="1" fontId="7" fillId="5" borderId="7" xfId="2" applyNumberFormat="1" applyFont="1" applyFill="1" applyBorder="1" applyAlignment="1">
      <alignment horizontal="center" vertical="center" wrapText="1"/>
    </xf>
    <xf numFmtId="1" fontId="7" fillId="5" borderId="17" xfId="2" applyNumberFormat="1" applyFont="1" applyFill="1" applyBorder="1" applyAlignment="1">
      <alignment horizontal="center" vertical="center" wrapText="1"/>
    </xf>
    <xf numFmtId="1" fontId="7" fillId="5" borderId="14" xfId="2" applyNumberFormat="1" applyFont="1" applyFill="1" applyBorder="1" applyAlignment="1">
      <alignment horizontal="center" vertical="center" wrapText="1"/>
    </xf>
    <xf numFmtId="10" fontId="7" fillId="0" borderId="8" xfId="2" applyNumberFormat="1" applyFont="1" applyFill="1" applyBorder="1" applyAlignment="1">
      <alignment horizontal="center" vertical="center"/>
    </xf>
    <xf numFmtId="10" fontId="7" fillId="0" borderId="15" xfId="2" applyNumberFormat="1" applyFont="1" applyFill="1" applyBorder="1" applyAlignment="1">
      <alignment horizontal="center" vertical="center"/>
    </xf>
    <xf numFmtId="10" fontId="7" fillId="0" borderId="18" xfId="2" applyNumberFormat="1" applyFont="1" applyFill="1" applyBorder="1" applyAlignment="1">
      <alignment horizontal="center" vertical="center"/>
    </xf>
    <xf numFmtId="3" fontId="7" fillId="5" borderId="7" xfId="2" applyNumberFormat="1" applyFont="1" applyFill="1" applyBorder="1" applyAlignment="1">
      <alignment horizontal="center" vertical="center"/>
    </xf>
    <xf numFmtId="3" fontId="7" fillId="5" borderId="17" xfId="2" applyNumberFormat="1" applyFont="1" applyFill="1" applyBorder="1" applyAlignment="1">
      <alignment horizontal="center" vertical="center"/>
    </xf>
    <xf numFmtId="3" fontId="7" fillId="5" borderId="14" xfId="2" applyNumberFormat="1" applyFont="1" applyFill="1" applyBorder="1" applyAlignment="1">
      <alignment horizontal="center" vertical="center"/>
    </xf>
    <xf numFmtId="3" fontId="7" fillId="5" borderId="8" xfId="2" applyNumberFormat="1" applyFont="1" applyFill="1" applyBorder="1" applyAlignment="1">
      <alignment horizontal="center" vertical="center"/>
    </xf>
    <xf numFmtId="3" fontId="7" fillId="5" borderId="15" xfId="2" applyNumberFormat="1" applyFont="1" applyFill="1" applyBorder="1" applyAlignment="1">
      <alignment horizontal="center" vertical="center"/>
    </xf>
    <xf numFmtId="3" fontId="7" fillId="5" borderId="18" xfId="2" applyNumberFormat="1" applyFont="1" applyFill="1" applyBorder="1" applyAlignment="1">
      <alignment horizontal="center" vertical="center"/>
    </xf>
    <xf numFmtId="3" fontId="6" fillId="5" borderId="8" xfId="2" applyNumberFormat="1" applyFont="1" applyFill="1" applyBorder="1" applyAlignment="1">
      <alignment horizontal="center" vertical="center"/>
    </xf>
    <xf numFmtId="3" fontId="6" fillId="5" borderId="15" xfId="2" applyNumberFormat="1" applyFont="1" applyFill="1" applyBorder="1" applyAlignment="1">
      <alignment horizontal="center" vertical="center"/>
    </xf>
    <xf numFmtId="3" fontId="6" fillId="5" borderId="18" xfId="2" applyNumberFormat="1" applyFont="1" applyFill="1" applyBorder="1" applyAlignment="1">
      <alignment horizontal="center" vertical="center"/>
    </xf>
    <xf numFmtId="169" fontId="7" fillId="0" borderId="6" xfId="2" applyFont="1" applyBorder="1" applyAlignment="1">
      <alignment vertical="center"/>
    </xf>
    <xf numFmtId="169" fontId="7" fillId="0" borderId="7" xfId="2" applyFont="1" applyBorder="1" applyAlignment="1">
      <alignment vertical="center"/>
    </xf>
    <xf numFmtId="169" fontId="7" fillId="0" borderId="16" xfId="2" applyFont="1" applyBorder="1" applyAlignment="1">
      <alignment vertical="center"/>
    </xf>
    <xf numFmtId="169" fontId="7" fillId="0" borderId="17" xfId="2" applyFont="1" applyBorder="1" applyAlignment="1">
      <alignment vertical="center"/>
    </xf>
    <xf numFmtId="169" fontId="7" fillId="0" borderId="13" xfId="2" applyFont="1" applyBorder="1" applyAlignment="1">
      <alignment vertical="center"/>
    </xf>
    <xf numFmtId="169" fontId="7" fillId="0" borderId="14" xfId="2" applyFont="1" applyBorder="1" applyAlignment="1">
      <alignment vertical="center"/>
    </xf>
    <xf numFmtId="169" fontId="7" fillId="0" borderId="1" xfId="2" applyFont="1" applyBorder="1" applyAlignment="1">
      <alignment horizontal="justify" vertical="center" wrapText="1"/>
    </xf>
    <xf numFmtId="169" fontId="7" fillId="0" borderId="1" xfId="2" applyFont="1" applyFill="1" applyBorder="1" applyAlignment="1">
      <alignment horizontal="center" vertical="center"/>
    </xf>
    <xf numFmtId="4" fontId="7" fillId="0" borderId="8" xfId="2" applyNumberFormat="1" applyFont="1" applyBorder="1" applyAlignment="1">
      <alignment horizontal="center" vertical="center"/>
    </xf>
    <xf numFmtId="4" fontId="7" fillId="0" borderId="15" xfId="2" applyNumberFormat="1" applyFont="1" applyBorder="1" applyAlignment="1">
      <alignment horizontal="center" vertical="center"/>
    </xf>
    <xf numFmtId="4" fontId="7" fillId="0" borderId="18" xfId="2" applyNumberFormat="1" applyFont="1" applyBorder="1" applyAlignment="1">
      <alignment horizontal="center" vertical="center"/>
    </xf>
    <xf numFmtId="10" fontId="7" fillId="5" borderId="8" xfId="2" applyNumberFormat="1" applyFont="1" applyFill="1" applyBorder="1" applyAlignment="1">
      <alignment horizontal="center" vertical="center"/>
    </xf>
    <xf numFmtId="10" fontId="7" fillId="5" borderId="15" xfId="2" applyNumberFormat="1" applyFont="1" applyFill="1" applyBorder="1" applyAlignment="1">
      <alignment horizontal="center" vertical="center"/>
    </xf>
    <xf numFmtId="10" fontId="7" fillId="5" borderId="18" xfId="2" applyNumberFormat="1" applyFont="1" applyFill="1" applyBorder="1" applyAlignment="1">
      <alignment horizontal="center" vertical="center"/>
    </xf>
    <xf numFmtId="169" fontId="7" fillId="0" borderId="15" xfId="2" applyFont="1" applyFill="1" applyBorder="1" applyAlignment="1">
      <alignment horizontal="center" vertical="center"/>
    </xf>
    <xf numFmtId="3" fontId="6" fillId="0" borderId="8" xfId="2" applyNumberFormat="1" applyFont="1" applyFill="1" applyBorder="1" applyAlignment="1">
      <alignment horizontal="center" vertical="center"/>
    </xf>
    <xf numFmtId="3" fontId="6" fillId="0" borderId="15" xfId="2" applyNumberFormat="1" applyFont="1" applyFill="1" applyBorder="1" applyAlignment="1">
      <alignment horizontal="center" vertical="center"/>
    </xf>
    <xf numFmtId="3" fontId="6" fillId="0" borderId="18" xfId="2" applyNumberFormat="1" applyFont="1" applyFill="1" applyBorder="1" applyAlignment="1">
      <alignment horizontal="center" vertical="center"/>
    </xf>
    <xf numFmtId="198" fontId="7" fillId="5" borderId="1" xfId="2" applyNumberFormat="1" applyFont="1" applyFill="1" applyBorder="1" applyAlignment="1">
      <alignment horizontal="center" vertical="center"/>
    </xf>
    <xf numFmtId="49" fontId="7" fillId="0" borderId="8" xfId="2" applyNumberFormat="1" applyFont="1" applyFill="1" applyBorder="1" applyAlignment="1">
      <alignment horizontal="center" vertical="center"/>
    </xf>
    <xf numFmtId="49" fontId="7" fillId="0" borderId="15" xfId="2" applyNumberFormat="1" applyFont="1" applyFill="1" applyBorder="1" applyAlignment="1">
      <alignment horizontal="center" vertical="center"/>
    </xf>
    <xf numFmtId="49" fontId="7" fillId="0" borderId="18" xfId="2" applyNumberFormat="1" applyFont="1" applyFill="1" applyBorder="1" applyAlignment="1">
      <alignment horizontal="center" vertical="center"/>
    </xf>
    <xf numFmtId="9" fontId="7" fillId="5" borderId="8" xfId="2" applyNumberFormat="1" applyFont="1" applyFill="1" applyBorder="1" applyAlignment="1">
      <alignment horizontal="center" vertical="center"/>
    </xf>
    <xf numFmtId="9" fontId="7" fillId="5" borderId="18" xfId="2" applyNumberFormat="1" applyFont="1" applyFill="1" applyBorder="1" applyAlignment="1">
      <alignment horizontal="center" vertical="center"/>
    </xf>
    <xf numFmtId="42" fontId="7" fillId="5" borderId="8" xfId="2" applyNumberFormat="1" applyFont="1" applyFill="1" applyBorder="1" applyAlignment="1">
      <alignment horizontal="center" vertical="center"/>
    </xf>
    <xf numFmtId="42" fontId="7" fillId="5" borderId="15" xfId="2" applyNumberFormat="1" applyFont="1" applyFill="1" applyBorder="1" applyAlignment="1">
      <alignment horizontal="center" vertical="center"/>
    </xf>
    <xf numFmtId="42" fontId="7" fillId="5" borderId="18" xfId="2" applyNumberFormat="1" applyFont="1" applyFill="1" applyBorder="1" applyAlignment="1">
      <alignment horizontal="center" vertical="center"/>
    </xf>
    <xf numFmtId="1" fontId="7" fillId="0" borderId="6" xfId="2" applyNumberFormat="1" applyFont="1" applyBorder="1" applyAlignment="1">
      <alignment horizontal="center" vertical="center"/>
    </xf>
    <xf numFmtId="1" fontId="7" fillId="0" borderId="16" xfId="2" applyNumberFormat="1" applyFont="1" applyBorder="1" applyAlignment="1">
      <alignment horizontal="center" vertical="center"/>
    </xf>
    <xf numFmtId="1" fontId="7" fillId="0" borderId="13" xfId="2" applyNumberFormat="1" applyFont="1" applyBorder="1" applyAlignment="1">
      <alignment horizontal="center" vertical="center"/>
    </xf>
    <xf numFmtId="169" fontId="7" fillId="0" borderId="9" xfId="2" applyFont="1" applyBorder="1" applyAlignment="1">
      <alignment horizontal="left" vertical="center" wrapText="1"/>
    </xf>
    <xf numFmtId="169" fontId="7" fillId="0" borderId="7" xfId="2" applyFont="1" applyBorder="1" applyAlignment="1">
      <alignment horizontal="left" vertical="center" wrapText="1"/>
    </xf>
    <xf numFmtId="169" fontId="7" fillId="0" borderId="0" xfId="2" applyFont="1" applyBorder="1" applyAlignment="1">
      <alignment horizontal="left" vertical="center" wrapText="1"/>
    </xf>
    <xf numFmtId="169" fontId="7" fillId="0" borderId="17" xfId="2" applyFont="1" applyBorder="1" applyAlignment="1">
      <alignment horizontal="left" vertical="center" wrapText="1"/>
    </xf>
    <xf numFmtId="169" fontId="7" fillId="0" borderId="2" xfId="2" applyFont="1" applyBorder="1" applyAlignment="1">
      <alignment horizontal="left" vertical="center" wrapText="1"/>
    </xf>
    <xf numFmtId="169" fontId="7" fillId="0" borderId="14" xfId="2" applyFont="1" applyBorder="1" applyAlignment="1">
      <alignment horizontal="left" vertical="center" wrapText="1"/>
    </xf>
    <xf numFmtId="4" fontId="7" fillId="0" borderId="1" xfId="2" applyNumberFormat="1" applyFont="1" applyFill="1" applyBorder="1" applyAlignment="1">
      <alignment horizontal="center" vertical="center"/>
    </xf>
    <xf numFmtId="3" fontId="7" fillId="5" borderId="27" xfId="2" applyNumberFormat="1" applyFont="1" applyFill="1" applyBorder="1" applyAlignment="1">
      <alignment horizontal="center" vertical="center" wrapText="1"/>
    </xf>
    <xf numFmtId="3" fontId="7" fillId="5" borderId="22" xfId="2" applyNumberFormat="1" applyFont="1" applyFill="1" applyBorder="1" applyAlignment="1">
      <alignment horizontal="center" vertical="center" wrapText="1"/>
    </xf>
    <xf numFmtId="3" fontId="7" fillId="5" borderId="23" xfId="2" applyNumberFormat="1" applyFont="1" applyFill="1" applyBorder="1" applyAlignment="1">
      <alignment horizontal="center" vertical="center" wrapText="1"/>
    </xf>
    <xf numFmtId="169" fontId="7" fillId="0" borderId="8" xfId="2" applyFont="1" applyBorder="1" applyAlignment="1">
      <alignment horizontal="center" vertical="center" wrapText="1"/>
    </xf>
    <xf numFmtId="169" fontId="7" fillId="0" borderId="15" xfId="2" applyFont="1" applyBorder="1" applyAlignment="1">
      <alignment horizontal="center" vertical="center" wrapText="1"/>
    </xf>
    <xf numFmtId="169" fontId="7" fillId="0" borderId="18" xfId="2" applyFont="1" applyBorder="1" applyAlignment="1">
      <alignment horizontal="center" vertical="center" wrapText="1"/>
    </xf>
    <xf numFmtId="37" fontId="7" fillId="0" borderId="8" xfId="2" applyNumberFormat="1" applyFont="1" applyFill="1" applyBorder="1" applyAlignment="1">
      <alignment horizontal="center" vertical="center"/>
    </xf>
    <xf numFmtId="37" fontId="7" fillId="0" borderId="15" xfId="2" applyNumberFormat="1" applyFont="1" applyFill="1" applyBorder="1" applyAlignment="1">
      <alignment horizontal="center" vertical="center"/>
    </xf>
    <xf numFmtId="37" fontId="7" fillId="0" borderId="18" xfId="2" applyNumberFormat="1" applyFont="1" applyFill="1" applyBorder="1" applyAlignment="1">
      <alignment horizontal="center" vertical="center"/>
    </xf>
    <xf numFmtId="37" fontId="7" fillId="0" borderId="8" xfId="2" applyNumberFormat="1" applyFont="1" applyFill="1" applyBorder="1" applyAlignment="1">
      <alignment horizontal="center" vertical="center" wrapText="1"/>
    </xf>
    <xf numFmtId="37" fontId="7" fillId="5" borderId="8" xfId="2" applyNumberFormat="1" applyFont="1" applyFill="1" applyBorder="1" applyAlignment="1">
      <alignment horizontal="center" vertical="center"/>
    </xf>
    <xf numFmtId="37" fontId="7" fillId="5" borderId="15" xfId="2" applyNumberFormat="1" applyFont="1" applyFill="1" applyBorder="1" applyAlignment="1">
      <alignment horizontal="center" vertical="center"/>
    </xf>
    <xf numFmtId="37" fontId="7" fillId="5" borderId="18" xfId="2" applyNumberFormat="1" applyFont="1" applyFill="1" applyBorder="1" applyAlignment="1">
      <alignment horizontal="center" vertical="center"/>
    </xf>
    <xf numFmtId="37" fontId="7" fillId="0" borderId="8" xfId="2" applyNumberFormat="1" applyFont="1" applyBorder="1" applyAlignment="1">
      <alignment horizontal="center" vertical="center"/>
    </xf>
    <xf numFmtId="37" fontId="7" fillId="0" borderId="15" xfId="2" applyNumberFormat="1" applyFont="1" applyBorder="1" applyAlignment="1">
      <alignment horizontal="center" vertical="center"/>
    </xf>
    <xf numFmtId="37" fontId="7" fillId="0" borderId="18" xfId="2" applyNumberFormat="1" applyFont="1" applyBorder="1" applyAlignment="1">
      <alignment horizontal="center" vertical="center"/>
    </xf>
    <xf numFmtId="169" fontId="7" fillId="0" borderId="6" xfId="2" applyFont="1" applyBorder="1" applyAlignment="1">
      <alignment horizontal="justify" vertical="center" wrapText="1"/>
    </xf>
    <xf numFmtId="169" fontId="7" fillId="0" borderId="7" xfId="2" applyFont="1" applyBorder="1" applyAlignment="1">
      <alignment horizontal="justify" vertical="center" wrapText="1"/>
    </xf>
    <xf numFmtId="169" fontId="7" fillId="0" borderId="16" xfId="2" applyFont="1" applyBorder="1" applyAlignment="1">
      <alignment horizontal="justify" vertical="center" wrapText="1"/>
    </xf>
    <xf numFmtId="169" fontId="7" fillId="0" borderId="17" xfId="2" applyFont="1" applyBorder="1" applyAlignment="1">
      <alignment horizontal="justify" vertical="center" wrapText="1"/>
    </xf>
    <xf numFmtId="9" fontId="7" fillId="0" borderId="8" xfId="2" applyNumberFormat="1" applyFont="1" applyFill="1" applyBorder="1" applyAlignment="1">
      <alignment horizontal="center" vertical="center" wrapText="1"/>
    </xf>
    <xf numFmtId="9" fontId="7" fillId="0" borderId="15" xfId="2" applyNumberFormat="1" applyFont="1" applyFill="1" applyBorder="1" applyAlignment="1">
      <alignment horizontal="center" vertical="center" wrapText="1"/>
    </xf>
    <xf numFmtId="196" fontId="7" fillId="0" borderId="1" xfId="2" applyNumberFormat="1" applyFont="1" applyBorder="1" applyAlignment="1">
      <alignment horizontal="center" vertical="center"/>
    </xf>
    <xf numFmtId="37" fontId="7" fillId="5" borderId="7" xfId="2" applyNumberFormat="1" applyFont="1" applyFill="1" applyBorder="1" applyAlignment="1">
      <alignment horizontal="center" vertical="center"/>
    </xf>
    <xf numFmtId="37" fontId="7" fillId="5" borderId="17" xfId="2" applyNumberFormat="1" applyFont="1" applyFill="1" applyBorder="1" applyAlignment="1">
      <alignment horizontal="center" vertical="center"/>
    </xf>
    <xf numFmtId="37" fontId="7" fillId="5" borderId="14" xfId="2" applyNumberFormat="1" applyFont="1" applyFill="1" applyBorder="1" applyAlignment="1">
      <alignment horizontal="center" vertical="center"/>
    </xf>
    <xf numFmtId="169" fontId="7" fillId="0" borderId="9" xfId="2" applyFont="1" applyBorder="1" applyAlignment="1">
      <alignment horizontal="center" vertical="center" wrapText="1"/>
    </xf>
    <xf numFmtId="169" fontId="7" fillId="0" borderId="7" xfId="2" applyFont="1" applyBorder="1" applyAlignment="1">
      <alignment horizontal="center" vertical="center" wrapText="1"/>
    </xf>
    <xf numFmtId="169" fontId="7" fillId="0" borderId="0" xfId="2" applyFont="1" applyBorder="1" applyAlignment="1">
      <alignment horizontal="center" vertical="center" wrapText="1"/>
    </xf>
    <xf numFmtId="169" fontId="7" fillId="0" borderId="17" xfId="2" applyFont="1" applyBorder="1" applyAlignment="1">
      <alignment horizontal="center" vertical="center" wrapText="1"/>
    </xf>
    <xf numFmtId="1" fontId="7" fillId="0" borderId="40" xfId="2" applyNumberFormat="1" applyFont="1" applyBorder="1" applyAlignment="1">
      <alignment horizontal="center" vertical="center"/>
    </xf>
    <xf numFmtId="169" fontId="7" fillId="0" borderId="34" xfId="2" applyFont="1" applyBorder="1" applyAlignment="1">
      <alignment vertical="center" wrapText="1"/>
    </xf>
    <xf numFmtId="169" fontId="7" fillId="0" borderId="36" xfId="2" applyFont="1" applyBorder="1" applyAlignment="1">
      <alignment vertical="center" wrapText="1"/>
    </xf>
    <xf numFmtId="169" fontId="7" fillId="5" borderId="8" xfId="2" applyFont="1" applyFill="1" applyBorder="1" applyAlignment="1">
      <alignment horizontal="center" vertical="center" wrapText="1" shrinkToFit="1"/>
    </xf>
    <xf numFmtId="169" fontId="7" fillId="5" borderId="15" xfId="2" applyFont="1" applyFill="1" applyBorder="1" applyAlignment="1">
      <alignment horizontal="center" vertical="center" wrapText="1" shrinkToFit="1"/>
    </xf>
    <xf numFmtId="169" fontId="7" fillId="5" borderId="18" xfId="2" applyFont="1" applyFill="1" applyBorder="1" applyAlignment="1">
      <alignment horizontal="center" vertical="center" wrapText="1" shrinkToFit="1"/>
    </xf>
    <xf numFmtId="196" fontId="7" fillId="5" borderId="1" xfId="2" applyNumberFormat="1" applyFont="1" applyFill="1" applyBorder="1" applyAlignment="1">
      <alignment horizontal="center" vertical="center"/>
    </xf>
    <xf numFmtId="169" fontId="7" fillId="5" borderId="40" xfId="2" applyFont="1" applyFill="1" applyBorder="1" applyAlignment="1">
      <alignment horizontal="justify" vertical="center" wrapText="1"/>
    </xf>
    <xf numFmtId="169" fontId="7" fillId="5" borderId="34" xfId="2" applyFont="1" applyFill="1" applyBorder="1" applyAlignment="1">
      <alignment horizontal="justify" vertical="center" wrapText="1"/>
    </xf>
    <xf numFmtId="3" fontId="7" fillId="5" borderId="36" xfId="2" applyNumberFormat="1" applyFont="1" applyFill="1" applyBorder="1" applyAlignment="1">
      <alignment horizontal="center" vertical="center"/>
    </xf>
    <xf numFmtId="3" fontId="7" fillId="5" borderId="40" xfId="2" applyNumberFormat="1" applyFont="1" applyFill="1" applyBorder="1" applyAlignment="1">
      <alignment horizontal="center" vertical="center"/>
    </xf>
    <xf numFmtId="42" fontId="7" fillId="5" borderId="40" xfId="2" applyNumberFormat="1" applyFont="1" applyFill="1" applyBorder="1" applyAlignment="1">
      <alignment horizontal="center" vertical="center"/>
    </xf>
    <xf numFmtId="169" fontId="7" fillId="5" borderId="40" xfId="2" applyFont="1" applyFill="1" applyBorder="1" applyAlignment="1">
      <alignment horizontal="center" vertical="center"/>
    </xf>
    <xf numFmtId="49" fontId="7" fillId="0" borderId="40" xfId="2" applyNumberFormat="1" applyFont="1" applyFill="1" applyBorder="1" applyAlignment="1">
      <alignment horizontal="center" vertical="center"/>
    </xf>
    <xf numFmtId="3" fontId="7" fillId="0" borderId="8" xfId="2" applyNumberFormat="1" applyFont="1" applyFill="1" applyBorder="1" applyAlignment="1">
      <alignment horizontal="center"/>
    </xf>
    <xf numFmtId="3" fontId="7" fillId="0" borderId="15" xfId="2" applyNumberFormat="1" applyFont="1" applyFill="1" applyBorder="1" applyAlignment="1">
      <alignment horizontal="center"/>
    </xf>
    <xf numFmtId="3" fontId="7" fillId="0" borderId="40" xfId="2" applyNumberFormat="1" applyFont="1" applyFill="1" applyBorder="1" applyAlignment="1">
      <alignment horizontal="center"/>
    </xf>
    <xf numFmtId="3" fontId="7" fillId="0" borderId="40" xfId="2" applyNumberFormat="1" applyFont="1" applyFill="1" applyBorder="1" applyAlignment="1">
      <alignment horizontal="center" vertical="center"/>
    </xf>
    <xf numFmtId="3" fontId="7" fillId="0" borderId="8" xfId="2" applyNumberFormat="1" applyFont="1" applyBorder="1" applyAlignment="1">
      <alignment horizontal="center"/>
    </xf>
    <xf numFmtId="3" fontId="7" fillId="0" borderId="15" xfId="2" applyNumberFormat="1" applyFont="1" applyBorder="1" applyAlignment="1">
      <alignment horizontal="center"/>
    </xf>
    <xf numFmtId="3" fontId="7" fillId="0" borderId="40" xfId="2" applyNumberFormat="1" applyFont="1" applyBorder="1" applyAlignment="1">
      <alignment horizontal="center"/>
    </xf>
    <xf numFmtId="10" fontId="7" fillId="0" borderId="40" xfId="2" applyNumberFormat="1" applyFont="1" applyFill="1" applyBorder="1" applyAlignment="1">
      <alignment horizontal="center" vertical="center"/>
    </xf>
    <xf numFmtId="196" fontId="7" fillId="5" borderId="8" xfId="2" applyNumberFormat="1" applyFont="1" applyFill="1" applyBorder="1" applyAlignment="1">
      <alignment horizontal="center" vertical="center"/>
    </xf>
    <xf numFmtId="196" fontId="7" fillId="5" borderId="15" xfId="2" applyNumberFormat="1" applyFont="1" applyFill="1" applyBorder="1" applyAlignment="1">
      <alignment horizontal="center" vertical="center"/>
    </xf>
    <xf numFmtId="196" fontId="7" fillId="5" borderId="18" xfId="2" applyNumberFormat="1" applyFont="1" applyFill="1" applyBorder="1" applyAlignment="1">
      <alignment horizontal="center" vertical="center"/>
    </xf>
    <xf numFmtId="169" fontId="7" fillId="5" borderId="42" xfId="2" applyFont="1" applyFill="1" applyBorder="1" applyAlignment="1">
      <alignment horizontal="justify" vertical="center" wrapText="1"/>
    </xf>
    <xf numFmtId="4" fontId="7" fillId="5" borderId="1" xfId="2" applyNumberFormat="1" applyFont="1" applyFill="1" applyBorder="1" applyAlignment="1">
      <alignment horizontal="center" vertical="center"/>
    </xf>
    <xf numFmtId="10" fontId="7" fillId="5" borderId="40" xfId="2" applyNumberFormat="1" applyFont="1" applyFill="1" applyBorder="1" applyAlignment="1">
      <alignment horizontal="center" vertical="center"/>
    </xf>
    <xf numFmtId="4" fontId="7" fillId="5" borderId="8" xfId="2" applyNumberFormat="1" applyFont="1" applyFill="1" applyBorder="1" applyAlignment="1">
      <alignment horizontal="center" vertical="center"/>
    </xf>
    <xf numFmtId="4" fontId="7" fillId="5" borderId="15" xfId="2" applyNumberFormat="1" applyFont="1" applyFill="1" applyBorder="1" applyAlignment="1">
      <alignment horizontal="center" vertical="center"/>
    </xf>
    <xf numFmtId="4" fontId="7" fillId="5" borderId="18" xfId="2" applyNumberFormat="1" applyFont="1" applyFill="1" applyBorder="1" applyAlignment="1">
      <alignment horizontal="center" vertical="center"/>
    </xf>
    <xf numFmtId="169" fontId="7" fillId="0" borderId="8" xfId="2" applyFont="1" applyBorder="1" applyAlignment="1">
      <alignment horizontal="center"/>
    </xf>
    <xf numFmtId="169" fontId="7" fillId="0" borderId="15" xfId="2" applyFont="1" applyBorder="1" applyAlignment="1">
      <alignment horizontal="center"/>
    </xf>
    <xf numFmtId="169" fontId="7" fillId="0" borderId="18" xfId="2" applyFont="1" applyBorder="1" applyAlignment="1">
      <alignment horizontal="center"/>
    </xf>
    <xf numFmtId="4" fontId="7" fillId="0" borderId="8" xfId="2" applyNumberFormat="1" applyFont="1" applyFill="1" applyBorder="1" applyAlignment="1">
      <alignment horizontal="center" vertical="center"/>
    </xf>
    <xf numFmtId="4" fontId="7" fillId="0" borderId="15" xfId="2" applyNumberFormat="1" applyFont="1" applyFill="1" applyBorder="1" applyAlignment="1">
      <alignment horizontal="center" vertical="center"/>
    </xf>
    <xf numFmtId="4" fontId="7" fillId="0" borderId="18" xfId="2" applyNumberFormat="1" applyFont="1" applyFill="1" applyBorder="1" applyAlignment="1">
      <alignment horizontal="center" vertical="center"/>
    </xf>
    <xf numFmtId="9" fontId="7" fillId="5" borderId="15" xfId="2" applyNumberFormat="1" applyFont="1" applyFill="1" applyBorder="1" applyAlignment="1">
      <alignment horizontal="center" vertical="center"/>
    </xf>
    <xf numFmtId="169" fontId="7" fillId="0" borderId="8" xfId="2" applyFont="1" applyFill="1" applyBorder="1" applyAlignment="1">
      <alignment horizontal="center"/>
    </xf>
    <xf numFmtId="169" fontId="7" fillId="0" borderId="15" xfId="2" applyFont="1" applyFill="1" applyBorder="1" applyAlignment="1">
      <alignment horizontal="center"/>
    </xf>
    <xf numFmtId="169" fontId="7" fillId="0" borderId="18" xfId="2" applyFont="1" applyFill="1" applyBorder="1" applyAlignment="1">
      <alignment horizontal="center"/>
    </xf>
    <xf numFmtId="49" fontId="7" fillId="0" borderId="8" xfId="2" applyNumberFormat="1" applyFont="1" applyFill="1" applyBorder="1" applyAlignment="1">
      <alignment horizontal="center" vertical="center" wrapText="1"/>
    </xf>
    <xf numFmtId="169" fontId="7" fillId="0" borderId="7" xfId="2" applyFont="1" applyBorder="1" applyAlignment="1">
      <alignment horizontal="center"/>
    </xf>
    <xf numFmtId="169" fontId="7" fillId="0" borderId="17" xfId="2" applyFont="1" applyBorder="1" applyAlignment="1">
      <alignment horizontal="center"/>
    </xf>
    <xf numFmtId="0" fontId="7" fillId="5" borderId="8" xfId="2" applyNumberFormat="1" applyFont="1" applyFill="1" applyBorder="1" applyAlignment="1">
      <alignment horizontal="center" vertical="center" wrapText="1"/>
    </xf>
    <xf numFmtId="0" fontId="7" fillId="5" borderId="15" xfId="2" applyNumberFormat="1" applyFont="1" applyFill="1" applyBorder="1" applyAlignment="1">
      <alignment horizontal="center" vertical="center" wrapText="1"/>
    </xf>
    <xf numFmtId="0" fontId="7" fillId="5" borderId="18" xfId="2" applyNumberFormat="1" applyFont="1" applyFill="1" applyBorder="1" applyAlignment="1">
      <alignment horizontal="center" vertical="center" wrapText="1"/>
    </xf>
    <xf numFmtId="169" fontId="7" fillId="0" borderId="14" xfId="2" applyFont="1" applyBorder="1" applyAlignment="1">
      <alignment horizontal="center"/>
    </xf>
    <xf numFmtId="0" fontId="6" fillId="0" borderId="4" xfId="0" applyFont="1" applyBorder="1" applyAlignment="1">
      <alignment horizontal="right" vertical="center"/>
    </xf>
    <xf numFmtId="0" fontId="6" fillId="0" borderId="5" xfId="0" applyFont="1" applyBorder="1" applyAlignment="1">
      <alignment horizontal="right" vertical="center"/>
    </xf>
    <xf numFmtId="0" fontId="7" fillId="0" borderId="15" xfId="0" applyFont="1" applyBorder="1" applyAlignment="1">
      <alignment horizontal="justify" vertical="center" wrapText="1"/>
    </xf>
    <xf numFmtId="0" fontId="7" fillId="0" borderId="8" xfId="0" applyNumberFormat="1" applyFont="1" applyBorder="1" applyAlignment="1">
      <alignment horizontal="center" vertical="center"/>
    </xf>
    <xf numFmtId="0" fontId="7" fillId="0" borderId="15" xfId="0" applyNumberFormat="1" applyFont="1" applyBorder="1" applyAlignment="1">
      <alignment horizontal="center" vertical="center"/>
    </xf>
    <xf numFmtId="0" fontId="7" fillId="0" borderId="18" xfId="0" applyNumberFormat="1" applyFont="1" applyBorder="1" applyAlignment="1">
      <alignment horizontal="center" vertical="center"/>
    </xf>
    <xf numFmtId="172" fontId="7" fillId="0" borderId="8" xfId="1" applyNumberFormat="1" applyFont="1" applyFill="1" applyBorder="1" applyAlignment="1">
      <alignment horizontal="center" vertical="center"/>
    </xf>
    <xf numFmtId="172" fontId="7" fillId="0" borderId="15" xfId="1" applyNumberFormat="1" applyFont="1" applyFill="1" applyBorder="1" applyAlignment="1">
      <alignment horizontal="center" vertical="center"/>
    </xf>
    <xf numFmtId="172" fontId="7" fillId="0" borderId="18" xfId="1" applyNumberFormat="1" applyFont="1" applyFill="1" applyBorder="1" applyAlignment="1">
      <alignment horizontal="center" vertical="center"/>
    </xf>
    <xf numFmtId="0" fontId="7" fillId="0" borderId="16" xfId="0" applyFont="1" applyBorder="1" applyAlignment="1">
      <alignment horizontal="center" vertical="center" wrapText="1"/>
    </xf>
    <xf numFmtId="0" fontId="7" fillId="0" borderId="17" xfId="0" applyFont="1" applyBorder="1" applyAlignment="1">
      <alignment horizontal="justify" vertical="center" wrapText="1"/>
    </xf>
    <xf numFmtId="0" fontId="7" fillId="0" borderId="16" xfId="0" applyFont="1" applyBorder="1" applyAlignment="1">
      <alignment horizontal="center" vertical="center"/>
    </xf>
    <xf numFmtId="0" fontId="7" fillId="0" borderId="0" xfId="0" applyFont="1" applyBorder="1" applyAlignment="1">
      <alignment horizontal="justify" vertical="center" wrapText="1"/>
    </xf>
    <xf numFmtId="0" fontId="7" fillId="0" borderId="6"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justify" vertical="center"/>
    </xf>
    <xf numFmtId="0" fontId="7" fillId="0" borderId="17" xfId="0" applyFont="1" applyBorder="1" applyAlignment="1">
      <alignment horizontal="justify" vertical="center"/>
    </xf>
    <xf numFmtId="0" fontId="7" fillId="0" borderId="14" xfId="0" applyFont="1" applyBorder="1" applyAlignment="1">
      <alignment horizontal="justify" vertical="center"/>
    </xf>
    <xf numFmtId="3" fontId="6" fillId="4" borderId="1" xfId="0" applyNumberFormat="1"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8" xfId="0" applyFont="1" applyBorder="1" applyAlignment="1">
      <alignment horizontal="center" vertical="center" wrapText="1"/>
    </xf>
    <xf numFmtId="172" fontId="7" fillId="5" borderId="8" xfId="1" applyNumberFormat="1" applyFont="1" applyFill="1" applyBorder="1" applyAlignment="1">
      <alignment horizontal="center" vertical="center"/>
    </xf>
    <xf numFmtId="172" fontId="7" fillId="5" borderId="15" xfId="1" applyNumberFormat="1" applyFont="1" applyFill="1" applyBorder="1" applyAlignment="1">
      <alignment horizontal="center" vertical="center"/>
    </xf>
    <xf numFmtId="172" fontId="7" fillId="5" borderId="18" xfId="1" applyNumberFormat="1" applyFont="1" applyFill="1" applyBorder="1" applyAlignment="1">
      <alignment horizontal="center" vertical="center"/>
    </xf>
    <xf numFmtId="0" fontId="7" fillId="0" borderId="8" xfId="0" applyFont="1" applyBorder="1" applyAlignment="1">
      <alignment horizontal="left" vertical="center" wrapText="1"/>
    </xf>
    <xf numFmtId="0" fontId="7" fillId="0" borderId="15" xfId="0" applyFont="1" applyBorder="1" applyAlignment="1">
      <alignment horizontal="left" vertical="center" wrapText="1"/>
    </xf>
    <xf numFmtId="0" fontId="7" fillId="0" borderId="18" xfId="0" applyFont="1" applyBorder="1" applyAlignment="1">
      <alignment horizontal="left" vertical="center" wrapText="1"/>
    </xf>
    <xf numFmtId="0" fontId="7" fillId="0" borderId="7"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6"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wrapText="1"/>
    </xf>
    <xf numFmtId="3" fontId="7" fillId="5" borderId="8" xfId="0" applyNumberFormat="1" applyFont="1" applyFill="1" applyBorder="1" applyAlignment="1">
      <alignment horizontal="center" vertical="center" wrapText="1"/>
    </xf>
    <xf numFmtId="3" fontId="7" fillId="5" borderId="15" xfId="0" applyNumberFormat="1" applyFont="1" applyFill="1" applyBorder="1" applyAlignment="1">
      <alignment horizontal="center" vertical="center" wrapText="1"/>
    </xf>
    <xf numFmtId="3" fontId="7" fillId="5" borderId="18"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172" fontId="7" fillId="0" borderId="8" xfId="0" applyNumberFormat="1" applyFont="1" applyBorder="1" applyAlignment="1">
      <alignment horizontal="center" vertical="center"/>
    </xf>
    <xf numFmtId="172" fontId="7" fillId="0" borderId="15" xfId="0" applyNumberFormat="1" applyFont="1" applyBorder="1" applyAlignment="1">
      <alignment horizontal="center" vertical="center"/>
    </xf>
    <xf numFmtId="172" fontId="7" fillId="0" borderId="18" xfId="0" applyNumberFormat="1" applyFont="1" applyBorder="1" applyAlignment="1">
      <alignment horizontal="center" vertical="center"/>
    </xf>
    <xf numFmtId="3" fontId="7" fillId="5" borderId="8" xfId="0" applyNumberFormat="1" applyFont="1" applyFill="1" applyBorder="1" applyAlignment="1">
      <alignment horizontal="center" vertical="center" textRotation="90" wrapText="1"/>
    </xf>
    <xf numFmtId="3" fontId="7" fillId="5" borderId="18" xfId="0" applyNumberFormat="1" applyFont="1" applyFill="1" applyBorder="1" applyAlignment="1">
      <alignment horizontal="center" vertical="center" textRotation="90" wrapText="1"/>
    </xf>
    <xf numFmtId="0" fontId="7" fillId="0" borderId="7" xfId="0" applyFont="1" applyBorder="1" applyAlignment="1">
      <alignment horizontal="justify" vertical="center" wrapText="1"/>
    </xf>
    <xf numFmtId="10" fontId="7" fillId="0" borderId="8" xfId="0" applyNumberFormat="1" applyFont="1" applyBorder="1" applyAlignment="1">
      <alignment horizontal="center" vertical="center"/>
    </xf>
    <xf numFmtId="10" fontId="7" fillId="0" borderId="15" xfId="0" applyNumberFormat="1" applyFont="1" applyBorder="1" applyAlignment="1">
      <alignment horizontal="center" vertical="center"/>
    </xf>
    <xf numFmtId="10" fontId="7" fillId="0" borderId="18" xfId="0" applyNumberFormat="1" applyFont="1" applyBorder="1" applyAlignment="1">
      <alignment horizontal="center" vertical="center"/>
    </xf>
    <xf numFmtId="0" fontId="7" fillId="0" borderId="14" xfId="0" applyFont="1" applyBorder="1" applyAlignment="1">
      <alignment horizontal="justify" vertical="center" wrapText="1"/>
    </xf>
    <xf numFmtId="0" fontId="13" fillId="3" borderId="8"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protection locked="0"/>
    </xf>
    <xf numFmtId="0" fontId="13" fillId="3" borderId="18" xfId="0" applyFont="1" applyFill="1" applyBorder="1" applyAlignment="1" applyProtection="1">
      <alignment horizontal="center" vertical="center" wrapText="1"/>
      <protection locked="0"/>
    </xf>
    <xf numFmtId="0" fontId="13" fillId="3" borderId="6" xfId="0" applyFont="1" applyFill="1" applyBorder="1" applyAlignment="1" applyProtection="1">
      <alignment horizontal="center" vertical="center" wrapText="1"/>
      <protection locked="0"/>
    </xf>
    <xf numFmtId="0" fontId="13" fillId="3" borderId="7" xfId="0" applyFont="1" applyFill="1" applyBorder="1" applyAlignment="1" applyProtection="1">
      <alignment horizontal="center" vertical="center" wrapText="1"/>
      <protection locked="0"/>
    </xf>
    <xf numFmtId="0" fontId="13" fillId="3" borderId="16"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protection locked="0"/>
    </xf>
    <xf numFmtId="0" fontId="13" fillId="3" borderId="13" xfId="0" applyFont="1" applyFill="1" applyBorder="1" applyAlignment="1" applyProtection="1">
      <alignment horizontal="center" vertical="center" wrapText="1"/>
      <protection locked="0"/>
    </xf>
    <xf numFmtId="0" fontId="13" fillId="3" borderId="14" xfId="0" applyFont="1" applyFill="1" applyBorder="1" applyAlignment="1" applyProtection="1">
      <alignment horizontal="center" vertical="center" wrapText="1"/>
      <protection locked="0"/>
    </xf>
    <xf numFmtId="0" fontId="6" fillId="0" borderId="9"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170" fontId="13" fillId="3" borderId="6" xfId="0" applyNumberFormat="1" applyFont="1" applyFill="1" applyBorder="1" applyAlignment="1" applyProtection="1">
      <alignment horizontal="center" vertical="center" wrapText="1"/>
      <protection locked="0"/>
    </xf>
    <xf numFmtId="170" fontId="13" fillId="3" borderId="7" xfId="0" applyNumberFormat="1" applyFont="1" applyFill="1" applyBorder="1" applyAlignment="1" applyProtection="1">
      <alignment horizontal="center" vertical="center" wrapText="1"/>
      <protection locked="0"/>
    </xf>
    <xf numFmtId="170" fontId="13" fillId="3" borderId="16" xfId="0" applyNumberFormat="1" applyFont="1" applyFill="1" applyBorder="1" applyAlignment="1" applyProtection="1">
      <alignment horizontal="center" vertical="center" wrapText="1"/>
      <protection locked="0"/>
    </xf>
    <xf numFmtId="170" fontId="13" fillId="3" borderId="17" xfId="0" applyNumberFormat="1" applyFont="1" applyFill="1" applyBorder="1" applyAlignment="1" applyProtection="1">
      <alignment horizontal="center" vertical="center" wrapText="1"/>
      <protection locked="0"/>
    </xf>
    <xf numFmtId="170" fontId="13" fillId="3" borderId="13" xfId="0" applyNumberFormat="1" applyFont="1" applyFill="1" applyBorder="1" applyAlignment="1" applyProtection="1">
      <alignment horizontal="center" vertical="center" wrapText="1"/>
      <protection locked="0"/>
    </xf>
    <xf numFmtId="170" fontId="13" fillId="3" borderId="14" xfId="0" applyNumberFormat="1" applyFont="1" applyFill="1" applyBorder="1" applyAlignment="1" applyProtection="1">
      <alignment horizontal="center" vertical="center" wrapText="1"/>
      <protection locked="0"/>
    </xf>
    <xf numFmtId="3" fontId="13" fillId="3" borderId="8" xfId="0" applyNumberFormat="1" applyFont="1" applyFill="1" applyBorder="1" applyAlignment="1" applyProtection="1">
      <alignment horizontal="center" vertical="center" wrapText="1"/>
      <protection locked="0"/>
    </xf>
    <xf numFmtId="3" fontId="13" fillId="3" borderId="15" xfId="0" applyNumberFormat="1" applyFont="1" applyFill="1" applyBorder="1" applyAlignment="1" applyProtection="1">
      <alignment horizontal="center" vertical="center" wrapText="1"/>
      <protection locked="0"/>
    </xf>
    <xf numFmtId="49" fontId="13" fillId="3" borderId="6" xfId="0" applyNumberFormat="1" applyFont="1" applyFill="1" applyBorder="1" applyAlignment="1" applyProtection="1">
      <alignment horizontal="center" vertical="center" wrapText="1"/>
      <protection locked="0"/>
    </xf>
    <xf numFmtId="49" fontId="13" fillId="3" borderId="7" xfId="0" applyNumberFormat="1" applyFont="1" applyFill="1" applyBorder="1" applyAlignment="1" applyProtection="1">
      <alignment horizontal="center" vertical="center" wrapText="1"/>
      <protection locked="0"/>
    </xf>
    <xf numFmtId="49" fontId="13" fillId="3" borderId="16" xfId="0" applyNumberFormat="1" applyFont="1" applyFill="1" applyBorder="1" applyAlignment="1" applyProtection="1">
      <alignment horizontal="center" vertical="center" wrapText="1"/>
      <protection locked="0"/>
    </xf>
    <xf numFmtId="49" fontId="13" fillId="3" borderId="17" xfId="0" applyNumberFormat="1" applyFont="1" applyFill="1" applyBorder="1" applyAlignment="1" applyProtection="1">
      <alignment horizontal="center" vertical="center" wrapText="1"/>
      <protection locked="0"/>
    </xf>
    <xf numFmtId="49" fontId="13" fillId="3" borderId="13" xfId="0" applyNumberFormat="1" applyFont="1" applyFill="1" applyBorder="1" applyAlignment="1" applyProtection="1">
      <alignment horizontal="center" vertical="center" wrapText="1"/>
      <protection locked="0"/>
    </xf>
    <xf numFmtId="49" fontId="13" fillId="3" borderId="14" xfId="0" applyNumberFormat="1" applyFont="1" applyFill="1" applyBorder="1" applyAlignment="1" applyProtection="1">
      <alignment horizontal="center" vertical="center" wrapText="1"/>
      <protection locked="0"/>
    </xf>
    <xf numFmtId="0" fontId="13" fillId="3" borderId="3"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0" fontId="13" fillId="3" borderId="5" xfId="0" applyFont="1" applyFill="1" applyBorder="1" applyAlignment="1" applyProtection="1">
      <alignment horizontal="center" vertical="center"/>
      <protection locked="0"/>
    </xf>
    <xf numFmtId="0" fontId="13" fillId="3" borderId="6" xfId="0" applyFont="1" applyFill="1" applyBorder="1" applyAlignment="1" applyProtection="1">
      <alignment horizontal="center" vertical="center"/>
      <protection locked="0"/>
    </xf>
    <xf numFmtId="0" fontId="13" fillId="3" borderId="9" xfId="0" applyFont="1" applyFill="1" applyBorder="1" applyAlignment="1" applyProtection="1">
      <alignment horizontal="center" vertical="center"/>
      <protection locked="0"/>
    </xf>
    <xf numFmtId="0" fontId="13" fillId="3" borderId="7" xfId="0" applyFont="1" applyFill="1" applyBorder="1" applyAlignment="1" applyProtection="1">
      <alignment horizontal="center" vertical="center"/>
      <protection locked="0"/>
    </xf>
    <xf numFmtId="0" fontId="13" fillId="3" borderId="16" xfId="0"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protection locked="0"/>
    </xf>
    <xf numFmtId="0" fontId="13" fillId="3" borderId="17" xfId="0" applyFont="1" applyFill="1" applyBorder="1" applyAlignment="1" applyProtection="1">
      <alignment horizontal="center" vertical="center"/>
      <protection locked="0"/>
    </xf>
    <xf numFmtId="0" fontId="13" fillId="3" borderId="13" xfId="0" applyFont="1" applyFill="1" applyBorder="1" applyAlignment="1" applyProtection="1">
      <alignment horizontal="center" vertical="center"/>
      <protection locked="0"/>
    </xf>
    <xf numFmtId="0" fontId="13" fillId="3" borderId="2" xfId="0" applyFont="1" applyFill="1" applyBorder="1" applyAlignment="1" applyProtection="1">
      <alignment horizontal="center" vertical="center"/>
      <protection locked="0"/>
    </xf>
    <xf numFmtId="0" fontId="13" fillId="3" borderId="14" xfId="0" applyFont="1" applyFill="1" applyBorder="1" applyAlignment="1" applyProtection="1">
      <alignment horizontal="center" vertical="center"/>
      <protection locked="0"/>
    </xf>
    <xf numFmtId="3" fontId="13" fillId="3" borderId="6" xfId="0" applyNumberFormat="1" applyFont="1" applyFill="1" applyBorder="1" applyAlignment="1" applyProtection="1">
      <alignment horizontal="center" vertical="center" wrapText="1"/>
      <protection locked="0"/>
    </xf>
    <xf numFmtId="3" fontId="13" fillId="3" borderId="9" xfId="0" applyNumberFormat="1" applyFont="1" applyFill="1" applyBorder="1" applyAlignment="1" applyProtection="1">
      <alignment horizontal="center" vertical="center" wrapText="1"/>
      <protection locked="0"/>
    </xf>
    <xf numFmtId="3" fontId="13" fillId="3" borderId="7" xfId="0" applyNumberFormat="1" applyFont="1" applyFill="1" applyBorder="1" applyAlignment="1" applyProtection="1">
      <alignment horizontal="center" vertical="center" wrapText="1"/>
      <protection locked="0"/>
    </xf>
    <xf numFmtId="3" fontId="13" fillId="3" borderId="16" xfId="0" applyNumberFormat="1" applyFont="1" applyFill="1" applyBorder="1" applyAlignment="1" applyProtection="1">
      <alignment horizontal="center" vertical="center" wrapText="1"/>
      <protection locked="0"/>
    </xf>
    <xf numFmtId="3" fontId="13" fillId="3" borderId="0" xfId="0" applyNumberFormat="1" applyFont="1" applyFill="1" applyBorder="1" applyAlignment="1" applyProtection="1">
      <alignment horizontal="center" vertical="center" wrapText="1"/>
      <protection locked="0"/>
    </xf>
    <xf numFmtId="3" fontId="13" fillId="3" borderId="17" xfId="0" applyNumberFormat="1" applyFont="1" applyFill="1" applyBorder="1" applyAlignment="1" applyProtection="1">
      <alignment horizontal="center" vertical="center" wrapText="1"/>
      <protection locked="0"/>
    </xf>
    <xf numFmtId="3" fontId="13" fillId="3" borderId="13" xfId="0" applyNumberFormat="1" applyFont="1" applyFill="1" applyBorder="1" applyAlignment="1" applyProtection="1">
      <alignment horizontal="center" vertical="center" wrapText="1"/>
      <protection locked="0"/>
    </xf>
    <xf numFmtId="3" fontId="13" fillId="3" borderId="2" xfId="0" applyNumberFormat="1" applyFont="1" applyFill="1" applyBorder="1" applyAlignment="1" applyProtection="1">
      <alignment horizontal="center" vertical="center" wrapText="1"/>
      <protection locked="0"/>
    </xf>
    <xf numFmtId="3" fontId="13" fillId="3" borderId="14" xfId="0" applyNumberFormat="1" applyFont="1" applyFill="1" applyBorder="1" applyAlignment="1" applyProtection="1">
      <alignment horizontal="center" vertical="center" wrapText="1"/>
      <protection locked="0"/>
    </xf>
    <xf numFmtId="3" fontId="13" fillId="3" borderId="18" xfId="0" applyNumberFormat="1" applyFont="1" applyFill="1" applyBorder="1" applyAlignment="1" applyProtection="1">
      <alignment horizontal="center" vertical="center" wrapText="1"/>
      <protection locked="0"/>
    </xf>
    <xf numFmtId="170" fontId="13" fillId="3" borderId="8" xfId="0" applyNumberFormat="1" applyFont="1" applyFill="1" applyBorder="1" applyAlignment="1" applyProtection="1">
      <alignment horizontal="center" vertical="center" wrapText="1"/>
      <protection locked="0"/>
    </xf>
    <xf numFmtId="170" fontId="13" fillId="3" borderId="15" xfId="0" applyNumberFormat="1" applyFont="1" applyFill="1" applyBorder="1" applyAlignment="1" applyProtection="1">
      <alignment horizontal="center" vertical="center" wrapText="1"/>
      <protection locked="0"/>
    </xf>
    <xf numFmtId="170" fontId="13" fillId="3" borderId="18" xfId="0" applyNumberFormat="1" applyFont="1" applyFill="1" applyBorder="1" applyAlignment="1" applyProtection="1">
      <alignment horizontal="center" vertical="center" wrapText="1"/>
      <protection locked="0"/>
    </xf>
    <xf numFmtId="175" fontId="6" fillId="6" borderId="8" xfId="0" applyNumberFormat="1" applyFont="1" applyFill="1" applyBorder="1" applyAlignment="1" applyProtection="1">
      <alignment horizontal="center" vertical="center" wrapText="1"/>
      <protection locked="0"/>
    </xf>
    <xf numFmtId="175" fontId="6" fillId="6" borderId="18" xfId="0" applyNumberFormat="1" applyFont="1" applyFill="1" applyBorder="1" applyAlignment="1" applyProtection="1">
      <alignment horizontal="center" vertical="center" wrapText="1"/>
      <protection locked="0"/>
    </xf>
    <xf numFmtId="0" fontId="6" fillId="6" borderId="6" xfId="0" applyFont="1" applyFill="1" applyBorder="1" applyAlignment="1" applyProtection="1">
      <alignment horizontal="left" vertical="center" wrapText="1"/>
      <protection locked="0"/>
    </xf>
    <xf numFmtId="0" fontId="6" fillId="6" borderId="9" xfId="0" applyFont="1" applyFill="1" applyBorder="1" applyAlignment="1" applyProtection="1">
      <alignment horizontal="left" vertical="center" wrapText="1"/>
      <protection locked="0"/>
    </xf>
    <xf numFmtId="0" fontId="6" fillId="6" borderId="13" xfId="0" applyFont="1" applyFill="1" applyBorder="1" applyAlignment="1" applyProtection="1">
      <alignment horizontal="left" vertical="center" wrapText="1"/>
      <protection locked="0"/>
    </xf>
    <xf numFmtId="0" fontId="6" fillId="6" borderId="2" xfId="0" applyFont="1" applyFill="1" applyBorder="1" applyAlignment="1" applyProtection="1">
      <alignment horizontal="left" vertical="center" wrapText="1"/>
      <protection locked="0"/>
    </xf>
    <xf numFmtId="3" fontId="13" fillId="3" borderId="8" xfId="0" applyNumberFormat="1" applyFont="1" applyFill="1" applyBorder="1" applyAlignment="1" applyProtection="1">
      <alignment horizontal="right" vertical="center" wrapText="1"/>
      <protection locked="0"/>
    </xf>
    <xf numFmtId="3" fontId="13" fillId="3" borderId="15" xfId="0" applyNumberFormat="1" applyFont="1" applyFill="1" applyBorder="1" applyAlignment="1" applyProtection="1">
      <alignment horizontal="right" vertical="center" wrapText="1"/>
      <protection locked="0"/>
    </xf>
    <xf numFmtId="3" fontId="13" fillId="3" borderId="18" xfId="0" applyNumberFormat="1" applyFont="1" applyFill="1" applyBorder="1" applyAlignment="1" applyProtection="1">
      <alignment horizontal="right" vertical="center" wrapText="1"/>
      <protection locked="0"/>
    </xf>
    <xf numFmtId="0" fontId="13" fillId="5" borderId="6" xfId="0" applyFont="1" applyFill="1" applyBorder="1" applyAlignment="1" applyProtection="1">
      <alignment horizontal="center" vertical="center" wrapText="1"/>
      <protection locked="0"/>
    </xf>
    <xf numFmtId="0" fontId="13" fillId="5" borderId="9" xfId="0" applyFont="1" applyFill="1" applyBorder="1" applyAlignment="1" applyProtection="1">
      <alignment horizontal="center" vertical="center" wrapText="1"/>
      <protection locked="0"/>
    </xf>
    <xf numFmtId="0" fontId="13" fillId="5" borderId="7" xfId="0" applyFont="1" applyFill="1" applyBorder="1" applyAlignment="1" applyProtection="1">
      <alignment horizontal="center" vertical="center" wrapText="1"/>
      <protection locked="0"/>
    </xf>
    <xf numFmtId="0" fontId="13" fillId="5" borderId="16" xfId="0" applyFont="1" applyFill="1" applyBorder="1" applyAlignment="1" applyProtection="1">
      <alignment horizontal="center" vertical="center" wrapText="1"/>
      <protection locked="0"/>
    </xf>
    <xf numFmtId="0" fontId="13" fillId="5" borderId="0"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5" borderId="13" xfId="0" applyFont="1" applyFill="1" applyBorder="1" applyAlignment="1" applyProtection="1">
      <alignment horizontal="center" vertical="center" wrapText="1"/>
      <protection locked="0"/>
    </xf>
    <xf numFmtId="0" fontId="13" fillId="5" borderId="2" xfId="0" applyFont="1" applyFill="1" applyBorder="1" applyAlignment="1" applyProtection="1">
      <alignment horizontal="center" vertical="center" wrapText="1"/>
      <protection locked="0"/>
    </xf>
    <xf numFmtId="0" fontId="13" fillId="5" borderId="14" xfId="0" applyFont="1" applyFill="1" applyBorder="1" applyAlignment="1" applyProtection="1">
      <alignment horizontal="center" vertical="center" wrapText="1"/>
      <protection locked="0"/>
    </xf>
    <xf numFmtId="175" fontId="6" fillId="7" borderId="8" xfId="0" applyNumberFormat="1" applyFont="1" applyFill="1" applyBorder="1" applyAlignment="1" applyProtection="1">
      <alignment horizontal="center" vertical="center" wrapText="1"/>
      <protection locked="0"/>
    </xf>
    <xf numFmtId="175" fontId="6" fillId="7" borderId="18" xfId="0" applyNumberFormat="1" applyFont="1" applyFill="1" applyBorder="1" applyAlignment="1" applyProtection="1">
      <alignment horizontal="center" vertical="center" wrapText="1"/>
      <protection locked="0"/>
    </xf>
    <xf numFmtId="0" fontId="6" fillId="7" borderId="6" xfId="0" applyFont="1" applyFill="1" applyBorder="1" applyAlignment="1" applyProtection="1">
      <alignment horizontal="left" vertical="center" wrapText="1"/>
      <protection locked="0"/>
    </xf>
    <xf numFmtId="0" fontId="6" fillId="7" borderId="9" xfId="0" applyFont="1" applyFill="1" applyBorder="1" applyAlignment="1" applyProtection="1">
      <alignment horizontal="left" vertical="center" wrapText="1"/>
      <protection locked="0"/>
    </xf>
    <xf numFmtId="0" fontId="6" fillId="7" borderId="13" xfId="0" applyFont="1" applyFill="1" applyBorder="1" applyAlignment="1" applyProtection="1">
      <alignment horizontal="left" vertical="center" wrapText="1"/>
      <protection locked="0"/>
    </xf>
    <xf numFmtId="0" fontId="6" fillId="7" borderId="2" xfId="0" applyFont="1" applyFill="1" applyBorder="1" applyAlignment="1" applyProtection="1">
      <alignment horizontal="left" vertical="center" wrapText="1"/>
      <protection locked="0"/>
    </xf>
    <xf numFmtId="175" fontId="6" fillId="9" borderId="8" xfId="0" applyNumberFormat="1" applyFont="1" applyFill="1" applyBorder="1" applyAlignment="1" applyProtection="1">
      <alignment horizontal="center" vertical="center" wrapText="1"/>
      <protection locked="0"/>
    </xf>
    <xf numFmtId="175" fontId="6" fillId="9" borderId="18" xfId="0" applyNumberFormat="1" applyFont="1" applyFill="1" applyBorder="1" applyAlignment="1" applyProtection="1">
      <alignment horizontal="center" vertical="center" wrapText="1"/>
      <protection locked="0"/>
    </xf>
    <xf numFmtId="0" fontId="6" fillId="9" borderId="6" xfId="0" applyFont="1" applyFill="1" applyBorder="1" applyAlignment="1" applyProtection="1">
      <alignment horizontal="left" vertical="center" wrapText="1"/>
      <protection locked="0"/>
    </xf>
    <xf numFmtId="0" fontId="6" fillId="9" borderId="9" xfId="0" applyFont="1" applyFill="1" applyBorder="1" applyAlignment="1" applyProtection="1">
      <alignment horizontal="left" vertical="center" wrapText="1"/>
      <protection locked="0"/>
    </xf>
    <xf numFmtId="0" fontId="6" fillId="9" borderId="13" xfId="0" applyFont="1" applyFill="1" applyBorder="1" applyAlignment="1" applyProtection="1">
      <alignment horizontal="left" vertical="center" wrapText="1"/>
      <protection locked="0"/>
    </xf>
    <xf numFmtId="0" fontId="6" fillId="9" borderId="2" xfId="0" applyFont="1" applyFill="1" applyBorder="1" applyAlignment="1" applyProtection="1">
      <alignment horizontal="left" vertical="center" wrapText="1"/>
      <protection locked="0"/>
    </xf>
    <xf numFmtId="175" fontId="7" fillId="5" borderId="8" xfId="0" applyNumberFormat="1" applyFont="1" applyFill="1" applyBorder="1" applyAlignment="1" applyProtection="1">
      <alignment horizontal="center" vertical="center" wrapText="1"/>
    </xf>
    <xf numFmtId="175" fontId="7" fillId="5" borderId="15" xfId="0" applyNumberFormat="1" applyFont="1" applyFill="1" applyBorder="1" applyAlignment="1" applyProtection="1">
      <alignment horizontal="center" vertical="center" wrapText="1"/>
    </xf>
    <xf numFmtId="175" fontId="7" fillId="5" borderId="18" xfId="0" applyNumberFormat="1" applyFont="1" applyFill="1" applyBorder="1" applyAlignment="1" applyProtection="1">
      <alignment horizontal="center" vertical="center" wrapText="1"/>
    </xf>
    <xf numFmtId="0" fontId="7" fillId="5" borderId="8" xfId="0" applyFont="1" applyFill="1" applyBorder="1" applyAlignment="1" applyProtection="1">
      <alignment horizontal="justify" vertical="center" wrapText="1"/>
      <protection locked="0"/>
    </xf>
    <xf numFmtId="0" fontId="7" fillId="5" borderId="15" xfId="0" applyFont="1" applyFill="1" applyBorder="1" applyAlignment="1" applyProtection="1">
      <alignment horizontal="justify" vertical="center" wrapText="1"/>
      <protection locked="0"/>
    </xf>
    <xf numFmtId="0" fontId="7" fillId="5" borderId="18" xfId="0" applyFont="1" applyFill="1" applyBorder="1" applyAlignment="1" applyProtection="1">
      <alignment horizontal="justify" vertical="center" wrapText="1"/>
      <protection locked="0"/>
    </xf>
    <xf numFmtId="9" fontId="7" fillId="5" borderId="8" xfId="5" applyFont="1" applyFill="1" applyBorder="1" applyAlignment="1" applyProtection="1">
      <alignment horizontal="center" vertical="center"/>
      <protection locked="0"/>
    </xf>
    <xf numFmtId="9" fontId="7" fillId="5" borderId="15" xfId="5" applyFont="1" applyFill="1" applyBorder="1" applyAlignment="1" applyProtection="1">
      <alignment horizontal="center" vertical="center"/>
      <protection locked="0"/>
    </xf>
    <xf numFmtId="9" fontId="7" fillId="5" borderId="18" xfId="5" applyFont="1" applyFill="1" applyBorder="1" applyAlignment="1" applyProtection="1">
      <alignment horizontal="center" vertical="center"/>
      <protection locked="0"/>
    </xf>
    <xf numFmtId="175" fontId="7" fillId="5" borderId="8" xfId="0" applyNumberFormat="1" applyFont="1" applyFill="1" applyBorder="1" applyAlignment="1" applyProtection="1">
      <alignment horizontal="right" vertical="center" wrapText="1"/>
      <protection locked="0"/>
    </xf>
    <xf numFmtId="175" fontId="7" fillId="5" borderId="15" xfId="0" applyNumberFormat="1" applyFont="1" applyFill="1" applyBorder="1" applyAlignment="1" applyProtection="1">
      <alignment horizontal="right" vertical="center" wrapText="1"/>
      <protection locked="0"/>
    </xf>
    <xf numFmtId="175" fontId="7" fillId="5" borderId="18" xfId="0" applyNumberFormat="1" applyFont="1" applyFill="1" applyBorder="1" applyAlignment="1" applyProtection="1">
      <alignment horizontal="right" vertical="center" wrapText="1"/>
      <protection locked="0"/>
    </xf>
    <xf numFmtId="0" fontId="7" fillId="5" borderId="8" xfId="0" applyFont="1" applyFill="1" applyBorder="1" applyAlignment="1" applyProtection="1">
      <alignment horizontal="justify" vertical="center" wrapText="1"/>
    </xf>
    <xf numFmtId="0" fontId="7" fillId="5" borderId="15" xfId="0" applyFont="1" applyFill="1" applyBorder="1" applyAlignment="1" applyProtection="1">
      <alignment horizontal="justify" vertical="center" wrapText="1"/>
    </xf>
    <xf numFmtId="0" fontId="7" fillId="5" borderId="18" xfId="0" applyFont="1" applyFill="1" applyBorder="1" applyAlignment="1" applyProtection="1">
      <alignment horizontal="justify" vertical="center" wrapText="1"/>
    </xf>
    <xf numFmtId="0" fontId="7" fillId="5" borderId="8" xfId="0" applyFont="1" applyFill="1" applyBorder="1" applyAlignment="1" applyProtection="1">
      <alignment horizontal="center" vertical="center" wrapText="1"/>
      <protection locked="0"/>
    </xf>
    <xf numFmtId="0" fontId="7" fillId="5" borderId="15" xfId="0" applyFont="1" applyFill="1" applyBorder="1" applyAlignment="1" applyProtection="1">
      <alignment horizontal="center" vertical="center" wrapText="1"/>
      <protection locked="0"/>
    </xf>
    <xf numFmtId="0" fontId="7" fillId="5" borderId="18" xfId="0" applyFont="1" applyFill="1" applyBorder="1" applyAlignment="1" applyProtection="1">
      <alignment horizontal="center" vertical="center" wrapText="1"/>
      <protection locked="0"/>
    </xf>
    <xf numFmtId="175" fontId="7" fillId="5" borderId="8" xfId="0" applyNumberFormat="1" applyFont="1" applyFill="1" applyBorder="1" applyAlignment="1" applyProtection="1">
      <alignment horizontal="center" vertical="center" wrapText="1"/>
      <protection locked="0"/>
    </xf>
    <xf numFmtId="175" fontId="7" fillId="5" borderId="15" xfId="0" applyNumberFormat="1" applyFont="1" applyFill="1" applyBorder="1" applyAlignment="1" applyProtection="1">
      <alignment horizontal="center" vertical="center" wrapText="1"/>
      <protection locked="0"/>
    </xf>
    <xf numFmtId="175" fontId="7" fillId="5" borderId="18" xfId="0" applyNumberFormat="1" applyFont="1" applyFill="1" applyBorder="1" applyAlignment="1" applyProtection="1">
      <alignment horizontal="center" vertical="center" wrapText="1"/>
      <protection locked="0"/>
    </xf>
    <xf numFmtId="49" fontId="7" fillId="5" borderId="8" xfId="0" applyNumberFormat="1" applyFont="1" applyFill="1" applyBorder="1" applyAlignment="1" applyProtection="1">
      <alignment horizontal="center" vertical="center" wrapText="1"/>
      <protection locked="0"/>
    </xf>
    <xf numFmtId="49" fontId="7" fillId="5" borderId="15" xfId="0" applyNumberFormat="1" applyFont="1" applyFill="1" applyBorder="1" applyAlignment="1" applyProtection="1">
      <alignment horizontal="center" vertical="center" wrapText="1"/>
      <protection locked="0"/>
    </xf>
    <xf numFmtId="49" fontId="7" fillId="5" borderId="18" xfId="0" applyNumberFormat="1" applyFont="1" applyFill="1" applyBorder="1" applyAlignment="1" applyProtection="1">
      <alignment horizontal="center" vertical="center" wrapText="1"/>
      <protection locked="0"/>
    </xf>
    <xf numFmtId="175" fontId="7" fillId="0" borderId="8" xfId="0" applyNumberFormat="1" applyFont="1" applyFill="1" applyBorder="1" applyAlignment="1" applyProtection="1">
      <alignment horizontal="right" vertical="center" wrapText="1"/>
      <protection locked="0"/>
    </xf>
    <xf numFmtId="175" fontId="7" fillId="0" borderId="15" xfId="0" applyNumberFormat="1" applyFont="1" applyFill="1" applyBorder="1" applyAlignment="1" applyProtection="1">
      <alignment horizontal="right" vertical="center" wrapText="1"/>
      <protection locked="0"/>
    </xf>
    <xf numFmtId="175" fontId="7" fillId="0" borderId="18" xfId="0" applyNumberFormat="1" applyFont="1" applyFill="1" applyBorder="1" applyAlignment="1" applyProtection="1">
      <alignment horizontal="right" vertical="center" wrapText="1"/>
      <protection locked="0"/>
    </xf>
    <xf numFmtId="3" fontId="7" fillId="0" borderId="8" xfId="0" applyNumberFormat="1" applyFont="1" applyFill="1" applyBorder="1" applyAlignment="1" applyProtection="1">
      <alignment horizontal="center" vertical="center" wrapText="1"/>
      <protection locked="0"/>
    </xf>
    <xf numFmtId="3" fontId="7" fillId="0" borderId="15" xfId="0" applyNumberFormat="1" applyFont="1" applyFill="1" applyBorder="1" applyAlignment="1" applyProtection="1">
      <alignment horizontal="center" vertical="center" wrapText="1"/>
      <protection locked="0"/>
    </xf>
    <xf numFmtId="3" fontId="7" fillId="0" borderId="18" xfId="0" applyNumberFormat="1" applyFont="1" applyFill="1" applyBorder="1" applyAlignment="1" applyProtection="1">
      <alignment horizontal="center" vertical="center" wrapText="1"/>
      <protection locked="0"/>
    </xf>
    <xf numFmtId="176" fontId="14" fillId="5" borderId="8" xfId="6" applyNumberFormat="1" applyFont="1" applyFill="1" applyBorder="1" applyAlignment="1" applyProtection="1">
      <alignment horizontal="right" vertical="center"/>
      <protection locked="0"/>
    </xf>
    <xf numFmtId="176" fontId="14" fillId="5" borderId="15" xfId="6" applyNumberFormat="1" applyFont="1" applyFill="1" applyBorder="1" applyAlignment="1" applyProtection="1">
      <alignment horizontal="right" vertical="center"/>
      <protection locked="0"/>
    </xf>
    <xf numFmtId="176" fontId="14" fillId="5" borderId="18" xfId="6" applyNumberFormat="1" applyFont="1" applyFill="1" applyBorder="1" applyAlignment="1" applyProtection="1">
      <alignment horizontal="right" vertical="center"/>
      <protection locked="0"/>
    </xf>
    <xf numFmtId="9" fontId="14" fillId="5" borderId="8" xfId="5" applyFont="1" applyFill="1" applyBorder="1" applyAlignment="1" applyProtection="1">
      <alignment horizontal="center" vertical="center"/>
      <protection locked="0"/>
    </xf>
    <xf numFmtId="9" fontId="14" fillId="5" borderId="15" xfId="5" applyFont="1" applyFill="1" applyBorder="1" applyAlignment="1" applyProtection="1">
      <alignment horizontal="center" vertical="center"/>
      <protection locked="0"/>
    </xf>
    <xf numFmtId="9" fontId="14" fillId="5" borderId="18" xfId="5" applyFont="1" applyFill="1" applyBorder="1" applyAlignment="1" applyProtection="1">
      <alignment horizontal="center" vertical="center"/>
      <protection locked="0"/>
    </xf>
    <xf numFmtId="0" fontId="14" fillId="5" borderId="8" xfId="0" applyFont="1" applyFill="1" applyBorder="1" applyAlignment="1" applyProtection="1">
      <alignment horizontal="justify" vertical="center" wrapText="1"/>
      <protection locked="0"/>
    </xf>
    <xf numFmtId="0" fontId="14" fillId="5" borderId="15" xfId="0" applyFont="1" applyFill="1" applyBorder="1" applyAlignment="1" applyProtection="1">
      <alignment horizontal="justify" vertical="center" wrapText="1"/>
      <protection locked="0"/>
    </xf>
    <xf numFmtId="0" fontId="14" fillId="5" borderId="18" xfId="0" applyFont="1" applyFill="1" applyBorder="1" applyAlignment="1" applyProtection="1">
      <alignment horizontal="justify" vertical="center" wrapText="1"/>
      <protection locked="0"/>
    </xf>
    <xf numFmtId="0" fontId="14" fillId="0" borderId="8" xfId="0" applyFont="1" applyFill="1" applyBorder="1" applyAlignment="1" applyProtection="1">
      <alignment horizontal="center"/>
      <protection locked="0"/>
    </xf>
    <xf numFmtId="0" fontId="14" fillId="0" borderId="15" xfId="0" applyFont="1" applyFill="1" applyBorder="1" applyAlignment="1" applyProtection="1">
      <alignment horizontal="center"/>
      <protection locked="0"/>
    </xf>
    <xf numFmtId="0" fontId="14" fillId="0" borderId="18" xfId="0" applyFont="1" applyFill="1" applyBorder="1" applyAlignment="1" applyProtection="1">
      <alignment horizontal="center"/>
      <protection locked="0"/>
    </xf>
    <xf numFmtId="0" fontId="14" fillId="5" borderId="8" xfId="0" applyFont="1" applyFill="1" applyBorder="1" applyAlignment="1" applyProtection="1">
      <alignment horizontal="center" vertical="center"/>
      <protection locked="0"/>
    </xf>
    <xf numFmtId="0" fontId="14" fillId="5" borderId="15" xfId="0" applyFont="1" applyFill="1" applyBorder="1" applyAlignment="1" applyProtection="1">
      <alignment horizontal="center" vertical="center"/>
      <protection locked="0"/>
    </xf>
    <xf numFmtId="0" fontId="14" fillId="5" borderId="18" xfId="0" applyFont="1" applyFill="1" applyBorder="1" applyAlignment="1" applyProtection="1">
      <alignment horizontal="center" vertical="center"/>
      <protection locked="0"/>
    </xf>
    <xf numFmtId="170" fontId="7" fillId="5" borderId="1" xfId="0" applyNumberFormat="1" applyFont="1" applyFill="1" applyBorder="1" applyAlignment="1" applyProtection="1">
      <alignment horizontal="center" vertical="center" wrapText="1"/>
      <protection locked="0"/>
    </xf>
    <xf numFmtId="170" fontId="7" fillId="0" borderId="8" xfId="0" applyNumberFormat="1" applyFont="1" applyFill="1" applyBorder="1" applyAlignment="1" applyProtection="1">
      <alignment horizontal="center" vertical="center" wrapText="1"/>
      <protection locked="0"/>
    </xf>
    <xf numFmtId="170" fontId="7" fillId="0" borderId="15" xfId="0" applyNumberFormat="1" applyFont="1" applyFill="1" applyBorder="1" applyAlignment="1" applyProtection="1">
      <alignment horizontal="center" vertical="center" wrapText="1"/>
      <protection locked="0"/>
    </xf>
    <xf numFmtId="170" fontId="7" fillId="0" borderId="18" xfId="0" applyNumberFormat="1" applyFont="1" applyFill="1" applyBorder="1" applyAlignment="1" applyProtection="1">
      <alignment horizontal="center" vertical="center" wrapText="1"/>
      <protection locked="0"/>
    </xf>
    <xf numFmtId="14" fontId="7" fillId="5" borderId="8" xfId="0" applyNumberFormat="1" applyFont="1" applyFill="1" applyBorder="1" applyAlignment="1" applyProtection="1">
      <alignment horizontal="center" vertical="center" wrapText="1"/>
      <protection locked="0"/>
    </xf>
    <xf numFmtId="14" fontId="7" fillId="5" borderId="15" xfId="0" applyNumberFormat="1" applyFont="1" applyFill="1" applyBorder="1" applyAlignment="1" applyProtection="1">
      <alignment horizontal="center" vertical="center" wrapText="1"/>
      <protection locked="0"/>
    </xf>
    <xf numFmtId="14" fontId="7" fillId="5" borderId="18" xfId="0" applyNumberFormat="1" applyFont="1" applyFill="1" applyBorder="1" applyAlignment="1" applyProtection="1">
      <alignment horizontal="center" vertical="center" wrapText="1"/>
      <protection locked="0"/>
    </xf>
    <xf numFmtId="14" fontId="7" fillId="0" borderId="8" xfId="0" applyNumberFormat="1" applyFont="1" applyFill="1" applyBorder="1" applyAlignment="1" applyProtection="1">
      <alignment horizontal="center" vertical="center" wrapText="1"/>
      <protection locked="0"/>
    </xf>
    <xf numFmtId="14" fontId="7" fillId="0" borderId="15" xfId="0" applyNumberFormat="1" applyFont="1" applyFill="1" applyBorder="1" applyAlignment="1" applyProtection="1">
      <alignment horizontal="center" vertical="center" wrapText="1"/>
      <protection locked="0"/>
    </xf>
    <xf numFmtId="14" fontId="7" fillId="0" borderId="18" xfId="0" applyNumberFormat="1" applyFont="1" applyFill="1" applyBorder="1" applyAlignment="1" applyProtection="1">
      <alignment horizontal="center" vertical="center" wrapText="1"/>
      <protection locked="0"/>
    </xf>
    <xf numFmtId="0" fontId="7" fillId="5" borderId="7" xfId="0" applyFont="1" applyFill="1" applyBorder="1" applyAlignment="1" applyProtection="1">
      <alignment horizontal="justify" vertical="center" wrapText="1"/>
      <protection locked="0"/>
    </xf>
    <xf numFmtId="0" fontId="7" fillId="5" borderId="17" xfId="0" applyFont="1" applyFill="1" applyBorder="1" applyAlignment="1" applyProtection="1">
      <alignment horizontal="justify" vertical="center" wrapText="1"/>
      <protection locked="0"/>
    </xf>
    <xf numFmtId="0" fontId="7" fillId="5" borderId="14" xfId="0" applyFont="1" applyFill="1" applyBorder="1" applyAlignment="1" applyProtection="1">
      <alignment horizontal="justify" vertical="center" wrapText="1"/>
      <protection locked="0"/>
    </xf>
    <xf numFmtId="0" fontId="14" fillId="5" borderId="6" xfId="0" applyFont="1" applyFill="1" applyBorder="1" applyAlignment="1" applyProtection="1">
      <alignment horizontal="justify" vertical="center" wrapText="1"/>
      <protection locked="0"/>
    </xf>
    <xf numFmtId="0" fontId="14" fillId="5" borderId="16" xfId="0" applyFont="1" applyFill="1" applyBorder="1" applyAlignment="1" applyProtection="1">
      <alignment horizontal="justify" vertical="center" wrapText="1"/>
      <protection locked="0"/>
    </xf>
    <xf numFmtId="0" fontId="14" fillId="5" borderId="13" xfId="0" applyFont="1" applyFill="1" applyBorder="1" applyAlignment="1" applyProtection="1">
      <alignment horizontal="justify" vertical="center" wrapText="1"/>
      <protection locked="0"/>
    </xf>
    <xf numFmtId="175" fontId="7" fillId="5" borderId="8" xfId="0" applyNumberFormat="1" applyFont="1" applyFill="1" applyBorder="1" applyAlignment="1" applyProtection="1">
      <alignment horizontal="center" vertical="center"/>
    </xf>
    <xf numFmtId="175" fontId="7" fillId="5" borderId="15" xfId="0" applyNumberFormat="1" applyFont="1" applyFill="1" applyBorder="1" applyAlignment="1" applyProtection="1">
      <alignment horizontal="center" vertical="center"/>
    </xf>
    <xf numFmtId="175" fontId="7" fillId="5" borderId="18" xfId="0" applyNumberFormat="1" applyFont="1" applyFill="1" applyBorder="1" applyAlignment="1" applyProtection="1">
      <alignment horizontal="center" vertical="center"/>
    </xf>
    <xf numFmtId="0" fontId="7" fillId="5" borderId="8" xfId="0" applyFont="1" applyFill="1" applyBorder="1" applyAlignment="1" applyProtection="1">
      <alignment horizontal="center" vertical="center"/>
      <protection locked="0"/>
    </xf>
    <xf numFmtId="0" fontId="7" fillId="5" borderId="15"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184" fontId="7" fillId="5" borderId="8" xfId="0" applyNumberFormat="1" applyFont="1" applyFill="1" applyBorder="1" applyAlignment="1" applyProtection="1">
      <alignment horizontal="center" vertical="center"/>
      <protection locked="0"/>
    </xf>
    <xf numFmtId="184" fontId="7" fillId="5" borderId="15" xfId="0" applyNumberFormat="1" applyFont="1" applyFill="1" applyBorder="1" applyAlignment="1" applyProtection="1">
      <alignment horizontal="center" vertical="center"/>
      <protection locked="0"/>
    </xf>
    <xf numFmtId="184" fontId="7" fillId="5" borderId="18" xfId="0" applyNumberFormat="1" applyFont="1" applyFill="1" applyBorder="1" applyAlignment="1" applyProtection="1">
      <alignment horizontal="center" vertical="center"/>
      <protection locked="0"/>
    </xf>
    <xf numFmtId="175" fontId="7" fillId="5" borderId="8" xfId="0" applyNumberFormat="1" applyFont="1" applyFill="1" applyBorder="1" applyAlignment="1" applyProtection="1">
      <alignment horizontal="center" vertical="center"/>
      <protection locked="0"/>
    </xf>
    <xf numFmtId="175" fontId="7" fillId="5" borderId="15" xfId="0" applyNumberFormat="1" applyFont="1" applyFill="1" applyBorder="1" applyAlignment="1" applyProtection="1">
      <alignment horizontal="center" vertical="center"/>
      <protection locked="0"/>
    </xf>
    <xf numFmtId="175" fontId="7" fillId="5" borderId="18" xfId="0" applyNumberFormat="1" applyFont="1" applyFill="1" applyBorder="1" applyAlignment="1" applyProtection="1">
      <alignment horizontal="center" vertical="center"/>
      <protection locked="0"/>
    </xf>
    <xf numFmtId="175" fontId="7" fillId="0" borderId="8" xfId="0" applyNumberFormat="1" applyFont="1" applyFill="1" applyBorder="1" applyAlignment="1" applyProtection="1">
      <alignment horizontal="right" vertical="center"/>
      <protection locked="0"/>
    </xf>
    <xf numFmtId="175" fontId="7" fillId="0" borderId="15" xfId="0" applyNumberFormat="1" applyFont="1" applyFill="1" applyBorder="1" applyAlignment="1" applyProtection="1">
      <alignment horizontal="right" vertical="center"/>
      <protection locked="0"/>
    </xf>
    <xf numFmtId="175" fontId="7" fillId="0" borderId="18" xfId="0" applyNumberFormat="1" applyFont="1" applyFill="1" applyBorder="1" applyAlignment="1" applyProtection="1">
      <alignment horizontal="right" vertical="center"/>
      <protection locked="0"/>
    </xf>
    <xf numFmtId="175" fontId="7" fillId="5" borderId="1" xfId="0" applyNumberFormat="1" applyFont="1" applyFill="1" applyBorder="1" applyAlignment="1" applyProtection="1">
      <alignment horizontal="right" vertical="center"/>
      <protection locked="0"/>
    </xf>
    <xf numFmtId="9" fontId="14" fillId="0" borderId="8" xfId="5" applyFont="1" applyFill="1" applyBorder="1" applyAlignment="1" applyProtection="1">
      <alignment horizontal="center" vertical="center"/>
      <protection locked="0"/>
    </xf>
    <xf numFmtId="9" fontId="14" fillId="0" borderId="15" xfId="5" applyFont="1" applyFill="1" applyBorder="1" applyAlignment="1" applyProtection="1">
      <alignment horizontal="center" vertical="center"/>
      <protection locked="0"/>
    </xf>
    <xf numFmtId="9" fontId="14" fillId="0" borderId="18" xfId="5" applyFont="1" applyFill="1" applyBorder="1" applyAlignment="1" applyProtection="1">
      <alignment horizontal="center" vertical="center"/>
      <protection locked="0"/>
    </xf>
    <xf numFmtId="9" fontId="14" fillId="0" borderId="8" xfId="5" applyFont="1" applyFill="1" applyBorder="1" applyAlignment="1" applyProtection="1">
      <alignment horizontal="center" vertical="center" wrapText="1"/>
      <protection locked="0"/>
    </xf>
    <xf numFmtId="9" fontId="14" fillId="0" borderId="15" xfId="5" applyFont="1" applyFill="1" applyBorder="1" applyAlignment="1" applyProtection="1">
      <alignment horizontal="center" vertical="center" wrapText="1"/>
      <protection locked="0"/>
    </xf>
    <xf numFmtId="9" fontId="14" fillId="0" borderId="18" xfId="5" applyFont="1" applyFill="1" applyBorder="1" applyAlignment="1" applyProtection="1">
      <alignment horizontal="center" vertical="center" wrapText="1"/>
      <protection locked="0"/>
    </xf>
    <xf numFmtId="170" fontId="7" fillId="0" borderId="8" xfId="0" applyNumberFormat="1" applyFont="1" applyBorder="1" applyAlignment="1" applyProtection="1">
      <alignment horizontal="center" vertical="center"/>
      <protection locked="0"/>
    </xf>
    <xf numFmtId="170" fontId="7" fillId="0" borderId="15" xfId="0" applyNumberFormat="1" applyFont="1" applyBorder="1" applyAlignment="1" applyProtection="1">
      <alignment horizontal="center" vertical="center"/>
      <protection locked="0"/>
    </xf>
    <xf numFmtId="170" fontId="7" fillId="0" borderId="18" xfId="0" applyNumberFormat="1" applyFont="1" applyBorder="1" applyAlignment="1" applyProtection="1">
      <alignment horizontal="center" vertical="center"/>
      <protection locked="0"/>
    </xf>
    <xf numFmtId="170" fontId="7" fillId="0" borderId="8" xfId="0" applyNumberFormat="1" applyFont="1" applyFill="1" applyBorder="1" applyAlignment="1" applyProtection="1">
      <alignment horizontal="center" vertical="center"/>
      <protection locked="0"/>
    </xf>
    <xf numFmtId="170" fontId="7" fillId="0" borderId="15" xfId="0" applyNumberFormat="1" applyFont="1" applyFill="1" applyBorder="1" applyAlignment="1" applyProtection="1">
      <alignment horizontal="center" vertical="center"/>
      <protection locked="0"/>
    </xf>
    <xf numFmtId="170" fontId="7" fillId="0" borderId="18" xfId="0" applyNumberFormat="1" applyFont="1" applyFill="1" applyBorder="1" applyAlignment="1" applyProtection="1">
      <alignment horizontal="center" vertical="center"/>
      <protection locked="0"/>
    </xf>
    <xf numFmtId="170" fontId="7" fillId="0" borderId="1" xfId="0" applyNumberFormat="1" applyFont="1" applyBorder="1" applyAlignment="1" applyProtection="1">
      <alignment horizontal="center" vertical="center"/>
      <protection locked="0"/>
    </xf>
    <xf numFmtId="170" fontId="7" fillId="0" borderId="7" xfId="0" applyNumberFormat="1" applyFont="1" applyBorder="1" applyAlignment="1" applyProtection="1">
      <alignment horizontal="justify" vertical="center" wrapText="1"/>
      <protection locked="0"/>
    </xf>
    <xf numFmtId="170" fontId="7" fillId="0" borderId="17" xfId="0" applyNumberFormat="1" applyFont="1" applyBorder="1" applyAlignment="1" applyProtection="1">
      <alignment horizontal="justify" vertical="center" wrapText="1"/>
      <protection locked="0"/>
    </xf>
    <xf numFmtId="170" fontId="7" fillId="0" borderId="14" xfId="0" applyNumberFormat="1" applyFont="1" applyBorder="1" applyAlignment="1" applyProtection="1">
      <alignment horizontal="justify" vertical="center" wrapText="1"/>
      <protection locked="0"/>
    </xf>
    <xf numFmtId="175" fontId="7" fillId="5" borderId="8" xfId="0" applyNumberFormat="1" applyFont="1" applyFill="1" applyBorder="1" applyAlignment="1" applyProtection="1">
      <alignment horizontal="right" vertical="center"/>
      <protection locked="0"/>
    </xf>
    <xf numFmtId="175" fontId="7" fillId="5" borderId="15" xfId="0" applyNumberFormat="1" applyFont="1" applyFill="1" applyBorder="1" applyAlignment="1" applyProtection="1">
      <alignment horizontal="right" vertical="center"/>
      <protection locked="0"/>
    </xf>
    <xf numFmtId="175" fontId="7" fillId="5" borderId="18" xfId="0" applyNumberFormat="1" applyFont="1" applyFill="1" applyBorder="1" applyAlignment="1" applyProtection="1">
      <alignment horizontal="right" vertical="center"/>
      <protection locked="0"/>
    </xf>
    <xf numFmtId="176" fontId="14" fillId="0" borderId="8" xfId="6" applyNumberFormat="1" applyFont="1" applyFill="1" applyBorder="1" applyAlignment="1" applyProtection="1">
      <alignment horizontal="right" vertical="center"/>
      <protection locked="0"/>
    </xf>
    <xf numFmtId="176" fontId="14" fillId="0" borderId="15" xfId="6" applyNumberFormat="1" applyFont="1" applyFill="1" applyBorder="1" applyAlignment="1" applyProtection="1">
      <alignment horizontal="right" vertical="center"/>
      <protection locked="0"/>
    </xf>
    <xf numFmtId="176" fontId="14" fillId="0" borderId="18" xfId="6" applyNumberFormat="1" applyFont="1" applyFill="1" applyBorder="1" applyAlignment="1" applyProtection="1">
      <alignment horizontal="right" vertical="center"/>
      <protection locked="0"/>
    </xf>
    <xf numFmtId="0" fontId="14" fillId="0" borderId="8" xfId="0" applyFont="1" applyFill="1" applyBorder="1" applyAlignment="1" applyProtection="1">
      <alignment horizontal="justify" vertical="center" wrapText="1"/>
      <protection locked="0"/>
    </xf>
    <xf numFmtId="0" fontId="14" fillId="0" borderId="15" xfId="0" applyFont="1" applyFill="1" applyBorder="1" applyAlignment="1" applyProtection="1">
      <alignment horizontal="justify" vertical="center" wrapText="1"/>
      <protection locked="0"/>
    </xf>
    <xf numFmtId="0" fontId="14" fillId="0" borderId="18" xfId="0" applyFont="1" applyFill="1" applyBorder="1" applyAlignment="1" applyProtection="1">
      <alignment horizontal="justify" vertical="center" wrapText="1"/>
      <protection locked="0"/>
    </xf>
    <xf numFmtId="0" fontId="14" fillId="0" borderId="6" xfId="0" applyFont="1" applyFill="1" applyBorder="1" applyAlignment="1" applyProtection="1">
      <alignment horizontal="justify" vertical="center" wrapText="1"/>
      <protection locked="0"/>
    </xf>
    <xf numFmtId="0" fontId="14" fillId="0" borderId="16" xfId="0" applyFont="1" applyFill="1" applyBorder="1" applyAlignment="1" applyProtection="1">
      <alignment horizontal="justify" vertical="center" wrapText="1"/>
      <protection locked="0"/>
    </xf>
    <xf numFmtId="0" fontId="14" fillId="0" borderId="13" xfId="0" applyFont="1" applyFill="1" applyBorder="1" applyAlignment="1" applyProtection="1">
      <alignment horizontal="justify" vertical="center" wrapText="1"/>
      <protection locked="0"/>
    </xf>
    <xf numFmtId="9" fontId="7" fillId="0" borderId="8" xfId="5" applyFont="1" applyFill="1" applyBorder="1" applyAlignment="1" applyProtection="1">
      <alignment horizontal="center" vertical="center"/>
      <protection locked="0"/>
    </xf>
    <xf numFmtId="9" fontId="7" fillId="0" borderId="15" xfId="5" applyFont="1" applyFill="1" applyBorder="1" applyAlignment="1" applyProtection="1">
      <alignment horizontal="center" vertical="center"/>
      <protection locked="0"/>
    </xf>
    <xf numFmtId="9" fontId="7" fillId="0" borderId="18" xfId="5" applyFont="1" applyFill="1" applyBorder="1" applyAlignment="1" applyProtection="1">
      <alignment horizontal="center" vertical="center"/>
      <protection locked="0"/>
    </xf>
    <xf numFmtId="0" fontId="6" fillId="9" borderId="8" xfId="0" applyFont="1" applyFill="1" applyBorder="1" applyAlignment="1" applyProtection="1">
      <alignment horizontal="center" vertical="center" wrapText="1"/>
      <protection locked="0"/>
    </xf>
    <xf numFmtId="0" fontId="6" fillId="9" borderId="18" xfId="0" applyFont="1" applyFill="1" applyBorder="1" applyAlignment="1" applyProtection="1">
      <alignment horizontal="center" vertical="center" wrapText="1"/>
      <protection locked="0"/>
    </xf>
    <xf numFmtId="0" fontId="14" fillId="9" borderId="7" xfId="0" applyFont="1" applyFill="1" applyBorder="1" applyAlignment="1" applyProtection="1">
      <alignment horizontal="left"/>
      <protection locked="0"/>
    </xf>
    <xf numFmtId="0" fontId="14" fillId="9" borderId="14" xfId="0" applyFont="1" applyFill="1" applyBorder="1" applyAlignment="1" applyProtection="1">
      <alignment horizontal="left"/>
      <protection locked="0"/>
    </xf>
    <xf numFmtId="0" fontId="14" fillId="0" borderId="6"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7" xfId="0" applyFont="1" applyBorder="1" applyAlignment="1" applyProtection="1">
      <alignment horizontal="center"/>
      <protection locked="0"/>
    </xf>
    <xf numFmtId="0" fontId="14" fillId="0" borderId="16" xfId="0" applyFont="1" applyBorder="1" applyAlignment="1" applyProtection="1">
      <alignment horizontal="center"/>
      <protection locked="0"/>
    </xf>
    <xf numFmtId="0" fontId="14" fillId="0" borderId="0" xfId="0" applyFont="1" applyBorder="1" applyAlignment="1" applyProtection="1">
      <alignment horizontal="center"/>
      <protection locked="0"/>
    </xf>
    <xf numFmtId="0" fontId="14" fillId="0" borderId="17"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2" xfId="0" applyFont="1" applyBorder="1" applyAlignment="1" applyProtection="1">
      <alignment horizontal="center"/>
      <protection locked="0"/>
    </xf>
    <xf numFmtId="0" fontId="14" fillId="0" borderId="14" xfId="0" applyFont="1" applyBorder="1" applyAlignment="1" applyProtection="1">
      <alignment horizontal="center"/>
      <protection locked="0"/>
    </xf>
    <xf numFmtId="1" fontId="7" fillId="0" borderId="8" xfId="0" applyNumberFormat="1" applyFont="1" applyFill="1" applyBorder="1" applyAlignment="1" applyProtection="1">
      <alignment horizontal="center" vertical="center"/>
      <protection locked="0"/>
    </xf>
    <xf numFmtId="1" fontId="7" fillId="0" borderId="15" xfId="0" applyNumberFormat="1" applyFont="1" applyFill="1" applyBorder="1" applyAlignment="1" applyProtection="1">
      <alignment horizontal="center" vertical="center"/>
      <protection locked="0"/>
    </xf>
    <xf numFmtId="1" fontId="7" fillId="0" borderId="18" xfId="0" applyNumberFormat="1" applyFont="1" applyFill="1" applyBorder="1" applyAlignment="1" applyProtection="1">
      <alignment horizontal="center" vertical="center"/>
      <protection locked="0"/>
    </xf>
    <xf numFmtId="10" fontId="7" fillId="0" borderId="8" xfId="5" applyNumberFormat="1" applyFont="1" applyFill="1" applyBorder="1" applyAlignment="1" applyProtection="1">
      <alignment horizontal="center" vertical="center"/>
      <protection locked="0"/>
    </xf>
    <xf numFmtId="10" fontId="7" fillId="0" borderId="15" xfId="5" applyNumberFormat="1" applyFont="1" applyFill="1" applyBorder="1" applyAlignment="1" applyProtection="1">
      <alignment horizontal="center" vertical="center"/>
      <protection locked="0"/>
    </xf>
    <xf numFmtId="10" fontId="7" fillId="0" borderId="18" xfId="5" applyNumberFormat="1" applyFont="1" applyFill="1" applyBorder="1" applyAlignment="1" applyProtection="1">
      <alignment horizontal="center" vertical="center"/>
      <protection locked="0"/>
    </xf>
    <xf numFmtId="3" fontId="7" fillId="5" borderId="8" xfId="0" applyNumberFormat="1" applyFont="1" applyFill="1" applyBorder="1" applyAlignment="1" applyProtection="1">
      <alignment horizontal="right" vertical="center"/>
      <protection locked="0"/>
    </xf>
    <xf numFmtId="3" fontId="7" fillId="5" borderId="15" xfId="0" applyNumberFormat="1" applyFont="1" applyFill="1" applyBorder="1" applyAlignment="1" applyProtection="1">
      <alignment horizontal="right" vertical="center"/>
      <protection locked="0"/>
    </xf>
    <xf numFmtId="3" fontId="7" fillId="5" borderId="18" xfId="0" applyNumberFormat="1" applyFont="1" applyFill="1" applyBorder="1" applyAlignment="1" applyProtection="1">
      <alignment horizontal="right" vertical="center"/>
      <protection locked="0"/>
    </xf>
    <xf numFmtId="0" fontId="7" fillId="0" borderId="8" xfId="0" applyFont="1" applyFill="1" applyBorder="1" applyAlignment="1" applyProtection="1">
      <alignment horizontal="justify" vertical="center" wrapText="1"/>
      <protection locked="0"/>
    </xf>
    <xf numFmtId="0" fontId="7" fillId="0" borderId="15" xfId="0" applyFont="1" applyFill="1" applyBorder="1" applyAlignment="1" applyProtection="1">
      <alignment horizontal="justify" vertical="center" wrapText="1"/>
      <protection locked="0"/>
    </xf>
    <xf numFmtId="0" fontId="7" fillId="0" borderId="18" xfId="0" applyFont="1" applyFill="1" applyBorder="1" applyAlignment="1" applyProtection="1">
      <alignment horizontal="justify" vertical="center" wrapText="1"/>
      <protection locked="0"/>
    </xf>
    <xf numFmtId="185" fontId="7" fillId="0" borderId="8" xfId="0" applyNumberFormat="1" applyFont="1" applyFill="1" applyBorder="1" applyAlignment="1" applyProtection="1">
      <alignment horizontal="center" vertical="center" wrapText="1"/>
      <protection locked="0"/>
    </xf>
    <xf numFmtId="185" fontId="7" fillId="0" borderId="15" xfId="0" applyNumberFormat="1" applyFont="1" applyFill="1" applyBorder="1" applyAlignment="1" applyProtection="1">
      <alignment horizontal="center" vertical="center" wrapText="1"/>
      <protection locked="0"/>
    </xf>
    <xf numFmtId="185" fontId="7" fillId="0" borderId="18" xfId="0" applyNumberFormat="1" applyFont="1" applyFill="1" applyBorder="1" applyAlignment="1" applyProtection="1">
      <alignment horizontal="center" vertical="center" wrapText="1"/>
      <protection locked="0"/>
    </xf>
    <xf numFmtId="0" fontId="7" fillId="5" borderId="15" xfId="0" applyFont="1" applyFill="1" applyBorder="1" applyAlignment="1" applyProtection="1">
      <alignment horizontal="justify" vertical="center"/>
      <protection locked="0"/>
    </xf>
    <xf numFmtId="0" fontId="7" fillId="5" borderId="18" xfId="0" applyFont="1" applyFill="1" applyBorder="1" applyAlignment="1" applyProtection="1">
      <alignment horizontal="justify" vertical="center"/>
      <protection locked="0"/>
    </xf>
    <xf numFmtId="14" fontId="7" fillId="0" borderId="8" xfId="0" applyNumberFormat="1" applyFont="1" applyFill="1" applyBorder="1" applyAlignment="1" applyProtection="1">
      <alignment horizontal="center" vertical="center"/>
      <protection locked="0"/>
    </xf>
    <xf numFmtId="14" fontId="7" fillId="0" borderId="15" xfId="0" applyNumberFormat="1" applyFont="1" applyFill="1" applyBorder="1" applyAlignment="1" applyProtection="1">
      <alignment horizontal="center" vertical="center"/>
      <protection locked="0"/>
    </xf>
    <xf numFmtId="14" fontId="7" fillId="0" borderId="18" xfId="0" applyNumberFormat="1" applyFont="1" applyFill="1" applyBorder="1" applyAlignment="1" applyProtection="1">
      <alignment horizontal="center" vertical="center"/>
      <protection locked="0"/>
    </xf>
    <xf numFmtId="14" fontId="7" fillId="0" borderId="1" xfId="0" applyNumberFormat="1" applyFont="1" applyBorder="1" applyAlignment="1" applyProtection="1">
      <alignment horizontal="center" vertical="center"/>
      <protection locked="0"/>
    </xf>
    <xf numFmtId="0" fontId="7" fillId="0" borderId="7" xfId="0" applyFont="1" applyBorder="1" applyAlignment="1" applyProtection="1">
      <alignment horizontal="justify" vertical="center" wrapText="1"/>
      <protection locked="0"/>
    </xf>
    <xf numFmtId="0" fontId="7" fillId="0" borderId="17" xfId="0" applyFont="1" applyBorder="1" applyAlignment="1" applyProtection="1">
      <alignment horizontal="justify" vertical="center" wrapText="1"/>
      <protection locked="0"/>
    </xf>
    <xf numFmtId="0" fontId="7" fillId="0" borderId="14" xfId="0" applyFont="1" applyBorder="1" applyAlignment="1" applyProtection="1">
      <alignment horizontal="justify" vertical="center" wrapText="1"/>
      <protection locked="0"/>
    </xf>
    <xf numFmtId="9" fontId="7" fillId="5" borderId="1" xfId="5" applyFont="1" applyFill="1" applyBorder="1" applyAlignment="1" applyProtection="1">
      <alignment horizontal="center" vertical="center" wrapText="1"/>
      <protection locked="0"/>
    </xf>
    <xf numFmtId="185" fontId="7" fillId="5" borderId="8" xfId="0" applyNumberFormat="1" applyFont="1" applyFill="1" applyBorder="1" applyAlignment="1" applyProtection="1">
      <alignment horizontal="justify" vertical="center" wrapText="1"/>
      <protection locked="0"/>
    </xf>
    <xf numFmtId="185" fontId="7" fillId="5" borderId="15" xfId="0" applyNumberFormat="1" applyFont="1" applyFill="1" applyBorder="1" applyAlignment="1" applyProtection="1">
      <alignment horizontal="justify" vertical="center" wrapText="1"/>
      <protection locked="0"/>
    </xf>
    <xf numFmtId="185" fontId="7" fillId="5" borderId="18" xfId="0" applyNumberFormat="1" applyFont="1" applyFill="1" applyBorder="1" applyAlignment="1" applyProtection="1">
      <alignment horizontal="justify" vertical="center" wrapText="1"/>
      <protection locked="0"/>
    </xf>
    <xf numFmtId="185" fontId="7" fillId="5" borderId="6" xfId="0" applyNumberFormat="1" applyFont="1" applyFill="1" applyBorder="1" applyAlignment="1" applyProtection="1">
      <alignment horizontal="justify" vertical="center" wrapText="1"/>
      <protection locked="0"/>
    </xf>
    <xf numFmtId="185" fontId="7" fillId="5" borderId="16" xfId="0" applyNumberFormat="1" applyFont="1" applyFill="1" applyBorder="1" applyAlignment="1" applyProtection="1">
      <alignment horizontal="justify" vertical="center" wrapText="1"/>
      <protection locked="0"/>
    </xf>
    <xf numFmtId="185" fontId="7" fillId="5" borderId="13" xfId="0" applyNumberFormat="1" applyFont="1" applyFill="1" applyBorder="1" applyAlignment="1" applyProtection="1">
      <alignment horizontal="justify" vertical="center" wrapText="1"/>
      <protection locked="0"/>
    </xf>
    <xf numFmtId="14" fontId="7" fillId="0" borderId="8" xfId="0" applyNumberFormat="1" applyFont="1" applyBorder="1" applyAlignment="1" applyProtection="1">
      <alignment horizontal="center" vertical="center"/>
      <protection locked="0"/>
    </xf>
    <xf numFmtId="14" fontId="7" fillId="0" borderId="15" xfId="0" applyNumberFormat="1" applyFont="1" applyBorder="1" applyAlignment="1" applyProtection="1">
      <alignment horizontal="center" vertical="center"/>
      <protection locked="0"/>
    </xf>
    <xf numFmtId="14" fontId="7" fillId="0" borderId="18" xfId="0" applyNumberFormat="1" applyFont="1" applyBorder="1" applyAlignment="1" applyProtection="1">
      <alignment horizontal="center" vertical="center"/>
      <protection locked="0"/>
    </xf>
    <xf numFmtId="1" fontId="7" fillId="5" borderId="8" xfId="0" applyNumberFormat="1" applyFont="1" applyFill="1" applyBorder="1" applyAlignment="1" applyProtection="1">
      <alignment horizontal="center" vertical="center"/>
      <protection locked="0"/>
    </xf>
    <xf numFmtId="1" fontId="7" fillId="5" borderId="15" xfId="0" applyNumberFormat="1" applyFont="1" applyFill="1" applyBorder="1" applyAlignment="1" applyProtection="1">
      <alignment horizontal="center" vertical="center"/>
      <protection locked="0"/>
    </xf>
    <xf numFmtId="1" fontId="7" fillId="5" borderId="18" xfId="0" applyNumberFormat="1" applyFont="1" applyFill="1" applyBorder="1" applyAlignment="1" applyProtection="1">
      <alignment horizontal="center" vertical="center"/>
      <protection locked="0"/>
    </xf>
    <xf numFmtId="2" fontId="7" fillId="5" borderId="8" xfId="0" applyNumberFormat="1" applyFont="1" applyFill="1" applyBorder="1" applyAlignment="1" applyProtection="1">
      <alignment horizontal="center" vertical="center"/>
      <protection locked="0"/>
    </xf>
    <xf numFmtId="2" fontId="7" fillId="5" borderId="15" xfId="0" applyNumberFormat="1" applyFont="1" applyFill="1" applyBorder="1" applyAlignment="1" applyProtection="1">
      <alignment horizontal="center" vertical="center"/>
      <protection locked="0"/>
    </xf>
    <xf numFmtId="2" fontId="7" fillId="5" borderId="18" xfId="0" applyNumberFormat="1" applyFont="1" applyFill="1" applyBorder="1" applyAlignment="1" applyProtection="1">
      <alignment horizontal="center" vertical="center"/>
      <protection locked="0"/>
    </xf>
    <xf numFmtId="1" fontId="7" fillId="5" borderId="8" xfId="0" applyNumberFormat="1" applyFont="1" applyFill="1" applyBorder="1" applyAlignment="1" applyProtection="1">
      <alignment horizontal="center" vertical="center" wrapText="1"/>
      <protection locked="0"/>
    </xf>
    <xf numFmtId="1" fontId="7" fillId="5" borderId="15" xfId="0" applyNumberFormat="1" applyFont="1" applyFill="1" applyBorder="1" applyAlignment="1" applyProtection="1">
      <alignment horizontal="center" vertical="center" wrapText="1"/>
      <protection locked="0"/>
    </xf>
    <xf numFmtId="1" fontId="7" fillId="5" borderId="18" xfId="0" applyNumberFormat="1" applyFont="1" applyFill="1" applyBorder="1" applyAlignment="1" applyProtection="1">
      <alignment horizontal="center" vertical="center" wrapText="1"/>
      <protection locked="0"/>
    </xf>
    <xf numFmtId="1" fontId="7" fillId="0" borderId="8" xfId="0" applyNumberFormat="1" applyFont="1" applyFill="1" applyBorder="1" applyAlignment="1" applyProtection="1">
      <alignment horizontal="center" vertical="center" wrapText="1"/>
      <protection locked="0"/>
    </xf>
    <xf numFmtId="1" fontId="7" fillId="0" borderId="15" xfId="0" applyNumberFormat="1" applyFont="1" applyFill="1" applyBorder="1" applyAlignment="1" applyProtection="1">
      <alignment horizontal="center" vertical="center" wrapText="1"/>
      <protection locked="0"/>
    </xf>
    <xf numFmtId="1" fontId="7" fillId="0" borderId="18" xfId="0" applyNumberFormat="1" applyFont="1" applyFill="1" applyBorder="1" applyAlignment="1" applyProtection="1">
      <alignment horizontal="center" vertical="center" wrapText="1"/>
      <protection locked="0"/>
    </xf>
    <xf numFmtId="1" fontId="7" fillId="5" borderId="1" xfId="0" applyNumberFormat="1" applyFont="1" applyFill="1" applyBorder="1" applyAlignment="1" applyProtection="1">
      <alignment horizontal="center" vertical="center" wrapText="1"/>
      <protection locked="0"/>
    </xf>
    <xf numFmtId="9" fontId="7" fillId="5" borderId="8" xfId="5" applyFont="1" applyFill="1" applyBorder="1" applyAlignment="1" applyProtection="1">
      <alignment horizontal="center" vertical="center" wrapText="1"/>
      <protection locked="0"/>
    </xf>
    <xf numFmtId="9" fontId="7" fillId="5" borderId="15" xfId="5" applyFont="1" applyFill="1" applyBorder="1" applyAlignment="1" applyProtection="1">
      <alignment horizontal="center" vertical="center" wrapText="1"/>
      <protection locked="0"/>
    </xf>
    <xf numFmtId="9" fontId="7" fillId="5" borderId="18" xfId="5" applyFont="1" applyFill="1" applyBorder="1" applyAlignment="1" applyProtection="1">
      <alignment horizontal="center" vertical="center" wrapText="1"/>
      <protection locked="0"/>
    </xf>
    <xf numFmtId="175" fontId="7" fillId="0" borderId="8" xfId="0" applyNumberFormat="1" applyFont="1" applyFill="1" applyBorder="1" applyAlignment="1" applyProtection="1">
      <alignment horizontal="justify" vertical="center" wrapText="1"/>
      <protection locked="0"/>
    </xf>
    <xf numFmtId="175" fontId="7" fillId="0" borderId="15" xfId="0" applyNumberFormat="1" applyFont="1" applyFill="1" applyBorder="1" applyAlignment="1" applyProtection="1">
      <alignment horizontal="justify" vertical="center" wrapText="1"/>
      <protection locked="0"/>
    </xf>
    <xf numFmtId="175" fontId="7" fillId="0" borderId="18" xfId="0" applyNumberFormat="1" applyFont="1" applyFill="1" applyBorder="1" applyAlignment="1" applyProtection="1">
      <alignment horizontal="justify" vertical="center" wrapText="1"/>
      <protection locked="0"/>
    </xf>
    <xf numFmtId="14" fontId="7" fillId="0" borderId="1" xfId="0" applyNumberFormat="1" applyFont="1" applyFill="1" applyBorder="1" applyAlignment="1" applyProtection="1">
      <alignment horizontal="center" vertical="center"/>
      <protection locked="0"/>
    </xf>
    <xf numFmtId="186" fontId="7" fillId="5" borderId="8" xfId="0" applyNumberFormat="1" applyFont="1" applyFill="1" applyBorder="1" applyAlignment="1" applyProtection="1">
      <alignment horizontal="center" vertical="center"/>
      <protection locked="0"/>
    </xf>
    <xf numFmtId="186" fontId="7" fillId="5" borderId="15" xfId="0" applyNumberFormat="1" applyFont="1" applyFill="1" applyBorder="1" applyAlignment="1" applyProtection="1">
      <alignment horizontal="center" vertical="center"/>
      <protection locked="0"/>
    </xf>
    <xf numFmtId="186" fontId="7" fillId="5" borderId="18" xfId="0" applyNumberFormat="1" applyFont="1" applyFill="1" applyBorder="1" applyAlignment="1" applyProtection="1">
      <alignment horizontal="center" vertical="center"/>
      <protection locked="0"/>
    </xf>
    <xf numFmtId="9" fontId="7" fillId="0" borderId="1" xfId="5" applyFont="1" applyFill="1" applyBorder="1" applyAlignment="1" applyProtection="1">
      <alignment horizontal="center" vertical="center" wrapText="1"/>
      <protection locked="0"/>
    </xf>
    <xf numFmtId="1" fontId="7" fillId="0" borderId="8" xfId="0" applyNumberFormat="1" applyFont="1" applyFill="1" applyBorder="1" applyAlignment="1" applyProtection="1">
      <alignment horizontal="justify" vertical="center" wrapText="1"/>
      <protection locked="0"/>
    </xf>
    <xf numFmtId="1" fontId="7" fillId="0" borderId="15" xfId="0" applyNumberFormat="1" applyFont="1" applyFill="1" applyBorder="1" applyAlignment="1" applyProtection="1">
      <alignment horizontal="justify" vertical="center" wrapText="1"/>
      <protection locked="0"/>
    </xf>
    <xf numFmtId="1" fontId="7" fillId="0" borderId="18" xfId="0" applyNumberFormat="1" applyFont="1" applyFill="1" applyBorder="1" applyAlignment="1" applyProtection="1">
      <alignment horizontal="justify" vertical="center" wrapText="1"/>
      <protection locked="0"/>
    </xf>
    <xf numFmtId="1" fontId="7" fillId="0" borderId="6" xfId="0" applyNumberFormat="1" applyFont="1" applyFill="1" applyBorder="1" applyAlignment="1" applyProtection="1">
      <alignment horizontal="justify" vertical="center" wrapText="1"/>
      <protection locked="0"/>
    </xf>
    <xf numFmtId="1" fontId="7" fillId="0" borderId="16" xfId="0" applyNumberFormat="1" applyFont="1" applyFill="1" applyBorder="1" applyAlignment="1" applyProtection="1">
      <alignment horizontal="justify" vertical="center" wrapText="1"/>
      <protection locked="0"/>
    </xf>
    <xf numFmtId="1" fontId="7" fillId="0" borderId="13" xfId="0" applyNumberFormat="1" applyFont="1" applyFill="1" applyBorder="1" applyAlignment="1" applyProtection="1">
      <alignment horizontal="justify" vertical="center" wrapText="1"/>
      <protection locked="0"/>
    </xf>
    <xf numFmtId="0" fontId="6" fillId="7" borderId="8" xfId="0" applyFont="1" applyFill="1" applyBorder="1" applyAlignment="1" applyProtection="1">
      <alignment horizontal="center" vertical="center" wrapText="1"/>
      <protection locked="0"/>
    </xf>
    <xf numFmtId="0" fontId="6" fillId="7" borderId="18" xfId="0" applyFont="1" applyFill="1" applyBorder="1" applyAlignment="1" applyProtection="1">
      <alignment horizontal="center" vertical="center" wrapText="1"/>
      <protection locked="0"/>
    </xf>
    <xf numFmtId="9" fontId="7" fillId="0" borderId="8" xfId="5" applyFont="1" applyFill="1" applyBorder="1" applyAlignment="1" applyProtection="1">
      <alignment horizontal="center" vertical="center" wrapText="1"/>
      <protection locked="0"/>
    </xf>
    <xf numFmtId="9" fontId="7" fillId="0" borderId="15" xfId="5" applyFont="1" applyFill="1" applyBorder="1" applyAlignment="1" applyProtection="1">
      <alignment horizontal="center" vertical="center" wrapText="1"/>
      <protection locked="0"/>
    </xf>
    <xf numFmtId="9" fontId="7" fillId="0" borderId="18" xfId="5" applyFont="1" applyFill="1" applyBorder="1" applyAlignment="1" applyProtection="1">
      <alignment horizontal="center" vertical="center" wrapText="1"/>
      <protection locked="0"/>
    </xf>
    <xf numFmtId="175" fontId="6" fillId="0" borderId="3" xfId="0" applyNumberFormat="1" applyFont="1" applyFill="1" applyBorder="1" applyAlignment="1" applyProtection="1">
      <alignment horizontal="center" vertical="center" wrapText="1"/>
      <protection locked="0"/>
    </xf>
    <xf numFmtId="175" fontId="6" fillId="0" borderId="4" xfId="0" applyNumberFormat="1" applyFont="1" applyFill="1" applyBorder="1" applyAlignment="1" applyProtection="1">
      <alignment horizontal="center" vertical="center" wrapText="1"/>
      <protection locked="0"/>
    </xf>
    <xf numFmtId="175" fontId="6" fillId="0" borderId="5" xfId="0" applyNumberFormat="1" applyFont="1" applyFill="1" applyBorder="1" applyAlignment="1" applyProtection="1">
      <alignment horizontal="center" vertical="center" wrapText="1"/>
      <protection locked="0"/>
    </xf>
    <xf numFmtId="0" fontId="6" fillId="12" borderId="3" xfId="0" applyFont="1" applyFill="1" applyBorder="1" applyAlignment="1" applyProtection="1">
      <alignment horizontal="left" vertical="center" wrapText="1"/>
      <protection locked="0"/>
    </xf>
    <xf numFmtId="0" fontId="6" fillId="12" borderId="4" xfId="0" applyFont="1" applyFill="1" applyBorder="1" applyAlignment="1" applyProtection="1">
      <alignment horizontal="left" vertical="center" wrapText="1"/>
      <protection locked="0"/>
    </xf>
    <xf numFmtId="175" fontId="6" fillId="5" borderId="6" xfId="0" applyNumberFormat="1" applyFont="1" applyFill="1" applyBorder="1" applyAlignment="1" applyProtection="1">
      <alignment horizontal="center" vertical="center" wrapText="1"/>
      <protection locked="0"/>
    </xf>
    <xf numFmtId="175" fontId="6" fillId="5" borderId="9" xfId="0" applyNumberFormat="1" applyFont="1" applyFill="1" applyBorder="1" applyAlignment="1" applyProtection="1">
      <alignment horizontal="center" vertical="center" wrapText="1"/>
      <protection locked="0"/>
    </xf>
    <xf numFmtId="175" fontId="6" fillId="5" borderId="7" xfId="0" applyNumberFormat="1" applyFont="1" applyFill="1" applyBorder="1" applyAlignment="1" applyProtection="1">
      <alignment horizontal="center" vertical="center" wrapText="1"/>
      <protection locked="0"/>
    </xf>
    <xf numFmtId="175" fontId="6" fillId="5" borderId="16" xfId="0" applyNumberFormat="1" applyFont="1" applyFill="1" applyBorder="1" applyAlignment="1" applyProtection="1">
      <alignment horizontal="center" vertical="center" wrapText="1"/>
      <protection locked="0"/>
    </xf>
    <xf numFmtId="175" fontId="6" fillId="5" borderId="0" xfId="0" applyNumberFormat="1" applyFont="1" applyFill="1" applyBorder="1" applyAlignment="1" applyProtection="1">
      <alignment horizontal="center" vertical="center" wrapText="1"/>
      <protection locked="0"/>
    </xf>
    <xf numFmtId="175" fontId="6" fillId="5" borderId="17" xfId="0" applyNumberFormat="1" applyFont="1" applyFill="1" applyBorder="1" applyAlignment="1" applyProtection="1">
      <alignment horizontal="center" vertical="center" wrapText="1"/>
      <protection locked="0"/>
    </xf>
    <xf numFmtId="175" fontId="6" fillId="5" borderId="13" xfId="0" applyNumberFormat="1" applyFont="1" applyFill="1" applyBorder="1" applyAlignment="1" applyProtection="1">
      <alignment horizontal="center" vertical="center" wrapText="1"/>
      <protection locked="0"/>
    </xf>
    <xf numFmtId="175" fontId="6" fillId="5" borderId="2" xfId="0" applyNumberFormat="1" applyFont="1" applyFill="1" applyBorder="1" applyAlignment="1" applyProtection="1">
      <alignment horizontal="center" vertical="center" wrapText="1"/>
      <protection locked="0"/>
    </xf>
    <xf numFmtId="175" fontId="6" fillId="5" borderId="14" xfId="0" applyNumberFormat="1" applyFont="1" applyFill="1" applyBorder="1" applyAlignment="1" applyProtection="1">
      <alignment horizontal="center" vertical="center" wrapText="1"/>
      <protection locked="0"/>
    </xf>
    <xf numFmtId="9" fontId="7" fillId="5" borderId="8" xfId="5" applyNumberFormat="1" applyFont="1" applyFill="1" applyBorder="1" applyAlignment="1" applyProtection="1">
      <alignment horizontal="center" vertical="center"/>
      <protection locked="0"/>
    </xf>
    <xf numFmtId="9" fontId="7" fillId="5" borderId="15" xfId="5" applyNumberFormat="1" applyFont="1" applyFill="1" applyBorder="1" applyAlignment="1" applyProtection="1">
      <alignment horizontal="center" vertical="center"/>
      <protection locked="0"/>
    </xf>
    <xf numFmtId="9" fontId="7" fillId="5" borderId="18" xfId="5" applyNumberFormat="1" applyFont="1" applyFill="1" applyBorder="1" applyAlignment="1" applyProtection="1">
      <alignment horizontal="center" vertical="center"/>
      <protection locked="0"/>
    </xf>
    <xf numFmtId="175" fontId="7" fillId="0" borderId="1" xfId="0" applyNumberFormat="1" applyFont="1" applyFill="1" applyBorder="1" applyAlignment="1" applyProtection="1">
      <alignment horizontal="right" vertical="center"/>
      <protection locked="0"/>
    </xf>
    <xf numFmtId="0" fontId="14" fillId="7" borderId="7" xfId="0" applyFont="1" applyFill="1" applyBorder="1" applyAlignment="1" applyProtection="1">
      <alignment horizontal="left"/>
      <protection locked="0"/>
    </xf>
    <xf numFmtId="0" fontId="14" fillId="7" borderId="14" xfId="0" applyFont="1" applyFill="1" applyBorder="1" applyAlignment="1" applyProtection="1">
      <alignment horizontal="left"/>
      <protection locked="0"/>
    </xf>
    <xf numFmtId="175" fontId="7" fillId="0" borderId="8" xfId="0" applyNumberFormat="1" applyFont="1" applyFill="1" applyBorder="1" applyAlignment="1" applyProtection="1">
      <alignment horizontal="center" vertical="center"/>
      <protection locked="0"/>
    </xf>
    <xf numFmtId="175" fontId="7" fillId="0" borderId="15" xfId="0" applyNumberFormat="1" applyFont="1" applyFill="1" applyBorder="1" applyAlignment="1" applyProtection="1">
      <alignment horizontal="center" vertical="center"/>
      <protection locked="0"/>
    </xf>
    <xf numFmtId="175" fontId="7" fillId="0" borderId="18" xfId="0" applyNumberFormat="1" applyFont="1" applyFill="1" applyBorder="1" applyAlignment="1" applyProtection="1">
      <alignment horizontal="center" vertical="center"/>
      <protection locked="0"/>
    </xf>
    <xf numFmtId="0" fontId="7" fillId="0" borderId="5" xfId="0" applyFont="1" applyFill="1" applyBorder="1" applyAlignment="1" applyProtection="1">
      <alignment horizontal="justify" vertical="center" wrapText="1"/>
      <protection locked="0"/>
    </xf>
    <xf numFmtId="9" fontId="7" fillId="0" borderId="1" xfId="5" applyFont="1" applyBorder="1" applyAlignment="1" applyProtection="1">
      <alignment horizontal="center" vertical="center"/>
      <protection locked="0"/>
    </xf>
    <xf numFmtId="175" fontId="7" fillId="0" borderId="8" xfId="0" applyNumberFormat="1" applyFont="1" applyBorder="1" applyAlignment="1" applyProtection="1">
      <alignment horizontal="justify" vertical="center" wrapText="1"/>
      <protection locked="0"/>
    </xf>
    <xf numFmtId="175" fontId="7" fillId="0" borderId="15" xfId="0" applyNumberFormat="1" applyFont="1" applyBorder="1" applyAlignment="1" applyProtection="1">
      <alignment horizontal="justify" vertical="center" wrapText="1"/>
      <protection locked="0"/>
    </xf>
    <xf numFmtId="175" fontId="7" fillId="0" borderId="18" xfId="0" applyNumberFormat="1" applyFont="1" applyBorder="1" applyAlignment="1" applyProtection="1">
      <alignment horizontal="justify" vertical="center" wrapText="1"/>
      <protection locked="0"/>
    </xf>
    <xf numFmtId="175" fontId="7" fillId="0" borderId="6" xfId="0" applyNumberFormat="1" applyFont="1" applyBorder="1" applyAlignment="1" applyProtection="1">
      <alignment horizontal="justify" vertical="center" wrapText="1"/>
      <protection locked="0"/>
    </xf>
    <xf numFmtId="175" fontId="7" fillId="0" borderId="16" xfId="0" applyNumberFormat="1" applyFont="1" applyBorder="1" applyAlignment="1" applyProtection="1">
      <alignment horizontal="justify" vertical="center" wrapText="1"/>
      <protection locked="0"/>
    </xf>
    <xf numFmtId="175" fontId="7" fillId="0" borderId="13" xfId="0" applyNumberFormat="1" applyFont="1" applyBorder="1" applyAlignment="1" applyProtection="1">
      <alignment horizontal="justify" vertical="center" wrapText="1"/>
      <protection locked="0"/>
    </xf>
    <xf numFmtId="9" fontId="7" fillId="0" borderId="8" xfId="5" applyFont="1" applyBorder="1" applyAlignment="1" applyProtection="1">
      <alignment horizontal="center" vertical="center"/>
      <protection locked="0"/>
    </xf>
    <xf numFmtId="9" fontId="7" fillId="0" borderId="18" xfId="5" applyFont="1" applyBorder="1" applyAlignment="1" applyProtection="1">
      <alignment horizontal="center" vertical="center"/>
      <protection locked="0"/>
    </xf>
    <xf numFmtId="175" fontId="7" fillId="0" borderId="8" xfId="0" applyNumberFormat="1" applyFont="1" applyFill="1" applyBorder="1" applyAlignment="1" applyProtection="1">
      <alignment horizontal="center" vertical="center" textRotation="180"/>
      <protection locked="0"/>
    </xf>
    <xf numFmtId="175" fontId="7" fillId="0" borderId="15" xfId="0" applyNumberFormat="1" applyFont="1" applyFill="1" applyBorder="1" applyAlignment="1" applyProtection="1">
      <alignment horizontal="center" vertical="center" textRotation="180"/>
      <protection locked="0"/>
    </xf>
    <xf numFmtId="175" fontId="7" fillId="0" borderId="18" xfId="0" applyNumberFormat="1" applyFont="1" applyFill="1" applyBorder="1" applyAlignment="1" applyProtection="1">
      <alignment horizontal="center" vertical="center" textRotation="180"/>
      <protection locked="0"/>
    </xf>
    <xf numFmtId="0" fontId="7" fillId="0" borderId="17" xfId="0" applyFont="1" applyFill="1" applyBorder="1" applyAlignment="1" applyProtection="1">
      <alignment horizontal="justify" vertical="center" wrapText="1"/>
      <protection locked="0"/>
    </xf>
    <xf numFmtId="175" fontId="7" fillId="0" borderId="1" xfId="0" applyNumberFormat="1" applyFont="1" applyFill="1" applyBorder="1" applyAlignment="1" applyProtection="1">
      <alignment horizontal="center" vertical="center"/>
      <protection locked="0"/>
    </xf>
    <xf numFmtId="175" fontId="7" fillId="0" borderId="1" xfId="0" applyNumberFormat="1" applyFont="1" applyFill="1" applyBorder="1" applyAlignment="1" applyProtection="1">
      <alignment horizontal="center" vertical="center" textRotation="91"/>
      <protection locked="0"/>
    </xf>
    <xf numFmtId="0" fontId="7" fillId="0" borderId="1" xfId="0" applyFont="1" applyFill="1" applyBorder="1" applyAlignment="1" applyProtection="1">
      <alignment horizontal="center" textRotation="91"/>
      <protection locked="0"/>
    </xf>
    <xf numFmtId="0" fontId="14" fillId="0" borderId="15" xfId="0" applyFont="1" applyFill="1" applyBorder="1" applyAlignment="1" applyProtection="1">
      <alignment horizontal="justify" vertical="center"/>
      <protection locked="0"/>
    </xf>
    <xf numFmtId="0" fontId="14" fillId="0" borderId="18" xfId="0" applyFont="1" applyFill="1" applyBorder="1" applyAlignment="1" applyProtection="1">
      <alignment horizontal="justify" vertical="center"/>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4" fillId="0" borderId="1" xfId="0" applyFont="1" applyFill="1" applyBorder="1" applyAlignment="1" applyProtection="1">
      <alignment horizontal="center"/>
      <protection locked="0"/>
    </xf>
    <xf numFmtId="178" fontId="7" fillId="5" borderId="17" xfId="0" applyNumberFormat="1" applyFont="1" applyFill="1" applyBorder="1" applyAlignment="1">
      <alignment horizontal="center" vertical="center" wrapText="1"/>
    </xf>
    <xf numFmtId="178" fontId="7" fillId="5" borderId="14" xfId="0" applyNumberFormat="1" applyFont="1" applyFill="1" applyBorder="1" applyAlignment="1">
      <alignment horizontal="center" vertical="center" wrapText="1"/>
    </xf>
    <xf numFmtId="43" fontId="7" fillId="5" borderId="15" xfId="0" applyNumberFormat="1" applyFont="1" applyFill="1" applyBorder="1" applyAlignment="1">
      <alignment horizontal="center" vertical="center"/>
    </xf>
    <xf numFmtId="43" fontId="7" fillId="5" borderId="18" xfId="0" applyNumberFormat="1" applyFont="1" applyFill="1" applyBorder="1" applyAlignment="1">
      <alignment horizontal="center" vertical="center"/>
    </xf>
    <xf numFmtId="178" fontId="7" fillId="5" borderId="7" xfId="0" applyNumberFormat="1" applyFont="1" applyFill="1" applyBorder="1" applyAlignment="1">
      <alignment horizontal="center" vertical="center" wrapText="1"/>
    </xf>
    <xf numFmtId="0" fontId="7" fillId="5" borderId="7" xfId="0" applyFont="1" applyFill="1" applyBorder="1" applyAlignment="1">
      <alignment horizontal="justify" vertical="center" wrapText="1"/>
    </xf>
    <xf numFmtId="0" fontId="7" fillId="5" borderId="17" xfId="0" applyFont="1" applyFill="1" applyBorder="1" applyAlignment="1">
      <alignment horizontal="justify" vertical="center" wrapText="1"/>
    </xf>
    <xf numFmtId="43" fontId="7" fillId="5" borderId="8" xfId="0" applyNumberFormat="1" applyFont="1" applyFill="1" applyBorder="1" applyAlignment="1">
      <alignment horizontal="center" vertical="center"/>
    </xf>
    <xf numFmtId="0" fontId="7" fillId="5" borderId="14" xfId="0" applyFont="1" applyFill="1" applyBorder="1" applyAlignment="1">
      <alignment horizontal="justify" vertical="center" wrapText="1"/>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9" xfId="0" applyFont="1" applyFill="1" applyBorder="1" applyAlignment="1">
      <alignment horizontal="center" vertical="center"/>
    </xf>
    <xf numFmtId="14" fontId="7" fillId="5" borderId="8" xfId="0" applyNumberFormat="1" applyFont="1" applyFill="1" applyBorder="1" applyAlignment="1">
      <alignment horizontal="center" vertical="center"/>
    </xf>
    <xf numFmtId="14" fontId="7" fillId="5" borderId="15" xfId="0" applyNumberFormat="1" applyFont="1" applyFill="1" applyBorder="1" applyAlignment="1">
      <alignment horizontal="center" vertical="center"/>
    </xf>
    <xf numFmtId="14" fontId="7" fillId="5" borderId="18" xfId="0" applyNumberFormat="1" applyFont="1" applyFill="1" applyBorder="1" applyAlignment="1">
      <alignment horizontal="center" vertical="center"/>
    </xf>
    <xf numFmtId="39" fontId="7" fillId="5" borderId="8" xfId="0" applyNumberFormat="1" applyFont="1" applyFill="1" applyBorder="1" applyAlignment="1" applyProtection="1">
      <alignment horizontal="center" vertical="center" wrapText="1"/>
      <protection locked="0"/>
    </xf>
    <xf numFmtId="39" fontId="7" fillId="5" borderId="15" xfId="0" applyNumberFormat="1" applyFont="1" applyFill="1" applyBorder="1" applyAlignment="1" applyProtection="1">
      <alignment horizontal="center" vertical="center" wrapText="1"/>
      <protection locked="0"/>
    </xf>
    <xf numFmtId="39" fontId="7" fillId="5" borderId="18" xfId="0" applyNumberFormat="1" applyFont="1" applyFill="1" applyBorder="1" applyAlignment="1" applyProtection="1">
      <alignment horizontal="center" vertical="center" wrapText="1"/>
      <protection locked="0"/>
    </xf>
    <xf numFmtId="4" fontId="7" fillId="5" borderId="8" xfId="1" applyNumberFormat="1" applyFont="1" applyFill="1" applyBorder="1" applyAlignment="1">
      <alignment horizontal="center" vertical="center"/>
    </xf>
    <xf numFmtId="4" fontId="7" fillId="5" borderId="15" xfId="1" applyNumberFormat="1" applyFont="1" applyFill="1" applyBorder="1" applyAlignment="1">
      <alignment horizontal="center" vertical="center"/>
    </xf>
    <xf numFmtId="4" fontId="7" fillId="5" borderId="18" xfId="1" applyNumberFormat="1" applyFont="1" applyFill="1" applyBorder="1" applyAlignment="1">
      <alignment horizontal="center" vertical="center"/>
    </xf>
    <xf numFmtId="0" fontId="7" fillId="5" borderId="7" xfId="0" applyFont="1" applyFill="1" applyBorder="1" applyAlignment="1">
      <alignment horizontal="center" vertical="center" wrapText="1"/>
    </xf>
    <xf numFmtId="0" fontId="7" fillId="5" borderId="14" xfId="0" applyFont="1" applyFill="1" applyBorder="1" applyAlignment="1">
      <alignment horizontal="center" vertical="center" wrapText="1"/>
    </xf>
    <xf numFmtId="9" fontId="7" fillId="0" borderId="8" xfId="5" applyNumberFormat="1" applyFont="1" applyFill="1" applyBorder="1" applyAlignment="1">
      <alignment horizontal="center" vertical="center"/>
    </xf>
    <xf numFmtId="9" fontId="7" fillId="0" borderId="15" xfId="5" applyNumberFormat="1" applyFont="1" applyFill="1" applyBorder="1" applyAlignment="1">
      <alignment horizontal="center" vertical="center"/>
    </xf>
    <xf numFmtId="9" fontId="7" fillId="0" borderId="18" xfId="5" applyNumberFormat="1" applyFont="1" applyFill="1" applyBorder="1" applyAlignment="1">
      <alignment horizontal="center" vertical="center"/>
    </xf>
    <xf numFmtId="41" fontId="7" fillId="5" borderId="8" xfId="1" applyFont="1" applyFill="1" applyBorder="1" applyAlignment="1">
      <alignment horizontal="center" vertical="center"/>
    </xf>
    <xf numFmtId="41" fontId="7" fillId="5" borderId="15" xfId="1" applyFont="1" applyFill="1" applyBorder="1" applyAlignment="1">
      <alignment horizontal="center" vertical="center"/>
    </xf>
    <xf numFmtId="41" fontId="7" fillId="5" borderId="18" xfId="1" applyFont="1" applyFill="1" applyBorder="1" applyAlignment="1">
      <alignment horizontal="center" vertical="center"/>
    </xf>
    <xf numFmtId="4" fontId="7" fillId="5" borderId="8" xfId="0" applyNumberFormat="1" applyFont="1" applyFill="1" applyBorder="1" applyAlignment="1">
      <alignment horizontal="center" vertical="center"/>
    </xf>
    <xf numFmtId="4" fontId="7" fillId="5" borderId="18" xfId="0" applyNumberFormat="1" applyFont="1" applyFill="1" applyBorder="1" applyAlignment="1">
      <alignment horizontal="center" vertical="center"/>
    </xf>
    <xf numFmtId="1" fontId="6" fillId="8" borderId="3" xfId="0" applyNumberFormat="1" applyFont="1" applyFill="1" applyBorder="1" applyAlignment="1">
      <alignment horizontal="left" vertical="center"/>
    </xf>
    <xf numFmtId="1" fontId="6" fillId="8" borderId="4" xfId="0" applyNumberFormat="1" applyFont="1" applyFill="1" applyBorder="1" applyAlignment="1">
      <alignment horizontal="left" vertical="center"/>
    </xf>
    <xf numFmtId="1" fontId="6" fillId="9" borderId="6" xfId="0" applyNumberFormat="1" applyFont="1" applyFill="1" applyBorder="1" applyAlignment="1">
      <alignment horizontal="left" vertical="center" wrapText="1"/>
    </xf>
    <xf numFmtId="1" fontId="6" fillId="9" borderId="4" xfId="0" applyNumberFormat="1" applyFont="1" applyFill="1" applyBorder="1" applyAlignment="1">
      <alignment horizontal="left" vertical="center" wrapText="1"/>
    </xf>
    <xf numFmtId="0" fontId="7" fillId="5" borderId="7" xfId="0" applyFont="1" applyFill="1" applyBorder="1" applyAlignment="1">
      <alignment horizontal="center" vertical="center"/>
    </xf>
    <xf numFmtId="0" fontId="7" fillId="5" borderId="14" xfId="0" applyFont="1" applyFill="1" applyBorder="1" applyAlignment="1">
      <alignment horizontal="center" vertical="center"/>
    </xf>
    <xf numFmtId="170" fontId="7" fillId="5" borderId="8" xfId="0" applyNumberFormat="1" applyFont="1" applyFill="1" applyBorder="1" applyAlignment="1">
      <alignment horizontal="center" vertical="center" wrapText="1"/>
    </xf>
    <xf numFmtId="170" fontId="7" fillId="5" borderId="15" xfId="0" applyNumberFormat="1" applyFont="1" applyFill="1" applyBorder="1" applyAlignment="1">
      <alignment horizontal="center" vertical="center" wrapText="1"/>
    </xf>
    <xf numFmtId="170" fontId="7" fillId="5" borderId="18" xfId="0" applyNumberFormat="1" applyFont="1" applyFill="1" applyBorder="1" applyAlignment="1">
      <alignment horizontal="center" vertical="center" wrapText="1"/>
    </xf>
    <xf numFmtId="3" fontId="7" fillId="5" borderId="7" xfId="0" applyNumberFormat="1" applyFont="1" applyFill="1" applyBorder="1" applyAlignment="1">
      <alignment horizontal="center" vertical="center" wrapText="1"/>
    </xf>
    <xf numFmtId="3" fontId="7" fillId="5" borderId="17" xfId="0" applyNumberFormat="1" applyFont="1" applyFill="1" applyBorder="1" applyAlignment="1">
      <alignment horizontal="center" vertical="center" wrapText="1"/>
    </xf>
    <xf numFmtId="3" fontId="7" fillId="5" borderId="14" xfId="0" applyNumberFormat="1" applyFont="1" applyFill="1" applyBorder="1" applyAlignment="1">
      <alignment horizontal="center" vertical="center" wrapText="1"/>
    </xf>
    <xf numFmtId="4" fontId="7" fillId="0" borderId="8" xfId="0" applyNumberFormat="1" applyFont="1" applyFill="1" applyBorder="1" applyAlignment="1" applyProtection="1">
      <alignment horizontal="center" vertical="center" wrapText="1"/>
      <protection locked="0"/>
    </xf>
    <xf numFmtId="4" fontId="7" fillId="0" borderId="15" xfId="0" applyNumberFormat="1" applyFont="1" applyFill="1" applyBorder="1" applyAlignment="1" applyProtection="1">
      <alignment horizontal="center" vertical="center" wrapText="1"/>
      <protection locked="0"/>
    </xf>
    <xf numFmtId="4" fontId="7" fillId="0" borderId="18" xfId="0" applyNumberFormat="1" applyFont="1" applyFill="1" applyBorder="1" applyAlignment="1" applyProtection="1">
      <alignment horizontal="center" vertical="center" wrapText="1"/>
      <protection locked="0"/>
    </xf>
    <xf numFmtId="0" fontId="7" fillId="5" borderId="8" xfId="0" applyNumberFormat="1" applyFont="1" applyFill="1" applyBorder="1" applyAlignment="1">
      <alignment horizontal="justify" vertical="center" wrapText="1"/>
    </xf>
    <xf numFmtId="0" fontId="7" fillId="5" borderId="15" xfId="0" applyNumberFormat="1" applyFont="1" applyFill="1" applyBorder="1" applyAlignment="1">
      <alignment horizontal="justify" vertical="center" wrapText="1"/>
    </xf>
    <xf numFmtId="0" fontId="7" fillId="5" borderId="18" xfId="0" applyNumberFormat="1" applyFont="1" applyFill="1" applyBorder="1" applyAlignment="1">
      <alignment horizontal="justify" vertical="center" wrapText="1"/>
    </xf>
    <xf numFmtId="9" fontId="7" fillId="5" borderId="8" xfId="5" applyNumberFormat="1" applyFont="1" applyFill="1" applyBorder="1" applyAlignment="1">
      <alignment horizontal="center" vertical="center" wrapText="1"/>
    </xf>
    <xf numFmtId="9" fontId="7" fillId="5" borderId="15" xfId="5" applyNumberFormat="1" applyFont="1" applyFill="1" applyBorder="1" applyAlignment="1">
      <alignment horizontal="center" vertical="center" wrapText="1"/>
    </xf>
    <xf numFmtId="9" fontId="7" fillId="5" borderId="18" xfId="5" applyNumberFormat="1" applyFont="1" applyFill="1" applyBorder="1" applyAlignment="1">
      <alignment horizontal="center" vertical="center" wrapText="1"/>
    </xf>
    <xf numFmtId="43" fontId="7" fillId="5" borderId="8" xfId="0" applyNumberFormat="1" applyFont="1" applyFill="1" applyBorder="1" applyAlignment="1">
      <alignment horizontal="center" vertical="center" wrapText="1"/>
    </xf>
    <xf numFmtId="43" fontId="7" fillId="5" borderId="15" xfId="0" applyNumberFormat="1" applyFont="1" applyFill="1" applyBorder="1" applyAlignment="1">
      <alignment horizontal="center" vertical="center" wrapText="1"/>
    </xf>
    <xf numFmtId="43" fontId="7" fillId="5" borderId="18" xfId="0" applyNumberFormat="1" applyFont="1" applyFill="1" applyBorder="1" applyAlignment="1">
      <alignment horizontal="center" vertical="center" wrapText="1"/>
    </xf>
    <xf numFmtId="1" fontId="6" fillId="9" borderId="16" xfId="0" applyNumberFormat="1" applyFont="1" applyFill="1" applyBorder="1" applyAlignment="1">
      <alignment horizontal="center" vertical="center" wrapText="1"/>
    </xf>
    <xf numFmtId="1" fontId="6" fillId="9" borderId="4" xfId="0" applyNumberFormat="1" applyFont="1" applyFill="1" applyBorder="1" applyAlignment="1">
      <alignment horizontal="center" vertical="center" wrapText="1"/>
    </xf>
    <xf numFmtId="43" fontId="7" fillId="5" borderId="8" xfId="4" applyNumberFormat="1" applyFont="1" applyFill="1" applyBorder="1" applyAlignment="1">
      <alignment horizontal="center" vertical="center"/>
    </xf>
    <xf numFmtId="43" fontId="7" fillId="5" borderId="18" xfId="4" applyNumberFormat="1" applyFont="1" applyFill="1" applyBorder="1" applyAlignment="1">
      <alignment horizontal="center" vertical="center"/>
    </xf>
    <xf numFmtId="0" fontId="6" fillId="3" borderId="1" xfId="0" applyFont="1" applyFill="1" applyBorder="1" applyAlignment="1">
      <alignment horizontal="justify" vertical="center" wrapText="1"/>
    </xf>
    <xf numFmtId="9" fontId="6" fillId="3" borderId="1" xfId="5" applyNumberFormat="1" applyFont="1" applyFill="1" applyBorder="1" applyAlignment="1">
      <alignment horizontal="center" vertical="center" wrapText="1"/>
    </xf>
    <xf numFmtId="43" fontId="6" fillId="3" borderId="1" xfId="0" applyNumberFormat="1" applyFont="1" applyFill="1" applyBorder="1" applyAlignment="1">
      <alignment horizontal="center" vertical="center" wrapText="1"/>
    </xf>
    <xf numFmtId="0" fontId="6" fillId="21" borderId="6" xfId="0" applyFont="1" applyFill="1" applyBorder="1" applyAlignment="1">
      <alignment horizontal="left" vertical="center" wrapText="1"/>
    </xf>
    <xf numFmtId="0" fontId="6" fillId="21" borderId="9" xfId="0" applyFont="1" applyFill="1" applyBorder="1" applyAlignment="1">
      <alignment horizontal="left" vertical="center" wrapText="1"/>
    </xf>
    <xf numFmtId="0" fontId="6" fillId="21" borderId="5" xfId="0" applyFont="1" applyFill="1" applyBorder="1" applyAlignment="1">
      <alignment horizontal="left" vertical="center" wrapText="1"/>
    </xf>
    <xf numFmtId="1" fontId="6" fillId="9" borderId="9" xfId="0" applyNumberFormat="1" applyFont="1" applyFill="1" applyBorder="1" applyAlignment="1">
      <alignment horizontal="center" vertical="center" wrapText="1"/>
    </xf>
    <xf numFmtId="43" fontId="7" fillId="5" borderId="8" xfId="21" applyNumberFormat="1" applyFont="1" applyFill="1" applyBorder="1" applyAlignment="1">
      <alignment horizontal="center" vertical="center" wrapText="1"/>
    </xf>
    <xf numFmtId="43" fontId="7" fillId="5" borderId="15" xfId="21" applyNumberFormat="1" applyFont="1" applyFill="1" applyBorder="1" applyAlignment="1">
      <alignment horizontal="center" vertical="center" wrapText="1"/>
    </xf>
    <xf numFmtId="43" fontId="7" fillId="5" borderId="18" xfId="21" applyNumberFormat="1" applyFont="1" applyFill="1" applyBorder="1" applyAlignment="1">
      <alignment horizontal="center" vertical="center" wrapText="1"/>
    </xf>
    <xf numFmtId="1" fontId="6" fillId="3" borderId="3" xfId="0" applyNumberFormat="1" applyFont="1" applyFill="1" applyBorder="1" applyAlignment="1">
      <alignment horizontal="center" vertical="center" wrapText="1"/>
    </xf>
    <xf numFmtId="1" fontId="6" fillId="3" borderId="5" xfId="0" applyNumberFormat="1" applyFont="1" applyFill="1" applyBorder="1" applyAlignment="1">
      <alignment horizontal="center" vertical="center" wrapText="1"/>
    </xf>
    <xf numFmtId="1" fontId="6" fillId="3" borderId="3" xfId="0" applyNumberFormat="1" applyFont="1" applyFill="1" applyBorder="1" applyAlignment="1">
      <alignment horizontal="center" vertical="center"/>
    </xf>
    <xf numFmtId="1" fontId="6" fillId="3" borderId="4" xfId="0" applyNumberFormat="1" applyFont="1" applyFill="1" applyBorder="1" applyAlignment="1">
      <alignment horizontal="center" vertical="center"/>
    </xf>
    <xf numFmtId="1" fontId="6" fillId="3" borderId="5" xfId="0" applyNumberFormat="1" applyFont="1" applyFill="1" applyBorder="1" applyAlignment="1">
      <alignment horizontal="center" vertical="center"/>
    </xf>
    <xf numFmtId="4" fontId="6" fillId="4" borderId="1" xfId="0" applyNumberFormat="1" applyFont="1" applyFill="1" applyBorder="1" applyAlignment="1">
      <alignment horizontal="center" vertical="center" wrapText="1"/>
    </xf>
    <xf numFmtId="9" fontId="6" fillId="4" borderId="1" xfId="5" applyFont="1" applyFill="1" applyBorder="1" applyAlignment="1">
      <alignment horizontal="center" vertical="center" wrapText="1"/>
    </xf>
    <xf numFmtId="0" fontId="6" fillId="13" borderId="9" xfId="0" applyFont="1" applyFill="1" applyBorder="1" applyAlignment="1">
      <alignment horizontal="center" vertical="center"/>
    </xf>
    <xf numFmtId="0" fontId="6" fillId="13" borderId="7" xfId="0" applyFont="1" applyFill="1" applyBorder="1" applyAlignment="1">
      <alignment horizontal="center" vertical="center"/>
    </xf>
    <xf numFmtId="0" fontId="6" fillId="13" borderId="0" xfId="0" applyFont="1" applyFill="1" applyBorder="1" applyAlignment="1">
      <alignment horizontal="center" vertical="center"/>
    </xf>
    <xf numFmtId="0" fontId="6" fillId="13" borderId="17" xfId="0" applyFont="1" applyFill="1" applyBorder="1" applyAlignment="1">
      <alignment horizontal="center" vertical="center"/>
    </xf>
    <xf numFmtId="0" fontId="6" fillId="5" borderId="0" xfId="0" applyFont="1" applyFill="1" applyBorder="1" applyAlignment="1">
      <alignment horizontal="center" vertical="justify" wrapText="1"/>
    </xf>
    <xf numFmtId="0" fontId="6" fillId="5" borderId="17" xfId="0" applyFont="1" applyFill="1" applyBorder="1" applyAlignment="1">
      <alignment horizontal="center" vertical="justify" wrapText="1"/>
    </xf>
    <xf numFmtId="0" fontId="6" fillId="5" borderId="2" xfId="0" applyFont="1" applyFill="1" applyBorder="1" applyAlignment="1">
      <alignment horizontal="center" vertical="justify" wrapText="1"/>
    </xf>
    <xf numFmtId="0" fontId="6" fillId="5" borderId="14" xfId="0" applyFont="1" applyFill="1" applyBorder="1" applyAlignment="1">
      <alignment horizontal="center" vertical="justify" wrapText="1"/>
    </xf>
    <xf numFmtId="0" fontId="6" fillId="13" borderId="6" xfId="0" applyFont="1" applyFill="1" applyBorder="1" applyAlignment="1">
      <alignment horizontal="center" vertical="center"/>
    </xf>
    <xf numFmtId="0" fontId="6" fillId="13" borderId="13" xfId="0" applyFont="1" applyFill="1" applyBorder="1" applyAlignment="1">
      <alignment horizontal="center" vertical="center"/>
    </xf>
    <xf numFmtId="0" fontId="6" fillId="13" borderId="2" xfId="0" applyFont="1" applyFill="1" applyBorder="1" applyAlignment="1">
      <alignment horizontal="center" vertical="center"/>
    </xf>
    <xf numFmtId="0" fontId="6" fillId="13" borderId="14" xfId="0" applyFont="1" applyFill="1" applyBorder="1" applyAlignment="1">
      <alignment horizontal="center" vertical="center"/>
    </xf>
    <xf numFmtId="0" fontId="6" fillId="13" borderId="1" xfId="0" applyFont="1" applyFill="1" applyBorder="1" applyAlignment="1">
      <alignment horizontal="center" vertical="center" wrapText="1"/>
    </xf>
    <xf numFmtId="0" fontId="6" fillId="13" borderId="8" xfId="0" applyFont="1" applyFill="1" applyBorder="1" applyAlignment="1">
      <alignment horizontal="center" vertical="center" wrapText="1"/>
    </xf>
    <xf numFmtId="0" fontId="6" fillId="13" borderId="6" xfId="0" applyFont="1" applyFill="1" applyBorder="1" applyAlignment="1">
      <alignment horizontal="center" vertical="center" wrapText="1"/>
    </xf>
    <xf numFmtId="0" fontId="6" fillId="13" borderId="7" xfId="0" applyFont="1" applyFill="1" applyBorder="1" applyAlignment="1">
      <alignment horizontal="center" vertical="center" wrapText="1"/>
    </xf>
    <xf numFmtId="0" fontId="6" fillId="13" borderId="13" xfId="0" applyFont="1" applyFill="1" applyBorder="1" applyAlignment="1">
      <alignment horizontal="center" vertical="center" wrapText="1"/>
    </xf>
    <xf numFmtId="0" fontId="6" fillId="13" borderId="14" xfId="0" applyFont="1" applyFill="1" applyBorder="1" applyAlignment="1">
      <alignment horizontal="center" vertical="center" wrapText="1"/>
    </xf>
    <xf numFmtId="0" fontId="6" fillId="13" borderId="15" xfId="0" applyFont="1" applyFill="1" applyBorder="1" applyAlignment="1">
      <alignment horizontal="center" vertical="center" wrapText="1"/>
    </xf>
    <xf numFmtId="170" fontId="6" fillId="13" borderId="6" xfId="0" applyNumberFormat="1" applyFont="1" applyFill="1" applyBorder="1" applyAlignment="1">
      <alignment horizontal="center" vertical="center" wrapText="1"/>
    </xf>
    <xf numFmtId="170" fontId="6" fillId="13" borderId="7" xfId="0" applyNumberFormat="1" applyFont="1" applyFill="1" applyBorder="1" applyAlignment="1">
      <alignment horizontal="center" vertical="center" wrapText="1"/>
    </xf>
    <xf numFmtId="170" fontId="6" fillId="13" borderId="13" xfId="0" applyNumberFormat="1" applyFont="1" applyFill="1" applyBorder="1" applyAlignment="1">
      <alignment horizontal="center" vertical="center" wrapText="1"/>
    </xf>
    <xf numFmtId="170" fontId="6" fillId="13" borderId="14" xfId="0" applyNumberFormat="1" applyFont="1" applyFill="1" applyBorder="1" applyAlignment="1">
      <alignment horizontal="center" vertical="center" wrapText="1"/>
    </xf>
    <xf numFmtId="170" fontId="6" fillId="13" borderId="8" xfId="0" applyNumberFormat="1" applyFont="1" applyFill="1" applyBorder="1" applyAlignment="1">
      <alignment horizontal="center" vertical="center" wrapText="1"/>
    </xf>
    <xf numFmtId="170" fontId="6" fillId="13" borderId="18" xfId="0" applyNumberFormat="1" applyFont="1" applyFill="1" applyBorder="1" applyAlignment="1">
      <alignment horizontal="center" vertical="center" wrapText="1"/>
    </xf>
    <xf numFmtId="170" fontId="6" fillId="13" borderId="3" xfId="0" applyNumberFormat="1" applyFont="1" applyFill="1" applyBorder="1" applyAlignment="1">
      <alignment horizontal="center" vertical="center" wrapText="1"/>
    </xf>
    <xf numFmtId="170" fontId="6" fillId="13" borderId="5" xfId="0" applyNumberFormat="1" applyFont="1" applyFill="1" applyBorder="1" applyAlignment="1">
      <alignment horizontal="center" vertical="center" wrapText="1"/>
    </xf>
    <xf numFmtId="0" fontId="6" fillId="13" borderId="3" xfId="0" applyFont="1" applyFill="1" applyBorder="1" applyAlignment="1">
      <alignment horizontal="center" vertical="center"/>
    </xf>
    <xf numFmtId="0" fontId="6" fillId="13" borderId="4" xfId="0" applyFont="1" applyFill="1" applyBorder="1" applyAlignment="1">
      <alignment horizontal="center" vertical="center"/>
    </xf>
    <xf numFmtId="0" fontId="6" fillId="13" borderId="5" xfId="0" applyFont="1" applyFill="1" applyBorder="1" applyAlignment="1">
      <alignment horizontal="center" vertical="center"/>
    </xf>
    <xf numFmtId="169" fontId="6" fillId="13" borderId="10" xfId="2" applyFont="1" applyFill="1" applyBorder="1" applyAlignment="1">
      <alignment horizontal="center" vertical="center"/>
    </xf>
    <xf numFmtId="169" fontId="6" fillId="13" borderId="11" xfId="2" applyFont="1" applyFill="1" applyBorder="1" applyAlignment="1">
      <alignment horizontal="center" vertical="center"/>
    </xf>
    <xf numFmtId="169" fontId="6" fillId="13" borderId="12" xfId="2" applyFont="1" applyFill="1" applyBorder="1" applyAlignment="1">
      <alignment horizontal="center" vertical="center"/>
    </xf>
    <xf numFmtId="0" fontId="6" fillId="13" borderId="8" xfId="0" applyFont="1" applyFill="1" applyBorder="1" applyAlignment="1">
      <alignment horizontal="justify" vertical="center" wrapText="1"/>
    </xf>
    <xf numFmtId="0" fontId="6" fillId="13" borderId="15" xfId="0" applyFont="1" applyFill="1" applyBorder="1" applyAlignment="1">
      <alignment horizontal="justify" vertical="center" wrapText="1"/>
    </xf>
    <xf numFmtId="43" fontId="6" fillId="13" borderId="1" xfId="0" applyNumberFormat="1" applyFont="1" applyFill="1" applyBorder="1" applyAlignment="1">
      <alignment horizontal="center" vertical="center" wrapText="1"/>
    </xf>
    <xf numFmtId="43" fontId="6" fillId="13" borderId="8" xfId="0" applyNumberFormat="1" applyFont="1" applyFill="1" applyBorder="1" applyAlignment="1">
      <alignment horizontal="center" vertical="center" wrapText="1"/>
    </xf>
    <xf numFmtId="43" fontId="6" fillId="13" borderId="1" xfId="0" applyNumberFormat="1" applyFont="1" applyFill="1" applyBorder="1" applyAlignment="1">
      <alignment vertical="center" wrapText="1"/>
    </xf>
    <xf numFmtId="43" fontId="6" fillId="13" borderId="8" xfId="0" applyNumberFormat="1" applyFont="1" applyFill="1" applyBorder="1" applyAlignment="1">
      <alignment vertical="center" wrapText="1"/>
    </xf>
    <xf numFmtId="9" fontId="6" fillId="13" borderId="1" xfId="3" applyFont="1" applyFill="1" applyBorder="1" applyAlignment="1">
      <alignment horizontal="center" vertical="center" wrapText="1"/>
    </xf>
    <xf numFmtId="9" fontId="6" fillId="13" borderId="8" xfId="3" applyFont="1" applyFill="1" applyBorder="1" applyAlignment="1">
      <alignment horizontal="center" vertical="center" wrapText="1"/>
    </xf>
    <xf numFmtId="0" fontId="6" fillId="13" borderId="1" xfId="0" applyFont="1" applyFill="1" applyBorder="1" applyAlignment="1">
      <alignment horizontal="justify" vertical="center" wrapText="1"/>
    </xf>
    <xf numFmtId="0" fontId="7" fillId="5" borderId="6" xfId="0" applyFont="1" applyFill="1" applyBorder="1" applyAlignment="1">
      <alignment horizontal="center" vertical="center" wrapText="1"/>
    </xf>
    <xf numFmtId="0" fontId="6" fillId="13" borderId="9" xfId="0" applyFont="1" applyFill="1" applyBorder="1" applyAlignment="1">
      <alignment horizontal="center" vertical="center" wrapText="1"/>
    </xf>
    <xf numFmtId="0" fontId="6" fillId="13" borderId="16" xfId="0" applyFont="1" applyFill="1" applyBorder="1" applyAlignment="1">
      <alignment horizontal="center" vertical="center" wrapText="1"/>
    </xf>
    <xf numFmtId="0" fontId="6" fillId="13" borderId="0" xfId="0" applyFont="1" applyFill="1" applyBorder="1" applyAlignment="1">
      <alignment horizontal="center" vertical="center" wrapText="1"/>
    </xf>
    <xf numFmtId="0" fontId="6" fillId="13" borderId="17" xfId="0" applyFont="1" applyFill="1" applyBorder="1" applyAlignment="1">
      <alignment horizontal="center" vertical="center" wrapText="1"/>
    </xf>
    <xf numFmtId="1" fontId="7" fillId="5" borderId="8" xfId="7" applyNumberFormat="1" applyFont="1" applyFill="1" applyBorder="1" applyAlignment="1">
      <alignment horizontal="center" vertical="center"/>
    </xf>
    <xf numFmtId="1" fontId="7" fillId="5" borderId="15" xfId="7" applyNumberFormat="1" applyFont="1" applyFill="1" applyBorder="1" applyAlignment="1">
      <alignment horizontal="center" vertical="center"/>
    </xf>
    <xf numFmtId="1" fontId="7" fillId="5" borderId="18" xfId="7" applyNumberFormat="1" applyFont="1" applyFill="1" applyBorder="1" applyAlignment="1">
      <alignment horizontal="center" vertical="center"/>
    </xf>
    <xf numFmtId="175" fontId="7" fillId="5" borderId="8" xfId="9" applyNumberFormat="1" applyFont="1" applyFill="1" applyBorder="1" applyAlignment="1">
      <alignment horizontal="center" vertical="center" wrapText="1"/>
    </xf>
    <xf numFmtId="175" fontId="7" fillId="5" borderId="15" xfId="9" applyNumberFormat="1" applyFont="1" applyFill="1" applyBorder="1" applyAlignment="1">
      <alignment horizontal="center" vertical="center" wrapText="1"/>
    </xf>
    <xf numFmtId="175" fontId="7" fillId="5" borderId="16" xfId="9" applyNumberFormat="1" applyFont="1" applyFill="1" applyBorder="1" applyAlignment="1">
      <alignment horizontal="center" vertical="center" wrapText="1"/>
    </xf>
    <xf numFmtId="175" fontId="7" fillId="5" borderId="6" xfId="9" applyNumberFormat="1" applyFont="1" applyFill="1" applyBorder="1" applyAlignment="1">
      <alignment horizontal="center" vertical="center" wrapText="1"/>
    </xf>
    <xf numFmtId="43" fontId="7" fillId="5" borderId="8" xfId="7" applyNumberFormat="1" applyFont="1" applyFill="1" applyBorder="1" applyAlignment="1">
      <alignment horizontal="center" vertical="center"/>
    </xf>
    <xf numFmtId="43" fontId="7" fillId="5" borderId="18" xfId="7" applyNumberFormat="1" applyFont="1" applyFill="1" applyBorder="1" applyAlignment="1">
      <alignment horizontal="center" vertical="center"/>
    </xf>
    <xf numFmtId="43" fontId="7" fillId="5" borderId="6" xfId="0" applyNumberFormat="1" applyFont="1" applyFill="1" applyBorder="1" applyAlignment="1">
      <alignment horizontal="center" vertical="center" wrapText="1"/>
    </xf>
    <xf numFmtId="43" fontId="7" fillId="5" borderId="13" xfId="0" applyNumberFormat="1" applyFont="1" applyFill="1" applyBorder="1" applyAlignment="1">
      <alignment horizontal="center" vertical="center" wrapText="1"/>
    </xf>
    <xf numFmtId="43" fontId="7" fillId="5" borderId="8" xfId="7" applyNumberFormat="1" applyFont="1" applyFill="1" applyBorder="1" applyAlignment="1">
      <alignment vertical="center"/>
    </xf>
    <xf numFmtId="43" fontId="7" fillId="5" borderId="18" xfId="7" applyNumberFormat="1" applyFont="1" applyFill="1" applyBorder="1" applyAlignment="1">
      <alignment vertical="center"/>
    </xf>
    <xf numFmtId="1" fontId="7" fillId="5" borderId="6" xfId="7" applyNumberFormat="1" applyFont="1" applyFill="1" applyBorder="1" applyAlignment="1">
      <alignment horizontal="center" vertical="center"/>
    </xf>
    <xf numFmtId="1" fontId="7" fillId="5" borderId="16" xfId="7" applyNumberFormat="1" applyFont="1" applyFill="1" applyBorder="1" applyAlignment="1">
      <alignment horizontal="center" vertical="center"/>
    </xf>
    <xf numFmtId="1" fontId="7" fillId="5" borderId="13" xfId="7" applyNumberFormat="1" applyFont="1" applyFill="1" applyBorder="1" applyAlignment="1">
      <alignment horizontal="center" vertical="center"/>
    </xf>
    <xf numFmtId="43" fontId="7" fillId="5" borderId="8" xfId="0" applyNumberFormat="1" applyFont="1" applyFill="1" applyBorder="1" applyAlignment="1">
      <alignment vertical="center"/>
    </xf>
    <xf numFmtId="43" fontId="7" fillId="5" borderId="18" xfId="0" applyNumberFormat="1" applyFont="1" applyFill="1" applyBorder="1" applyAlignment="1">
      <alignment vertical="center"/>
    </xf>
    <xf numFmtId="10" fontId="7" fillId="5" borderId="8" xfId="5" applyNumberFormat="1" applyFont="1" applyFill="1" applyBorder="1" applyAlignment="1">
      <alignment horizontal="center" vertical="center"/>
    </xf>
    <xf numFmtId="10" fontId="7" fillId="5" borderId="18" xfId="5" applyNumberFormat="1" applyFont="1" applyFill="1" applyBorder="1" applyAlignment="1">
      <alignment horizontal="center" vertical="center"/>
    </xf>
    <xf numFmtId="0" fontId="7" fillId="5" borderId="8" xfId="0" applyFont="1" applyFill="1" applyBorder="1" applyAlignment="1">
      <alignment horizontal="justify"/>
    </xf>
    <xf numFmtId="0" fontId="7" fillId="5" borderId="18" xfId="0" applyFont="1" applyFill="1" applyBorder="1" applyAlignment="1">
      <alignment horizontal="justify"/>
    </xf>
    <xf numFmtId="14" fontId="7" fillId="5" borderId="1" xfId="0" applyNumberFormat="1" applyFont="1" applyFill="1" applyBorder="1" applyAlignment="1">
      <alignment horizontal="center" vertical="center"/>
    </xf>
    <xf numFmtId="0" fontId="7" fillId="5" borderId="13" xfId="0" applyFont="1" applyFill="1" applyBorder="1" applyAlignment="1">
      <alignment horizontal="center" vertical="center" wrapText="1"/>
    </xf>
    <xf numFmtId="43" fontId="7" fillId="0" borderId="8" xfId="0" applyNumberFormat="1" applyFont="1" applyBorder="1" applyAlignment="1">
      <alignment vertical="center"/>
    </xf>
    <xf numFmtId="43" fontId="7" fillId="0" borderId="18" xfId="0" applyNumberFormat="1" applyFont="1" applyBorder="1" applyAlignment="1">
      <alignment vertical="center"/>
    </xf>
    <xf numFmtId="43" fontId="7" fillId="0" borderId="8" xfId="0" applyNumberFormat="1" applyFont="1" applyBorder="1" applyAlignment="1">
      <alignment horizontal="center" vertical="center"/>
    </xf>
    <xf numFmtId="43" fontId="7" fillId="0" borderId="18" xfId="0" applyNumberFormat="1" applyFont="1" applyBorder="1" applyAlignment="1">
      <alignment horizontal="center" vertical="center"/>
    </xf>
    <xf numFmtId="0" fontId="7" fillId="0" borderId="8" xfId="0" applyFont="1" applyBorder="1" applyAlignment="1">
      <alignment horizontal="center"/>
    </xf>
    <xf numFmtId="0" fontId="7" fillId="0" borderId="15" xfId="0" applyFont="1" applyBorder="1" applyAlignment="1">
      <alignment horizontal="center"/>
    </xf>
    <xf numFmtId="0" fontId="7" fillId="0" borderId="8" xfId="0" applyFont="1" applyBorder="1" applyAlignment="1">
      <alignment horizontal="justify" vertical="center"/>
    </xf>
    <xf numFmtId="0" fontId="7" fillId="0" borderId="18" xfId="0" applyFont="1" applyBorder="1" applyAlignment="1">
      <alignment horizontal="justify" vertical="center"/>
    </xf>
    <xf numFmtId="0" fontId="7" fillId="0" borderId="8" xfId="0" applyFont="1" applyBorder="1" applyAlignment="1">
      <alignment horizontal="justify"/>
    </xf>
    <xf numFmtId="0" fontId="7" fillId="0" borderId="18" xfId="0" applyFont="1" applyBorder="1" applyAlignment="1">
      <alignment horizontal="justify"/>
    </xf>
    <xf numFmtId="1" fontId="7" fillId="5" borderId="8" xfId="9" applyNumberFormat="1" applyFont="1" applyFill="1" applyBorder="1" applyAlignment="1">
      <alignment horizontal="center" vertical="center" wrapText="1"/>
    </xf>
    <xf numFmtId="1" fontId="7" fillId="5" borderId="15" xfId="9" applyNumberFormat="1" applyFont="1" applyFill="1" applyBorder="1" applyAlignment="1">
      <alignment horizontal="center" vertical="center" wrapText="1"/>
    </xf>
    <xf numFmtId="0" fontId="7" fillId="0" borderId="15" xfId="0" applyFont="1" applyBorder="1" applyAlignment="1">
      <alignment horizontal="justify" vertical="center"/>
    </xf>
    <xf numFmtId="0" fontId="7" fillId="0" borderId="15" xfId="0" applyFont="1" applyBorder="1" applyAlignment="1">
      <alignment horizontal="justify"/>
    </xf>
    <xf numFmtId="43" fontId="7" fillId="0" borderId="15" xfId="0" applyNumberFormat="1" applyFont="1" applyBorder="1" applyAlignment="1">
      <alignment horizontal="center" vertical="center"/>
    </xf>
    <xf numFmtId="43" fontId="7" fillId="0" borderId="15" xfId="0" applyNumberFormat="1" applyFont="1" applyBorder="1" applyAlignment="1">
      <alignment vertical="center"/>
    </xf>
    <xf numFmtId="175" fontId="7" fillId="5" borderId="13" xfId="9" applyNumberFormat="1" applyFont="1" applyFill="1" applyBorder="1" applyAlignment="1">
      <alignment horizontal="center" vertical="center" wrapText="1"/>
    </xf>
    <xf numFmtId="175" fontId="7" fillId="5" borderId="18" xfId="9" applyNumberFormat="1" applyFont="1" applyFill="1" applyBorder="1" applyAlignment="1">
      <alignment horizontal="center" vertical="center" wrapText="1"/>
    </xf>
    <xf numFmtId="0" fontId="7" fillId="5" borderId="6" xfId="0" applyFont="1" applyFill="1" applyBorder="1" applyAlignment="1">
      <alignment horizontal="justify" vertical="center" wrapText="1"/>
    </xf>
    <xf numFmtId="0" fontId="7" fillId="5" borderId="16" xfId="0" applyFont="1" applyFill="1" applyBorder="1" applyAlignment="1">
      <alignment horizontal="justify" vertical="center" wrapText="1"/>
    </xf>
    <xf numFmtId="0" fontId="7" fillId="5" borderId="13" xfId="0" applyFont="1" applyFill="1" applyBorder="1" applyAlignment="1">
      <alignment horizontal="justify" vertical="center" wrapText="1"/>
    </xf>
    <xf numFmtId="0" fontId="7" fillId="11" borderId="1" xfId="0" applyFont="1" applyFill="1" applyBorder="1" applyAlignment="1">
      <alignment horizontal="justify" vertical="center" wrapText="1"/>
    </xf>
    <xf numFmtId="43" fontId="7" fillId="5" borderId="9" xfId="0" applyNumberFormat="1" applyFont="1" applyFill="1" applyBorder="1" applyAlignment="1">
      <alignment horizontal="center" vertical="center" wrapText="1"/>
    </xf>
    <xf numFmtId="43" fontId="7" fillId="5" borderId="0" xfId="0" applyNumberFormat="1" applyFont="1" applyFill="1" applyBorder="1" applyAlignment="1">
      <alignment horizontal="center" vertical="center" wrapText="1"/>
    </xf>
    <xf numFmtId="43" fontId="7" fillId="5" borderId="2" xfId="0" applyNumberFormat="1" applyFont="1" applyFill="1" applyBorder="1" applyAlignment="1">
      <alignment horizontal="center" vertical="center" wrapText="1"/>
    </xf>
    <xf numFmtId="43" fontId="7" fillId="0" borderId="8" xfId="7" applyNumberFormat="1" applyFont="1" applyBorder="1" applyAlignment="1">
      <alignment vertical="center"/>
    </xf>
    <xf numFmtId="43" fontId="7" fillId="0" borderId="15" xfId="7" applyNumberFormat="1" applyFont="1" applyBorder="1" applyAlignment="1">
      <alignment vertical="center"/>
    </xf>
    <xf numFmtId="43" fontId="7" fillId="0" borderId="18" xfId="7" applyNumberFormat="1" applyFont="1" applyBorder="1" applyAlignment="1">
      <alignment vertical="center"/>
    </xf>
    <xf numFmtId="14" fontId="7" fillId="0" borderId="1" xfId="0" applyNumberFormat="1" applyFont="1" applyBorder="1" applyAlignment="1">
      <alignment horizontal="center" vertical="center"/>
    </xf>
    <xf numFmtId="43" fontId="7" fillId="5" borderId="15" xfId="7" applyNumberFormat="1" applyFont="1" applyFill="1" applyBorder="1" applyAlignment="1">
      <alignment horizontal="center" vertical="center"/>
    </xf>
    <xf numFmtId="43" fontId="7" fillId="5" borderId="1" xfId="0" applyNumberFormat="1" applyFont="1" applyFill="1" applyBorder="1" applyAlignment="1">
      <alignment vertical="center"/>
    </xf>
    <xf numFmtId="10" fontId="7" fillId="0" borderId="1" xfId="5" applyNumberFormat="1" applyFont="1" applyBorder="1" applyAlignment="1">
      <alignment horizontal="center" vertical="center"/>
    </xf>
    <xf numFmtId="0" fontId="7" fillId="0" borderId="1" xfId="0" applyFont="1" applyBorder="1" applyAlignment="1">
      <alignment horizontal="justify" vertical="center"/>
    </xf>
    <xf numFmtId="178" fontId="3" fillId="5" borderId="1" xfId="0" applyNumberFormat="1" applyFont="1" applyFill="1" applyBorder="1" applyAlignment="1">
      <alignment horizontal="center" vertical="center" wrapText="1"/>
    </xf>
    <xf numFmtId="178" fontId="3" fillId="5" borderId="1" xfId="0" applyNumberFormat="1" applyFont="1" applyFill="1" applyBorder="1" applyAlignment="1">
      <alignment horizontal="center" vertical="center"/>
    </xf>
    <xf numFmtId="10" fontId="3" fillId="5"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wrapText="1"/>
    </xf>
    <xf numFmtId="14" fontId="3" fillId="5" borderId="1" xfId="0" applyNumberFormat="1" applyFont="1" applyFill="1" applyBorder="1" applyAlignment="1">
      <alignment horizontal="center" vertical="center"/>
    </xf>
    <xf numFmtId="0" fontId="3" fillId="5" borderId="1" xfId="0" applyNumberFormat="1" applyFont="1" applyFill="1" applyBorder="1" applyAlignment="1">
      <alignment horizontal="center" vertical="center"/>
    </xf>
    <xf numFmtId="178" fontId="3" fillId="5" borderId="8" xfId="0" applyNumberFormat="1" applyFont="1" applyFill="1" applyBorder="1" applyAlignment="1">
      <alignment horizontal="center" vertical="center"/>
    </xf>
    <xf numFmtId="178" fontId="3" fillId="5" borderId="15" xfId="0" applyNumberFormat="1" applyFont="1" applyFill="1" applyBorder="1" applyAlignment="1">
      <alignment horizontal="center" vertical="center"/>
    </xf>
    <xf numFmtId="178" fontId="3" fillId="5" borderId="18" xfId="0" applyNumberFormat="1" applyFont="1" applyFill="1" applyBorder="1" applyAlignment="1">
      <alignment horizontal="center" vertical="center"/>
    </xf>
    <xf numFmtId="1" fontId="3" fillId="5" borderId="6" xfId="0" applyNumberFormat="1" applyFont="1" applyFill="1" applyBorder="1" applyAlignment="1">
      <alignment horizontal="center" vertical="center"/>
    </xf>
    <xf numFmtId="1" fontId="3" fillId="5" borderId="16" xfId="0" applyNumberFormat="1" applyFont="1" applyFill="1" applyBorder="1" applyAlignment="1">
      <alignment horizontal="center" vertical="center"/>
    </xf>
    <xf numFmtId="1" fontId="3" fillId="5" borderId="13" xfId="0" applyNumberFormat="1" applyFont="1" applyFill="1" applyBorder="1" applyAlignment="1">
      <alignment horizontal="center" vertical="center"/>
    </xf>
    <xf numFmtId="0" fontId="3" fillId="5" borderId="1" xfId="0" applyFont="1" applyFill="1" applyBorder="1" applyAlignment="1">
      <alignment horizontal="center" vertical="center"/>
    </xf>
    <xf numFmtId="1" fontId="4" fillId="0" borderId="9" xfId="0" applyNumberFormat="1" applyFont="1" applyFill="1" applyBorder="1" applyAlignment="1">
      <alignment horizontal="justify" vertical="center"/>
    </xf>
    <xf numFmtId="1" fontId="4" fillId="0" borderId="0" xfId="0" applyNumberFormat="1" applyFont="1" applyFill="1" applyBorder="1" applyAlignment="1">
      <alignment horizontal="justify" vertical="center"/>
    </xf>
    <xf numFmtId="1" fontId="4" fillId="0" borderId="2" xfId="0" applyNumberFormat="1" applyFont="1" applyFill="1" applyBorder="1" applyAlignment="1">
      <alignment horizontal="justify" vertical="center"/>
    </xf>
    <xf numFmtId="0" fontId="4" fillId="10" borderId="3" xfId="0" applyFont="1" applyFill="1" applyBorder="1" applyAlignment="1">
      <alignment horizontal="left" vertical="center"/>
    </xf>
    <xf numFmtId="0" fontId="4" fillId="10" borderId="4" xfId="0" applyFont="1" applyFill="1" applyBorder="1" applyAlignment="1">
      <alignment horizontal="left" vertical="center"/>
    </xf>
    <xf numFmtId="0" fontId="4" fillId="5" borderId="6" xfId="0" applyFont="1" applyFill="1" applyBorder="1" applyAlignment="1">
      <alignment horizontal="justify" vertical="center"/>
    </xf>
    <xf numFmtId="0" fontId="4" fillId="5" borderId="9" xfId="0" applyFont="1" applyFill="1" applyBorder="1" applyAlignment="1">
      <alignment horizontal="justify" vertical="center"/>
    </xf>
    <xf numFmtId="0" fontId="4" fillId="5" borderId="7" xfId="0" applyFont="1" applyFill="1" applyBorder="1" applyAlignment="1">
      <alignment horizontal="justify" vertical="center"/>
    </xf>
    <xf numFmtId="0" fontId="4" fillId="5" borderId="13" xfId="0" applyFont="1" applyFill="1" applyBorder="1" applyAlignment="1">
      <alignment horizontal="justify" vertical="center"/>
    </xf>
    <xf numFmtId="0" fontId="4" fillId="5" borderId="2" xfId="0" applyFont="1" applyFill="1" applyBorder="1" applyAlignment="1">
      <alignment horizontal="justify" vertical="center"/>
    </xf>
    <xf numFmtId="0" fontId="4" fillId="5" borderId="14" xfId="0" applyFont="1" applyFill="1" applyBorder="1" applyAlignment="1">
      <alignment horizontal="justify" vertical="center"/>
    </xf>
    <xf numFmtId="0" fontId="4" fillId="9" borderId="4" xfId="0" applyFont="1" applyFill="1" applyBorder="1" applyAlignment="1">
      <alignment horizontal="justify" vertical="center"/>
    </xf>
    <xf numFmtId="0" fontId="4" fillId="5" borderId="0" xfId="0" applyFont="1" applyFill="1" applyBorder="1" applyAlignment="1">
      <alignment horizontal="justify" vertical="center"/>
    </xf>
    <xf numFmtId="0" fontId="4" fillId="5" borderId="17" xfId="0" applyFont="1" applyFill="1" applyBorder="1" applyAlignment="1">
      <alignment horizontal="justify" vertical="center"/>
    </xf>
    <xf numFmtId="0" fontId="4" fillId="9" borderId="4" xfId="0" applyFont="1" applyFill="1" applyBorder="1" applyAlignment="1">
      <alignment horizontal="left" vertical="center"/>
    </xf>
    <xf numFmtId="0" fontId="3" fillId="5" borderId="8" xfId="0" applyFont="1" applyFill="1" applyBorder="1" applyAlignment="1">
      <alignment horizontal="justify" vertical="center"/>
    </xf>
    <xf numFmtId="0" fontId="3" fillId="5" borderId="18" xfId="0" applyFont="1" applyFill="1" applyBorder="1" applyAlignment="1">
      <alignment horizontal="justify" vertical="center"/>
    </xf>
    <xf numFmtId="0" fontId="3" fillId="5" borderId="8"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15" xfId="0" applyFont="1" applyFill="1" applyBorder="1" applyAlignment="1">
      <alignment horizontal="justify" vertical="center"/>
    </xf>
    <xf numFmtId="0" fontId="3" fillId="5" borderId="15" xfId="0" applyFont="1" applyFill="1" applyBorder="1" applyAlignment="1">
      <alignment horizontal="center" vertical="center"/>
    </xf>
    <xf numFmtId="0" fontId="3" fillId="5" borderId="8" xfId="0" applyNumberFormat="1" applyFont="1" applyFill="1" applyBorder="1" applyAlignment="1">
      <alignment horizontal="center" vertical="center"/>
    </xf>
    <xf numFmtId="0" fontId="3" fillId="5" borderId="15" xfId="0" applyNumberFormat="1" applyFont="1" applyFill="1" applyBorder="1" applyAlignment="1">
      <alignment horizontal="center" vertical="center"/>
    </xf>
    <xf numFmtId="0" fontId="3" fillId="5" borderId="18" xfId="0" applyNumberFormat="1" applyFont="1" applyFill="1" applyBorder="1" applyAlignment="1">
      <alignment horizontal="center" vertical="center"/>
    </xf>
    <xf numFmtId="0" fontId="3" fillId="5" borderId="1" xfId="0" applyFont="1" applyFill="1" applyBorder="1" applyAlignment="1">
      <alignment horizontal="justify" vertical="center"/>
    </xf>
    <xf numFmtId="165" fontId="3" fillId="5" borderId="1" xfId="20" applyFont="1" applyFill="1" applyBorder="1" applyAlignment="1">
      <alignment horizontal="center" vertical="center"/>
    </xf>
    <xf numFmtId="182" fontId="3" fillId="5" borderId="1" xfId="0" applyNumberFormat="1" applyFont="1" applyFill="1" applyBorder="1" applyAlignment="1">
      <alignment horizontal="center" vertical="center"/>
    </xf>
    <xf numFmtId="178" fontId="3" fillId="5" borderId="6" xfId="0" applyNumberFormat="1" applyFont="1" applyFill="1" applyBorder="1" applyAlignment="1">
      <alignment horizontal="center" vertical="center"/>
    </xf>
    <xf numFmtId="178" fontId="3" fillId="5" borderId="16" xfId="0" applyNumberFormat="1" applyFont="1" applyFill="1" applyBorder="1" applyAlignment="1">
      <alignment horizontal="center" vertical="center"/>
    </xf>
    <xf numFmtId="178" fontId="3" fillId="5" borderId="13" xfId="0" applyNumberFormat="1" applyFont="1" applyFill="1" applyBorder="1" applyAlignment="1">
      <alignment horizontal="center" vertical="center"/>
    </xf>
    <xf numFmtId="0" fontId="3" fillId="5" borderId="6" xfId="0" applyFont="1" applyFill="1" applyBorder="1" applyAlignment="1">
      <alignment horizontal="justify"/>
    </xf>
    <xf numFmtId="0" fontId="3" fillId="5" borderId="9" xfId="0" applyFont="1" applyFill="1" applyBorder="1" applyAlignment="1">
      <alignment horizontal="justify"/>
    </xf>
    <xf numFmtId="0" fontId="3" fillId="5" borderId="7" xfId="0" applyFont="1" applyFill="1" applyBorder="1" applyAlignment="1">
      <alignment horizontal="justify"/>
    </xf>
    <xf numFmtId="0" fontId="3" fillId="5" borderId="16" xfId="0" applyFont="1" applyFill="1" applyBorder="1" applyAlignment="1">
      <alignment horizontal="justify"/>
    </xf>
    <xf numFmtId="0" fontId="3" fillId="5" borderId="0" xfId="0" applyFont="1" applyFill="1" applyBorder="1" applyAlignment="1">
      <alignment horizontal="justify"/>
    </xf>
    <xf numFmtId="0" fontId="3" fillId="5" borderId="17" xfId="0" applyFont="1" applyFill="1" applyBorder="1" applyAlignment="1">
      <alignment horizontal="justify"/>
    </xf>
    <xf numFmtId="0" fontId="3" fillId="5" borderId="13" xfId="0" applyFont="1" applyFill="1" applyBorder="1" applyAlignment="1">
      <alignment horizontal="justify"/>
    </xf>
    <xf numFmtId="0" fontId="3" fillId="5" borderId="2" xfId="0" applyFont="1" applyFill="1" applyBorder="1" applyAlignment="1">
      <alignment horizontal="justify"/>
    </xf>
    <xf numFmtId="0" fontId="3" fillId="5" borderId="14" xfId="0" applyFont="1" applyFill="1" applyBorder="1" applyAlignment="1">
      <alignment horizontal="justify"/>
    </xf>
    <xf numFmtId="165" fontId="3" fillId="5" borderId="8" xfId="20" applyFont="1" applyFill="1" applyBorder="1" applyAlignment="1">
      <alignment horizontal="center" vertical="center"/>
    </xf>
    <xf numFmtId="165" fontId="3" fillId="5" borderId="18" xfId="20" applyFont="1" applyFill="1" applyBorder="1" applyAlignment="1">
      <alignment horizontal="center" vertical="center"/>
    </xf>
    <xf numFmtId="14" fontId="3" fillId="5" borderId="8" xfId="0" applyNumberFormat="1" applyFont="1" applyFill="1" applyBorder="1" applyAlignment="1">
      <alignment horizontal="center" vertical="center"/>
    </xf>
    <xf numFmtId="14" fontId="3" fillId="5" borderId="18" xfId="0" applyNumberFormat="1" applyFont="1" applyFill="1" applyBorder="1" applyAlignment="1">
      <alignment horizontal="center" vertical="center"/>
    </xf>
    <xf numFmtId="10" fontId="3" fillId="5" borderId="8" xfId="0" applyNumberFormat="1" applyFont="1" applyFill="1" applyBorder="1" applyAlignment="1">
      <alignment horizontal="center" vertical="center"/>
    </xf>
    <xf numFmtId="10" fontId="3" fillId="5" borderId="18" xfId="0" applyNumberFormat="1" applyFont="1" applyFill="1" applyBorder="1" applyAlignment="1">
      <alignment horizontal="center" vertical="center"/>
    </xf>
    <xf numFmtId="182" fontId="3" fillId="5" borderId="8" xfId="0" applyNumberFormat="1" applyFont="1" applyFill="1" applyBorder="1" applyAlignment="1">
      <alignment horizontal="center" vertical="center"/>
    </xf>
    <xf numFmtId="182" fontId="3" fillId="5" borderId="18" xfId="0" applyNumberFormat="1" applyFont="1" applyFill="1" applyBorder="1" applyAlignment="1">
      <alignment horizontal="center" vertical="center"/>
    </xf>
    <xf numFmtId="1" fontId="3" fillId="5" borderId="8" xfId="0" applyNumberFormat="1" applyFont="1" applyFill="1" applyBorder="1" applyAlignment="1">
      <alignment horizontal="center" vertical="center"/>
    </xf>
    <xf numFmtId="1" fontId="3" fillId="5" borderId="18" xfId="0" applyNumberFormat="1" applyFont="1" applyFill="1" applyBorder="1" applyAlignment="1">
      <alignment horizontal="center" vertical="center"/>
    </xf>
    <xf numFmtId="165" fontId="3" fillId="0" borderId="8" xfId="20" applyFont="1" applyFill="1" applyBorder="1" applyAlignment="1">
      <alignment horizontal="center" vertical="center"/>
    </xf>
    <xf numFmtId="165" fontId="3" fillId="0" borderId="18" xfId="20" applyFont="1" applyFill="1" applyBorder="1" applyAlignment="1">
      <alignment horizontal="center" vertical="center"/>
    </xf>
    <xf numFmtId="165" fontId="3" fillId="0" borderId="15" xfId="20" applyFont="1" applyFill="1" applyBorder="1" applyAlignment="1">
      <alignment horizontal="center" vertical="center"/>
    </xf>
    <xf numFmtId="0" fontId="4" fillId="5" borderId="16" xfId="0" applyFont="1" applyFill="1" applyBorder="1" applyAlignment="1">
      <alignment horizontal="justify" vertical="center"/>
    </xf>
    <xf numFmtId="0" fontId="3" fillId="5" borderId="6" xfId="0" applyFont="1" applyFill="1" applyBorder="1" applyAlignment="1">
      <alignment horizontal="center"/>
    </xf>
    <xf numFmtId="0" fontId="3" fillId="5" borderId="9" xfId="0" applyFont="1" applyFill="1" applyBorder="1" applyAlignment="1">
      <alignment horizontal="center"/>
    </xf>
    <xf numFmtId="0" fontId="3" fillId="5" borderId="7" xfId="0" applyFont="1" applyFill="1" applyBorder="1" applyAlignment="1">
      <alignment horizontal="center"/>
    </xf>
    <xf numFmtId="0" fontId="3" fillId="5" borderId="16" xfId="0" applyFont="1" applyFill="1" applyBorder="1" applyAlignment="1">
      <alignment horizontal="center"/>
    </xf>
    <xf numFmtId="0" fontId="3" fillId="5" borderId="0" xfId="0" applyFont="1" applyFill="1" applyBorder="1" applyAlignment="1">
      <alignment horizontal="center"/>
    </xf>
    <xf numFmtId="0" fontId="3" fillId="5" borderId="17" xfId="0" applyFont="1" applyFill="1" applyBorder="1" applyAlignment="1">
      <alignment horizontal="center"/>
    </xf>
    <xf numFmtId="0" fontId="3" fillId="5" borderId="13" xfId="0" applyFont="1" applyFill="1" applyBorder="1" applyAlignment="1">
      <alignment horizontal="center"/>
    </xf>
    <xf numFmtId="0" fontId="3" fillId="5" borderId="2" xfId="0" applyFont="1" applyFill="1" applyBorder="1" applyAlignment="1">
      <alignment horizontal="center"/>
    </xf>
    <xf numFmtId="0" fontId="3" fillId="5" borderId="14" xfId="0" applyFont="1" applyFill="1" applyBorder="1" applyAlignment="1">
      <alignment horizontal="center"/>
    </xf>
    <xf numFmtId="10" fontId="3" fillId="5" borderId="15" xfId="0" applyNumberFormat="1" applyFont="1" applyFill="1" applyBorder="1" applyAlignment="1">
      <alignment horizontal="center" vertical="center"/>
    </xf>
    <xf numFmtId="201" fontId="3" fillId="5" borderId="8" xfId="20" applyNumberFormat="1" applyFont="1" applyFill="1" applyBorder="1" applyAlignment="1">
      <alignment horizontal="center" vertical="center"/>
    </xf>
    <xf numFmtId="201" fontId="3" fillId="5" borderId="15" xfId="20" applyNumberFormat="1" applyFont="1" applyFill="1" applyBorder="1" applyAlignment="1">
      <alignment horizontal="center" vertical="center"/>
    </xf>
    <xf numFmtId="201" fontId="3" fillId="5" borderId="18" xfId="20" applyNumberFormat="1" applyFont="1" applyFill="1" applyBorder="1" applyAlignment="1">
      <alignment horizontal="center" vertical="center"/>
    </xf>
    <xf numFmtId="165" fontId="3" fillId="5" borderId="15" xfId="20" applyFont="1" applyFill="1" applyBorder="1" applyAlignment="1">
      <alignment horizontal="center" vertical="center"/>
    </xf>
    <xf numFmtId="2" fontId="3" fillId="5" borderId="8" xfId="0" applyNumberFormat="1" applyFont="1" applyFill="1" applyBorder="1" applyAlignment="1">
      <alignment horizontal="center" vertical="center"/>
    </xf>
    <xf numFmtId="2" fontId="3" fillId="5" borderId="15" xfId="0" applyNumberFormat="1" applyFont="1" applyFill="1" applyBorder="1" applyAlignment="1">
      <alignment horizontal="center" vertical="center"/>
    </xf>
    <xf numFmtId="2" fontId="3" fillId="5" borderId="18" xfId="0" applyNumberFormat="1" applyFont="1" applyFill="1" applyBorder="1" applyAlignment="1">
      <alignment horizontal="center" vertical="center"/>
    </xf>
    <xf numFmtId="1" fontId="3" fillId="5" borderId="15" xfId="0" applyNumberFormat="1" applyFont="1" applyFill="1" applyBorder="1" applyAlignment="1">
      <alignment horizontal="center" vertical="center"/>
    </xf>
    <xf numFmtId="0" fontId="3" fillId="0" borderId="8" xfId="0" applyFont="1" applyBorder="1" applyAlignment="1">
      <alignment horizontal="justify" vertical="center"/>
    </xf>
    <xf numFmtId="0" fontId="3" fillId="0" borderId="18" xfId="0" applyFont="1" applyBorder="1" applyAlignment="1">
      <alignment horizontal="justify" vertical="center"/>
    </xf>
    <xf numFmtId="1" fontId="4" fillId="0" borderId="9" xfId="0" applyNumberFormat="1" applyFont="1" applyFill="1" applyBorder="1" applyAlignment="1">
      <alignment horizontal="center" vertical="center"/>
    </xf>
    <xf numFmtId="1" fontId="4" fillId="0" borderId="7" xfId="0" applyNumberFormat="1" applyFont="1" applyFill="1" applyBorder="1" applyAlignment="1">
      <alignment horizontal="center" vertical="center"/>
    </xf>
    <xf numFmtId="1" fontId="4" fillId="0" borderId="0" xfId="0" applyNumberFormat="1" applyFont="1" applyFill="1" applyBorder="1" applyAlignment="1">
      <alignment horizontal="center" vertical="center"/>
    </xf>
    <xf numFmtId="1" fontId="4" fillId="0" borderId="17" xfId="0" applyNumberFormat="1" applyFont="1" applyFill="1" applyBorder="1" applyAlignment="1">
      <alignment horizontal="center" vertical="center"/>
    </xf>
    <xf numFmtId="1" fontId="4" fillId="0" borderId="2" xfId="0" applyNumberFormat="1" applyFont="1" applyFill="1" applyBorder="1" applyAlignment="1">
      <alignment horizontal="center" vertical="center"/>
    </xf>
    <xf numFmtId="1" fontId="4" fillId="0" borderId="14" xfId="0" applyNumberFormat="1" applyFont="1" applyFill="1" applyBorder="1" applyAlignment="1">
      <alignment horizontal="center" vertical="center"/>
    </xf>
    <xf numFmtId="0" fontId="4" fillId="5" borderId="6"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16"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17"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14" xfId="0" applyFont="1" applyFill="1" applyBorder="1" applyAlignment="1">
      <alignment horizontal="center" vertical="center"/>
    </xf>
    <xf numFmtId="0" fontId="3" fillId="0" borderId="8"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xf>
    <xf numFmtId="0" fontId="3" fillId="0" borderId="18" xfId="0" applyNumberFormat="1" applyFont="1" applyFill="1" applyBorder="1" applyAlignment="1">
      <alignment horizontal="center" vertical="center"/>
    </xf>
    <xf numFmtId="178" fontId="3" fillId="0" borderId="8" xfId="0" applyNumberFormat="1" applyFont="1" applyFill="1" applyBorder="1" applyAlignment="1">
      <alignment horizontal="center" vertical="center"/>
    </xf>
    <xf numFmtId="178" fontId="3" fillId="0" borderId="18" xfId="0" applyNumberFormat="1" applyFont="1" applyFill="1" applyBorder="1" applyAlignment="1">
      <alignment horizontal="center" vertical="center"/>
    </xf>
    <xf numFmtId="10" fontId="3" fillId="0" borderId="8" xfId="0" applyNumberFormat="1" applyFont="1" applyFill="1" applyBorder="1" applyAlignment="1">
      <alignment horizontal="center" vertical="center"/>
    </xf>
    <xf numFmtId="10" fontId="3" fillId="0" borderId="18" xfId="0" applyNumberFormat="1" applyFont="1" applyFill="1" applyBorder="1" applyAlignment="1">
      <alignment horizontal="center" vertical="center"/>
    </xf>
    <xf numFmtId="0" fontId="3" fillId="0" borderId="8"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8" xfId="0" applyFont="1" applyFill="1" applyBorder="1" applyAlignment="1">
      <alignment horizontal="justify" vertical="center"/>
    </xf>
    <xf numFmtId="0" fontId="3" fillId="0" borderId="18" xfId="0" applyFont="1" applyFill="1" applyBorder="1" applyAlignment="1">
      <alignment horizontal="justify" vertical="center"/>
    </xf>
    <xf numFmtId="165" fontId="3" fillId="0" borderId="1" xfId="20" applyFont="1" applyFill="1" applyBorder="1" applyAlignment="1">
      <alignment horizontal="center" vertical="center"/>
    </xf>
    <xf numFmtId="182" fontId="3" fillId="0" borderId="8" xfId="0" applyNumberFormat="1" applyFont="1" applyFill="1" applyBorder="1" applyAlignment="1">
      <alignment horizontal="center" vertical="center"/>
    </xf>
    <xf numFmtId="182" fontId="3" fillId="0" borderId="18" xfId="0" applyNumberFormat="1" applyFont="1" applyFill="1" applyBorder="1" applyAlignment="1">
      <alignment horizontal="center" vertical="center"/>
    </xf>
    <xf numFmtId="1" fontId="3" fillId="0" borderId="8" xfId="0" applyNumberFormat="1" applyFont="1" applyFill="1" applyBorder="1" applyAlignment="1">
      <alignment horizontal="center" vertical="center"/>
    </xf>
    <xf numFmtId="1" fontId="3" fillId="0" borderId="18" xfId="0" applyNumberFormat="1" applyFont="1" applyFill="1" applyBorder="1" applyAlignment="1">
      <alignment horizontal="center" vertical="center"/>
    </xf>
    <xf numFmtId="178" fontId="3" fillId="0" borderId="15" xfId="0" applyNumberFormat="1" applyFont="1" applyFill="1" applyBorder="1" applyAlignment="1">
      <alignment horizontal="center" vertical="center"/>
    </xf>
    <xf numFmtId="0" fontId="3" fillId="0" borderId="8"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8" xfId="0" applyFont="1" applyFill="1" applyBorder="1" applyAlignment="1">
      <alignment horizontal="justify" vertical="center" wrapText="1"/>
    </xf>
    <xf numFmtId="0" fontId="3" fillId="0" borderId="18" xfId="0" applyFont="1" applyFill="1" applyBorder="1" applyAlignment="1">
      <alignment horizontal="justify" vertical="center" wrapText="1"/>
    </xf>
    <xf numFmtId="0" fontId="3" fillId="0" borderId="15" xfId="0" applyFont="1" applyFill="1" applyBorder="1" applyAlignment="1">
      <alignment horizontal="justify" vertical="center"/>
    </xf>
    <xf numFmtId="0" fontId="3" fillId="0" borderId="15" xfId="0" applyFont="1" applyFill="1" applyBorder="1" applyAlignment="1">
      <alignment horizontal="center" vertical="center"/>
    </xf>
    <xf numFmtId="14" fontId="3" fillId="0" borderId="8" xfId="0" applyNumberFormat="1" applyFont="1" applyFill="1" applyBorder="1" applyAlignment="1">
      <alignment horizontal="center" vertical="center"/>
    </xf>
    <xf numFmtId="14" fontId="3" fillId="0" borderId="18" xfId="0" applyNumberFormat="1" applyFont="1" applyFill="1" applyBorder="1" applyAlignment="1">
      <alignment horizontal="center" vertical="center"/>
    </xf>
    <xf numFmtId="10" fontId="3" fillId="0" borderId="6" xfId="0" applyNumberFormat="1" applyFont="1" applyFill="1" applyBorder="1" applyAlignment="1">
      <alignment horizontal="center" vertical="center"/>
    </xf>
    <xf numFmtId="10" fontId="3" fillId="0" borderId="13" xfId="0" applyNumberFormat="1" applyFont="1" applyFill="1" applyBorder="1" applyAlignment="1">
      <alignment horizontal="center" vertical="center"/>
    </xf>
    <xf numFmtId="10" fontId="3" fillId="0" borderId="15" xfId="0" applyNumberFormat="1" applyFont="1" applyFill="1" applyBorder="1" applyAlignment="1">
      <alignment horizontal="center" vertical="center"/>
    </xf>
    <xf numFmtId="14" fontId="3" fillId="5" borderId="8" xfId="0" applyNumberFormat="1" applyFont="1" applyFill="1" applyBorder="1" applyAlignment="1">
      <alignment horizontal="center" vertical="center" wrapText="1"/>
    </xf>
    <xf numFmtId="178" fontId="3" fillId="5" borderId="15" xfId="0" applyNumberFormat="1" applyFont="1" applyFill="1" applyBorder="1" applyAlignment="1">
      <alignment horizontal="center" vertical="center" wrapText="1"/>
    </xf>
    <xf numFmtId="0" fontId="3" fillId="0" borderId="6" xfId="0" applyFont="1" applyFill="1" applyBorder="1" applyAlignment="1">
      <alignment horizontal="justify"/>
    </xf>
    <xf numFmtId="0" fontId="3" fillId="0" borderId="9" xfId="0" applyFont="1" applyFill="1" applyBorder="1" applyAlignment="1">
      <alignment horizontal="justify"/>
    </xf>
    <xf numFmtId="0" fontId="3" fillId="0" borderId="7" xfId="0" applyFont="1" applyFill="1" applyBorder="1" applyAlignment="1">
      <alignment horizontal="justify"/>
    </xf>
    <xf numFmtId="0" fontId="3" fillId="0" borderId="16" xfId="0" applyFont="1" applyFill="1" applyBorder="1" applyAlignment="1">
      <alignment horizontal="justify"/>
    </xf>
    <xf numFmtId="0" fontId="3" fillId="0" borderId="0" xfId="0" applyFont="1" applyFill="1" applyBorder="1" applyAlignment="1">
      <alignment horizontal="justify"/>
    </xf>
    <xf numFmtId="0" fontId="3" fillId="0" borderId="17" xfId="0" applyFont="1" applyFill="1" applyBorder="1" applyAlignment="1">
      <alignment horizontal="justify"/>
    </xf>
    <xf numFmtId="0" fontId="3" fillId="0" borderId="13" xfId="0" applyFont="1" applyFill="1" applyBorder="1" applyAlignment="1">
      <alignment horizontal="justify"/>
    </xf>
    <xf numFmtId="0" fontId="3" fillId="0" borderId="2" xfId="0" applyFont="1" applyFill="1" applyBorder="1" applyAlignment="1">
      <alignment horizontal="justify"/>
    </xf>
    <xf numFmtId="0" fontId="3" fillId="0" borderId="14" xfId="0" applyFont="1" applyFill="1" applyBorder="1" applyAlignment="1">
      <alignment horizontal="justify"/>
    </xf>
    <xf numFmtId="0" fontId="4" fillId="0" borderId="6" xfId="0" applyFont="1" applyFill="1" applyBorder="1" applyAlignment="1">
      <alignment horizontal="justify" vertical="center"/>
    </xf>
    <xf numFmtId="0" fontId="4" fillId="0" borderId="9" xfId="0" applyFont="1" applyFill="1" applyBorder="1" applyAlignment="1">
      <alignment horizontal="justify" vertical="center"/>
    </xf>
    <xf numFmtId="0" fontId="4" fillId="0" borderId="7" xfId="0" applyFont="1" applyFill="1" applyBorder="1" applyAlignment="1">
      <alignment horizontal="justify" vertical="center"/>
    </xf>
    <xf numFmtId="0" fontId="4" fillId="0" borderId="16" xfId="0" applyFont="1" applyFill="1" applyBorder="1" applyAlignment="1">
      <alignment horizontal="justify" vertical="center"/>
    </xf>
    <xf numFmtId="0" fontId="4" fillId="0" borderId="0" xfId="0" applyFont="1" applyFill="1" applyBorder="1" applyAlignment="1">
      <alignment horizontal="justify" vertical="center"/>
    </xf>
    <xf numFmtId="0" fontId="4" fillId="0" borderId="17" xfId="0" applyFont="1" applyFill="1" applyBorder="1" applyAlignment="1">
      <alignment horizontal="justify" vertical="center"/>
    </xf>
    <xf numFmtId="0" fontId="4" fillId="0" borderId="13" xfId="0" applyFont="1" applyFill="1" applyBorder="1" applyAlignment="1">
      <alignment horizontal="justify" vertical="center"/>
    </xf>
    <xf numFmtId="0" fontId="4" fillId="0" borderId="2" xfId="0" applyFont="1" applyFill="1" applyBorder="1" applyAlignment="1">
      <alignment horizontal="justify" vertical="center"/>
    </xf>
    <xf numFmtId="0" fontId="4" fillId="0" borderId="14" xfId="0" applyFont="1" applyFill="1" applyBorder="1" applyAlignment="1">
      <alignment horizontal="justify" vertical="center"/>
    </xf>
    <xf numFmtId="1" fontId="3" fillId="5" borderId="8" xfId="0" applyNumberFormat="1" applyFont="1" applyFill="1" applyBorder="1" applyAlignment="1">
      <alignment horizontal="center" vertical="center" wrapText="1"/>
    </xf>
    <xf numFmtId="1" fontId="3" fillId="5" borderId="18" xfId="0" applyNumberFormat="1" applyFont="1" applyFill="1" applyBorder="1" applyAlignment="1">
      <alignment horizontal="center" vertical="center" wrapText="1"/>
    </xf>
    <xf numFmtId="0" fontId="3" fillId="5" borderId="18" xfId="0" applyNumberFormat="1" applyFont="1" applyFill="1" applyBorder="1" applyAlignment="1">
      <alignment horizontal="center" vertical="center" wrapText="1"/>
    </xf>
    <xf numFmtId="0" fontId="3" fillId="5" borderId="8" xfId="0" applyNumberFormat="1" applyFont="1" applyFill="1" applyBorder="1" applyAlignment="1">
      <alignment horizontal="center" vertical="center" wrapText="1"/>
    </xf>
    <xf numFmtId="0" fontId="3" fillId="0" borderId="8" xfId="0" applyFont="1" applyFill="1" applyBorder="1" applyAlignment="1">
      <alignment horizontal="justify" wrapText="1"/>
    </xf>
    <xf numFmtId="0" fontId="3" fillId="0" borderId="18" xfId="0" applyFont="1" applyFill="1" applyBorder="1" applyAlignment="1">
      <alignment horizontal="justify"/>
    </xf>
    <xf numFmtId="0" fontId="3" fillId="5" borderId="8" xfId="0" applyFont="1" applyFill="1" applyBorder="1" applyAlignment="1">
      <alignment horizontal="justify" vertical="center" wrapText="1"/>
    </xf>
    <xf numFmtId="178" fontId="3" fillId="5" borderId="8" xfId="0" applyNumberFormat="1" applyFont="1" applyFill="1" applyBorder="1" applyAlignment="1">
      <alignment horizontal="center" vertical="center" wrapText="1"/>
    </xf>
    <xf numFmtId="178" fontId="3" fillId="5" borderId="18" xfId="0" applyNumberFormat="1" applyFont="1" applyFill="1" applyBorder="1" applyAlignment="1">
      <alignment horizontal="center" vertical="center" wrapText="1"/>
    </xf>
    <xf numFmtId="0" fontId="3" fillId="5" borderId="8" xfId="0" applyNumberFormat="1" applyFont="1" applyFill="1" applyBorder="1" applyAlignment="1">
      <alignment horizontal="right" vertical="center"/>
    </xf>
    <xf numFmtId="0" fontId="3" fillId="5" borderId="15" xfId="0" applyNumberFormat="1" applyFont="1" applyFill="1" applyBorder="1" applyAlignment="1">
      <alignment horizontal="right" vertical="center"/>
    </xf>
    <xf numFmtId="0" fontId="3" fillId="5" borderId="18" xfId="0" applyNumberFormat="1" applyFont="1" applyFill="1" applyBorder="1" applyAlignment="1">
      <alignment horizontal="right" vertical="center"/>
    </xf>
    <xf numFmtId="178" fontId="3" fillId="5" borderId="8" xfId="0" applyNumberFormat="1" applyFont="1" applyFill="1" applyBorder="1" applyAlignment="1">
      <alignment horizontal="right" vertical="center"/>
    </xf>
    <xf numFmtId="178" fontId="3" fillId="5" borderId="15" xfId="0" applyNumberFormat="1" applyFont="1" applyFill="1" applyBorder="1" applyAlignment="1">
      <alignment horizontal="right" vertical="center"/>
    </xf>
    <xf numFmtId="178" fontId="3" fillId="5" borderId="18" xfId="0" applyNumberFormat="1" applyFont="1" applyFill="1" applyBorder="1" applyAlignment="1">
      <alignment horizontal="right" vertical="center"/>
    </xf>
    <xf numFmtId="1" fontId="4" fillId="5" borderId="3" xfId="0" applyNumberFormat="1" applyFont="1" applyFill="1" applyBorder="1" applyAlignment="1">
      <alignment horizontal="justify" vertical="center"/>
    </xf>
    <xf numFmtId="1" fontId="4" fillId="5" borderId="4" xfId="0" applyNumberFormat="1" applyFont="1" applyFill="1" applyBorder="1" applyAlignment="1">
      <alignment horizontal="justify" vertical="center"/>
    </xf>
    <xf numFmtId="1" fontId="4" fillId="5" borderId="5" xfId="0" applyNumberFormat="1" applyFont="1" applyFill="1" applyBorder="1" applyAlignment="1">
      <alignment horizontal="justify" vertical="center"/>
    </xf>
    <xf numFmtId="0" fontId="4" fillId="9" borderId="3" xfId="0" applyFont="1" applyFill="1" applyBorder="1" applyAlignment="1">
      <alignment horizontal="left" vertical="center"/>
    </xf>
    <xf numFmtId="1" fontId="3" fillId="5" borderId="6" xfId="0" applyNumberFormat="1" applyFont="1" applyFill="1" applyBorder="1" applyAlignment="1">
      <alignment horizontal="justify" vertical="center"/>
    </xf>
    <xf numFmtId="1" fontId="3" fillId="5" borderId="9" xfId="0" applyNumberFormat="1" applyFont="1" applyFill="1" applyBorder="1" applyAlignment="1">
      <alignment horizontal="justify" vertical="center"/>
    </xf>
    <xf numFmtId="1" fontId="3" fillId="5" borderId="7" xfId="0" applyNumberFormat="1" applyFont="1" applyFill="1" applyBorder="1" applyAlignment="1">
      <alignment horizontal="justify" vertical="center"/>
    </xf>
    <xf numFmtId="0" fontId="3" fillId="5" borderId="3" xfId="0" applyFont="1" applyFill="1" applyBorder="1" applyAlignment="1">
      <alignment horizontal="justify" vertical="center"/>
    </xf>
    <xf numFmtId="0" fontId="3" fillId="5" borderId="4" xfId="0" applyFont="1" applyFill="1" applyBorder="1" applyAlignment="1">
      <alignment horizontal="justify" vertical="center"/>
    </xf>
    <xf numFmtId="0" fontId="3" fillId="5" borderId="5" xfId="0" applyFont="1" applyFill="1" applyBorder="1" applyAlignment="1">
      <alignment horizontal="justify" vertical="center"/>
    </xf>
    <xf numFmtId="179" fontId="3" fillId="5" borderId="8" xfId="0" applyNumberFormat="1" applyFont="1" applyFill="1" applyBorder="1" applyAlignment="1">
      <alignment horizontal="center" vertical="center"/>
    </xf>
    <xf numFmtId="179" fontId="3" fillId="5" borderId="15" xfId="0" applyNumberFormat="1" applyFont="1" applyFill="1" applyBorder="1" applyAlignment="1">
      <alignment horizontal="center" vertical="center"/>
    </xf>
    <xf numFmtId="179" fontId="3" fillId="5" borderId="18" xfId="0" applyNumberFormat="1" applyFont="1" applyFill="1" applyBorder="1" applyAlignment="1">
      <alignment horizontal="center" vertical="center"/>
    </xf>
    <xf numFmtId="1" fontId="3" fillId="5" borderId="8" xfId="0" applyNumberFormat="1" applyFont="1" applyFill="1" applyBorder="1" applyAlignment="1">
      <alignment horizontal="center" vertical="center" textRotation="180"/>
    </xf>
    <xf numFmtId="1" fontId="3" fillId="5" borderId="15" xfId="0" applyNumberFormat="1" applyFont="1" applyFill="1" applyBorder="1" applyAlignment="1">
      <alignment horizontal="center" vertical="center" textRotation="180"/>
    </xf>
    <xf numFmtId="1" fontId="3" fillId="5" borderId="18" xfId="0" applyNumberFormat="1" applyFont="1" applyFill="1" applyBorder="1" applyAlignment="1">
      <alignment horizontal="center" vertical="center" textRotation="180"/>
    </xf>
    <xf numFmtId="0" fontId="3" fillId="5" borderId="15" xfId="0" applyFont="1" applyFill="1" applyBorder="1" applyAlignment="1">
      <alignment horizontal="justify" vertical="center" wrapText="1"/>
    </xf>
    <xf numFmtId="0" fontId="3" fillId="5" borderId="18" xfId="0" applyFont="1" applyFill="1" applyBorder="1" applyAlignment="1">
      <alignment horizontal="justify" vertical="center" wrapText="1"/>
    </xf>
    <xf numFmtId="178" fontId="3" fillId="5" borderId="8" xfId="0" applyNumberFormat="1" applyFont="1" applyFill="1" applyBorder="1" applyAlignment="1">
      <alignment horizontal="justify" vertical="center"/>
    </xf>
    <xf numFmtId="1" fontId="3" fillId="5" borderId="15" xfId="0" applyNumberFormat="1" applyFont="1" applyFill="1" applyBorder="1" applyAlignment="1">
      <alignment horizontal="center" vertical="center" wrapText="1"/>
    </xf>
    <xf numFmtId="182" fontId="3" fillId="5" borderId="15" xfId="0" applyNumberFormat="1" applyFont="1" applyFill="1" applyBorder="1" applyAlignment="1">
      <alignment horizontal="center" vertical="center"/>
    </xf>
    <xf numFmtId="1" fontId="3" fillId="0" borderId="15" xfId="0" applyNumberFormat="1" applyFont="1" applyFill="1" applyBorder="1" applyAlignment="1">
      <alignment horizontal="center" vertical="center"/>
    </xf>
    <xf numFmtId="3" fontId="3" fillId="5" borderId="8" xfId="0" applyNumberFormat="1" applyFont="1" applyFill="1" applyBorder="1" applyAlignment="1">
      <alignment horizontal="center" vertical="center"/>
    </xf>
    <xf numFmtId="3" fontId="3" fillId="5" borderId="15" xfId="0" applyNumberFormat="1" applyFont="1" applyFill="1" applyBorder="1" applyAlignment="1">
      <alignment horizontal="center" vertical="center"/>
    </xf>
    <xf numFmtId="3" fontId="3" fillId="5" borderId="18" xfId="0" applyNumberFormat="1" applyFont="1" applyFill="1" applyBorder="1" applyAlignment="1">
      <alignment horizontal="center" vertical="center"/>
    </xf>
    <xf numFmtId="0" fontId="4" fillId="9" borderId="3" xfId="0" applyFont="1" applyFill="1" applyBorder="1" applyAlignment="1">
      <alignment horizontal="center" vertical="center"/>
    </xf>
    <xf numFmtId="0" fontId="4" fillId="9" borderId="4" xfId="0" applyFont="1" applyFill="1" applyBorder="1" applyAlignment="1">
      <alignment horizontal="center" vertical="center"/>
    </xf>
    <xf numFmtId="1" fontId="3" fillId="5" borderId="16" xfId="0" applyNumberFormat="1" applyFont="1" applyFill="1" applyBorder="1" applyAlignment="1">
      <alignment horizontal="justify" vertical="center"/>
    </xf>
    <xf numFmtId="1" fontId="3" fillId="5" borderId="0" xfId="0" applyNumberFormat="1" applyFont="1" applyFill="1" applyBorder="1" applyAlignment="1">
      <alignment horizontal="justify" vertical="center"/>
    </xf>
    <xf numFmtId="1" fontId="3" fillId="5" borderId="17" xfId="0" applyNumberFormat="1" applyFont="1" applyFill="1" applyBorder="1" applyAlignment="1">
      <alignment horizontal="justify" vertical="center"/>
    </xf>
    <xf numFmtId="1" fontId="3" fillId="5" borderId="13" xfId="0" applyNumberFormat="1" applyFont="1" applyFill="1" applyBorder="1" applyAlignment="1">
      <alignment horizontal="justify" vertical="center"/>
    </xf>
    <xf numFmtId="1" fontId="3" fillId="5" borderId="2" xfId="0" applyNumberFormat="1" applyFont="1" applyFill="1" applyBorder="1" applyAlignment="1">
      <alignment horizontal="justify" vertical="center"/>
    </xf>
    <xf numFmtId="1" fontId="3" fillId="5" borderId="14" xfId="0" applyNumberFormat="1" applyFont="1" applyFill="1" applyBorder="1" applyAlignment="1">
      <alignment horizontal="justify" vertical="center"/>
    </xf>
    <xf numFmtId="0" fontId="3" fillId="5" borderId="6" xfId="0" applyFont="1" applyFill="1" applyBorder="1" applyAlignment="1">
      <alignment horizontal="justify" vertical="center"/>
    </xf>
    <xf numFmtId="0" fontId="3" fillId="5" borderId="9" xfId="0" applyFont="1" applyFill="1" applyBorder="1" applyAlignment="1">
      <alignment horizontal="justify" vertical="center"/>
    </xf>
    <xf numFmtId="0" fontId="3" fillId="5" borderId="7" xfId="0" applyFont="1" applyFill="1" applyBorder="1" applyAlignment="1">
      <alignment horizontal="justify" vertical="center"/>
    </xf>
    <xf numFmtId="0" fontId="3" fillId="5" borderId="16" xfId="0" applyFont="1" applyFill="1" applyBorder="1" applyAlignment="1">
      <alignment horizontal="justify" vertical="center"/>
    </xf>
    <xf numFmtId="0" fontId="3" fillId="5" borderId="0" xfId="0" applyFont="1" applyFill="1" applyBorder="1" applyAlignment="1">
      <alignment horizontal="justify" vertical="center"/>
    </xf>
    <xf numFmtId="0" fontId="3" fillId="5" borderId="17" xfId="0" applyFont="1" applyFill="1" applyBorder="1" applyAlignment="1">
      <alignment horizontal="justify" vertical="center"/>
    </xf>
    <xf numFmtId="0" fontId="3" fillId="5" borderId="13" xfId="0" applyFont="1" applyFill="1" applyBorder="1" applyAlignment="1">
      <alignment horizontal="justify" vertical="center"/>
    </xf>
    <xf numFmtId="0" fontId="3" fillId="5" borderId="2" xfId="0" applyFont="1" applyFill="1" applyBorder="1" applyAlignment="1">
      <alignment horizontal="justify" vertical="center"/>
    </xf>
    <xf numFmtId="0" fontId="3" fillId="5" borderId="14" xfId="0" applyFont="1" applyFill="1" applyBorder="1" applyAlignment="1">
      <alignment horizontal="justify" vertical="center"/>
    </xf>
    <xf numFmtId="14" fontId="4" fillId="5" borderId="8" xfId="0" applyNumberFormat="1" applyFont="1" applyFill="1" applyBorder="1" applyAlignment="1">
      <alignment horizontal="center" vertical="center" textRotation="91" wrapText="1"/>
    </xf>
    <xf numFmtId="0" fontId="4" fillId="5" borderId="15" xfId="0" applyNumberFormat="1" applyFont="1" applyFill="1" applyBorder="1" applyAlignment="1">
      <alignment horizontal="center" vertical="center" textRotation="91" wrapText="1"/>
    </xf>
    <xf numFmtId="0" fontId="4" fillId="5" borderId="18" xfId="0" applyNumberFormat="1" applyFont="1" applyFill="1" applyBorder="1" applyAlignment="1">
      <alignment horizontal="center" vertical="center" textRotation="91" wrapText="1"/>
    </xf>
    <xf numFmtId="14" fontId="4" fillId="5" borderId="1" xfId="0" applyNumberFormat="1" applyFont="1" applyFill="1" applyBorder="1" applyAlignment="1">
      <alignment horizontal="center" vertical="center" textRotation="91" wrapText="1"/>
    </xf>
    <xf numFmtId="0" fontId="4" fillId="5" borderId="1" xfId="0" applyNumberFormat="1" applyFont="1" applyFill="1" applyBorder="1" applyAlignment="1">
      <alignment horizontal="center" vertical="center" textRotation="91"/>
    </xf>
    <xf numFmtId="178" fontId="3" fillId="0" borderId="8" xfId="0" applyNumberFormat="1" applyFont="1" applyFill="1" applyBorder="1" applyAlignment="1">
      <alignment horizontal="center" vertical="center" wrapText="1"/>
    </xf>
    <xf numFmtId="178" fontId="3" fillId="0" borderId="18" xfId="0" applyNumberFormat="1" applyFont="1" applyFill="1" applyBorder="1" applyAlignment="1">
      <alignment horizontal="center" vertical="center" wrapText="1"/>
    </xf>
    <xf numFmtId="1" fontId="4" fillId="5" borderId="8" xfId="0" applyNumberFormat="1" applyFont="1" applyFill="1" applyBorder="1" applyAlignment="1">
      <alignment horizontal="center" vertical="center" textRotation="180"/>
    </xf>
    <xf numFmtId="1" fontId="4" fillId="5" borderId="15" xfId="0" applyNumberFormat="1" applyFont="1" applyFill="1" applyBorder="1" applyAlignment="1">
      <alignment horizontal="center" vertical="center" textRotation="180"/>
    </xf>
    <xf numFmtId="1" fontId="3" fillId="5" borderId="8" xfId="0" applyNumberFormat="1" applyFont="1" applyFill="1" applyBorder="1" applyAlignment="1">
      <alignment vertical="center"/>
    </xf>
    <xf numFmtId="1" fontId="3" fillId="5" borderId="15" xfId="0" applyNumberFormat="1" applyFont="1" applyFill="1" applyBorder="1" applyAlignment="1">
      <alignment vertical="center"/>
    </xf>
    <xf numFmtId="1" fontId="3" fillId="5" borderId="18" xfId="0" applyNumberFormat="1" applyFont="1" applyFill="1" applyBorder="1" applyAlignment="1">
      <alignment vertical="center"/>
    </xf>
    <xf numFmtId="0" fontId="4" fillId="5" borderId="8" xfId="0" applyNumberFormat="1" applyFont="1" applyFill="1" applyBorder="1" applyAlignment="1">
      <alignment horizontal="center" vertical="center" textRotation="91"/>
    </xf>
    <xf numFmtId="0" fontId="4" fillId="5" borderId="15" xfId="0" applyNumberFormat="1" applyFont="1" applyFill="1" applyBorder="1" applyAlignment="1">
      <alignment horizontal="center" vertical="center" textRotation="91"/>
    </xf>
    <xf numFmtId="0" fontId="4" fillId="5" borderId="18" xfId="0" applyNumberFormat="1" applyFont="1" applyFill="1" applyBorder="1" applyAlignment="1">
      <alignment horizontal="center" vertical="center" textRotation="91"/>
    </xf>
    <xf numFmtId="14" fontId="4" fillId="5" borderId="8" xfId="0" applyNumberFormat="1" applyFont="1" applyFill="1" applyBorder="1" applyAlignment="1">
      <alignment horizontal="center" vertical="center" textRotation="91"/>
    </xf>
    <xf numFmtId="3" fontId="3" fillId="5" borderId="1" xfId="0" applyNumberFormat="1" applyFont="1" applyFill="1" applyBorder="1" applyAlignment="1">
      <alignment horizontal="justify" vertical="center"/>
    </xf>
    <xf numFmtId="1" fontId="3" fillId="5" borderId="1" xfId="0" applyNumberFormat="1" applyFont="1" applyFill="1" applyBorder="1" applyAlignment="1">
      <alignment horizontal="center" vertical="center"/>
    </xf>
    <xf numFmtId="10" fontId="3" fillId="5" borderId="6" xfId="0" applyNumberFormat="1" applyFont="1" applyFill="1" applyBorder="1" applyAlignment="1">
      <alignment horizontal="center" vertical="center"/>
    </xf>
    <xf numFmtId="10" fontId="3" fillId="5" borderId="16" xfId="0" applyNumberFormat="1" applyFont="1" applyFill="1" applyBorder="1" applyAlignment="1">
      <alignment horizontal="center" vertical="center"/>
    </xf>
    <xf numFmtId="10" fontId="3" fillId="5" borderId="13" xfId="0" applyNumberFormat="1" applyFont="1" applyFill="1" applyBorder="1" applyAlignment="1">
      <alignment horizontal="center" vertical="center"/>
    </xf>
    <xf numFmtId="1" fontId="3" fillId="5" borderId="7" xfId="0" applyNumberFormat="1" applyFont="1" applyFill="1" applyBorder="1" applyAlignment="1">
      <alignment horizontal="center" vertical="center" wrapText="1"/>
    </xf>
    <xf numFmtId="1" fontId="3" fillId="5" borderId="17" xfId="0" applyNumberFormat="1" applyFont="1" applyFill="1" applyBorder="1" applyAlignment="1">
      <alignment horizontal="center" vertical="center" wrapText="1"/>
    </xf>
    <xf numFmtId="1" fontId="3" fillId="5" borderId="14" xfId="0" applyNumberFormat="1" applyFont="1" applyFill="1" applyBorder="1" applyAlignment="1">
      <alignment horizontal="center" vertical="center" wrapText="1"/>
    </xf>
    <xf numFmtId="3" fontId="3" fillId="5" borderId="1" xfId="0" applyNumberFormat="1" applyFont="1" applyFill="1" applyBorder="1" applyAlignment="1">
      <alignment horizontal="center" vertical="center"/>
    </xf>
    <xf numFmtId="10" fontId="3" fillId="5" borderId="3" xfId="0" applyNumberFormat="1" applyFont="1" applyFill="1" applyBorder="1" applyAlignment="1">
      <alignment horizontal="center" vertical="center"/>
    </xf>
    <xf numFmtId="0" fontId="3" fillId="0" borderId="15" xfId="0" applyFont="1" applyFill="1" applyBorder="1" applyAlignment="1">
      <alignment horizontal="justify" vertical="center" wrapText="1"/>
    </xf>
    <xf numFmtId="0" fontId="3" fillId="5" borderId="8" xfId="0" applyNumberFormat="1" applyFont="1" applyFill="1" applyBorder="1" applyAlignment="1">
      <alignment horizontal="justify" vertical="center" wrapText="1"/>
    </xf>
    <xf numFmtId="0" fontId="3" fillId="5" borderId="15" xfId="0" applyNumberFormat="1" applyFont="1" applyFill="1" applyBorder="1" applyAlignment="1">
      <alignment horizontal="justify" vertical="center"/>
    </xf>
    <xf numFmtId="0" fontId="3" fillId="5" borderId="18" xfId="0" applyNumberFormat="1" applyFont="1" applyFill="1" applyBorder="1" applyAlignment="1">
      <alignment horizontal="justify" vertical="center"/>
    </xf>
    <xf numFmtId="0" fontId="3" fillId="0" borderId="8" xfId="0" applyNumberFormat="1" applyFont="1" applyFill="1" applyBorder="1" applyAlignment="1">
      <alignment horizontal="justify" vertical="center" wrapText="1"/>
    </xf>
    <xf numFmtId="0" fontId="3" fillId="0" borderId="15" xfId="0" applyNumberFormat="1" applyFont="1" applyFill="1" applyBorder="1" applyAlignment="1">
      <alignment horizontal="justify" vertical="center" wrapText="1"/>
    </xf>
    <xf numFmtId="0" fontId="3" fillId="0" borderId="18" xfId="0" applyNumberFormat="1" applyFont="1" applyFill="1" applyBorder="1" applyAlignment="1">
      <alignment horizontal="justify" vertical="center" wrapText="1"/>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8"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8" xfId="0" applyFont="1" applyFill="1" applyBorder="1" applyAlignment="1">
      <alignment horizontal="justify" vertical="center" wrapText="1"/>
    </xf>
    <xf numFmtId="0" fontId="4" fillId="3" borderId="15" xfId="0" applyFont="1" applyFill="1" applyBorder="1" applyAlignment="1">
      <alignment horizontal="justify" vertical="center" wrapText="1"/>
    </xf>
    <xf numFmtId="0" fontId="4" fillId="3" borderId="18" xfId="0" applyFont="1" applyFill="1" applyBorder="1" applyAlignment="1">
      <alignment horizontal="justify" vertical="center" wrapText="1"/>
    </xf>
    <xf numFmtId="0" fontId="4" fillId="17" borderId="6" xfId="0" applyFont="1" applyFill="1" applyBorder="1" applyAlignment="1">
      <alignment horizontal="center" vertical="center" wrapText="1"/>
    </xf>
    <xf numFmtId="0" fontId="4" fillId="17" borderId="9" xfId="0" applyFont="1" applyFill="1" applyBorder="1" applyAlignment="1">
      <alignment horizontal="center" vertical="center" wrapText="1"/>
    </xf>
    <xf numFmtId="0" fontId="4" fillId="17" borderId="7" xfId="0" applyFont="1" applyFill="1" applyBorder="1" applyAlignment="1">
      <alignment horizontal="center" vertical="center" wrapText="1"/>
    </xf>
    <xf numFmtId="0" fontId="4" fillId="17" borderId="13" xfId="0" applyFont="1" applyFill="1" applyBorder="1" applyAlignment="1">
      <alignment horizontal="center" vertical="center" wrapText="1"/>
    </xf>
    <xf numFmtId="0" fontId="4" fillId="17" borderId="2" xfId="0" applyFont="1" applyFill="1" applyBorder="1" applyAlignment="1">
      <alignment horizontal="center" vertical="center" wrapText="1"/>
    </xf>
    <xf numFmtId="0" fontId="4" fillId="17" borderId="14" xfId="0" applyFont="1" applyFill="1" applyBorder="1" applyAlignment="1">
      <alignment horizontal="center" vertical="center" wrapText="1"/>
    </xf>
    <xf numFmtId="1" fontId="4" fillId="3" borderId="8" xfId="0" applyNumberFormat="1" applyFont="1" applyFill="1" applyBorder="1" applyAlignment="1">
      <alignment horizontal="center" vertical="center" wrapText="1"/>
    </xf>
    <xf numFmtId="1" fontId="4" fillId="3" borderId="15" xfId="0" applyNumberFormat="1" applyFont="1" applyFill="1" applyBorder="1" applyAlignment="1">
      <alignment horizontal="center" vertical="center" wrapText="1"/>
    </xf>
    <xf numFmtId="1" fontId="4" fillId="3" borderId="18" xfId="0" applyNumberFormat="1" applyFont="1" applyFill="1" applyBorder="1" applyAlignment="1">
      <alignment horizontal="center" vertical="center" wrapText="1"/>
    </xf>
    <xf numFmtId="0" fontId="4" fillId="3" borderId="15" xfId="0" applyFont="1" applyFill="1" applyBorder="1" applyAlignment="1">
      <alignment horizontal="center" vertical="center" wrapText="1"/>
    </xf>
    <xf numFmtId="182" fontId="4" fillId="3" borderId="8" xfId="0" applyNumberFormat="1" applyFont="1" applyFill="1" applyBorder="1" applyAlignment="1">
      <alignment horizontal="center" vertical="center" wrapText="1"/>
    </xf>
    <xf numFmtId="182" fontId="4" fillId="3" borderId="15" xfId="0" applyNumberFormat="1" applyFont="1" applyFill="1" applyBorder="1" applyAlignment="1">
      <alignment horizontal="center" vertical="center" wrapText="1"/>
    </xf>
    <xf numFmtId="182" fontId="4" fillId="3" borderId="18" xfId="0" applyNumberFormat="1" applyFont="1" applyFill="1" applyBorder="1" applyAlignment="1">
      <alignment horizontal="center" vertical="center" wrapText="1"/>
    </xf>
    <xf numFmtId="178" fontId="4" fillId="3" borderId="8" xfId="0" applyNumberFormat="1" applyFont="1" applyFill="1" applyBorder="1" applyAlignment="1">
      <alignment horizontal="center" vertical="center" wrapText="1"/>
    </xf>
    <xf numFmtId="178" fontId="4" fillId="3" borderId="15" xfId="0" applyNumberFormat="1" applyFont="1" applyFill="1" applyBorder="1" applyAlignment="1">
      <alignment horizontal="center" vertical="center" wrapText="1"/>
    </xf>
    <xf numFmtId="178" fontId="4" fillId="3" borderId="18" xfId="0" applyNumberFormat="1"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1" fontId="4" fillId="3" borderId="7" xfId="0" applyNumberFormat="1" applyFont="1" applyFill="1" applyBorder="1" applyAlignment="1">
      <alignment horizontal="center" vertical="center" wrapText="1"/>
    </xf>
    <xf numFmtId="1" fontId="4" fillId="3" borderId="17" xfId="0" applyNumberFormat="1" applyFont="1" applyFill="1" applyBorder="1" applyAlignment="1">
      <alignment horizontal="center" vertical="center" wrapText="1"/>
    </xf>
    <xf numFmtId="1" fontId="4" fillId="3" borderId="14" xfId="0" applyNumberFormat="1"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4" xfId="0" applyFont="1" applyFill="1" applyBorder="1" applyAlignment="1">
      <alignment horizontal="center" vertical="center"/>
    </xf>
    <xf numFmtId="179" fontId="4" fillId="13" borderId="3" xfId="0" applyNumberFormat="1" applyFont="1" applyFill="1" applyBorder="1" applyAlignment="1">
      <alignment horizontal="center" vertical="center" wrapText="1"/>
    </xf>
    <xf numFmtId="179" fontId="4" fillId="13" borderId="4" xfId="0" applyNumberFormat="1" applyFont="1" applyFill="1" applyBorder="1" applyAlignment="1">
      <alignment horizontal="center" vertical="center" wrapText="1"/>
    </xf>
    <xf numFmtId="179" fontId="4" fillId="13" borderId="5" xfId="0" applyNumberFormat="1" applyFont="1" applyFill="1" applyBorder="1" applyAlignment="1">
      <alignment horizontal="center" vertical="center" wrapText="1"/>
    </xf>
    <xf numFmtId="3" fontId="4" fillId="3" borderId="8" xfId="0" applyNumberFormat="1" applyFont="1" applyFill="1" applyBorder="1" applyAlignment="1">
      <alignment horizontal="justify" vertical="center" wrapText="1"/>
    </xf>
    <xf numFmtId="3" fontId="4" fillId="3" borderId="15" xfId="0" applyNumberFormat="1" applyFont="1" applyFill="1" applyBorder="1" applyAlignment="1">
      <alignment horizontal="justify" vertical="center" wrapText="1"/>
    </xf>
    <xf numFmtId="3" fontId="4" fillId="3" borderId="18" xfId="0" applyNumberFormat="1" applyFont="1" applyFill="1" applyBorder="1" applyAlignment="1">
      <alignment horizontal="justify" vertical="center" wrapText="1"/>
    </xf>
    <xf numFmtId="49" fontId="4" fillId="3" borderId="3" xfId="0" applyNumberFormat="1" applyFont="1" applyFill="1" applyBorder="1" applyAlignment="1">
      <alignment horizontal="center" vertical="center" wrapText="1"/>
    </xf>
    <xf numFmtId="49" fontId="4" fillId="3" borderId="5"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wrapText="1"/>
    </xf>
    <xf numFmtId="3" fontId="3" fillId="5" borderId="8" xfId="0" applyNumberFormat="1" applyFont="1" applyFill="1" applyBorder="1" applyAlignment="1">
      <alignment horizontal="center" vertical="center" wrapText="1"/>
    </xf>
    <xf numFmtId="3" fontId="3" fillId="5" borderId="15" xfId="0" applyNumberFormat="1" applyFont="1" applyFill="1" applyBorder="1" applyAlignment="1">
      <alignment horizontal="center" vertical="center" wrapText="1"/>
    </xf>
    <xf numFmtId="3" fontId="3" fillId="5" borderId="18" xfId="0" applyNumberFormat="1" applyFont="1" applyFill="1" applyBorder="1" applyAlignment="1">
      <alignment horizontal="center" vertical="center" wrapText="1"/>
    </xf>
    <xf numFmtId="178" fontId="3" fillId="0" borderId="15" xfId="0" applyNumberFormat="1" applyFont="1" applyFill="1" applyBorder="1" applyAlignment="1">
      <alignment horizontal="center" vertical="center" wrapText="1"/>
    </xf>
    <xf numFmtId="0" fontId="3" fillId="0" borderId="8" xfId="0" applyNumberFormat="1" applyFont="1" applyFill="1" applyBorder="1" applyAlignment="1">
      <alignment horizontal="justify" vertical="center"/>
    </xf>
    <xf numFmtId="0" fontId="3" fillId="0" borderId="15" xfId="0" applyNumberFormat="1" applyFont="1" applyFill="1" applyBorder="1" applyAlignment="1">
      <alignment horizontal="justify" vertical="center"/>
    </xf>
    <xf numFmtId="0" fontId="3" fillId="0" borderId="18" xfId="0" applyNumberFormat="1" applyFont="1" applyFill="1" applyBorder="1" applyAlignment="1">
      <alignment horizontal="justify" vertical="center"/>
    </xf>
    <xf numFmtId="169" fontId="6" fillId="13" borderId="3" xfId="2" applyFont="1" applyFill="1" applyBorder="1" applyAlignment="1">
      <alignment horizontal="center" vertical="center"/>
    </xf>
    <xf numFmtId="169" fontId="6" fillId="13" borderId="4" xfId="2" applyFont="1" applyFill="1" applyBorder="1" applyAlignment="1">
      <alignment horizontal="center" vertical="center"/>
    </xf>
    <xf numFmtId="169" fontId="6" fillId="13" borderId="5" xfId="2" applyFont="1" applyFill="1" applyBorder="1" applyAlignment="1">
      <alignment horizontal="center" vertical="center"/>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49" fontId="6" fillId="13" borderId="6" xfId="0" applyNumberFormat="1" applyFont="1" applyFill="1" applyBorder="1" applyAlignment="1">
      <alignment horizontal="center" vertical="center" wrapText="1"/>
    </xf>
    <xf numFmtId="49" fontId="6" fillId="13" borderId="7" xfId="0" applyNumberFormat="1" applyFont="1" applyFill="1" applyBorder="1" applyAlignment="1">
      <alignment horizontal="center" vertical="center" wrapText="1"/>
    </xf>
    <xf numFmtId="178" fontId="6" fillId="4" borderId="8" xfId="0" applyNumberFormat="1" applyFont="1" applyFill="1" applyBorder="1" applyAlignment="1">
      <alignment horizontal="center" vertical="center" wrapText="1"/>
    </xf>
    <xf numFmtId="178" fontId="6" fillId="4" borderId="15" xfId="0" applyNumberFormat="1" applyFont="1" applyFill="1" applyBorder="1" applyAlignment="1">
      <alignment horizontal="center" vertical="center" wrapText="1"/>
    </xf>
    <xf numFmtId="179" fontId="6" fillId="13" borderId="3" xfId="0" applyNumberFormat="1" applyFont="1" applyFill="1" applyBorder="1" applyAlignment="1">
      <alignment horizontal="center" vertical="center" wrapText="1"/>
    </xf>
    <xf numFmtId="179" fontId="6" fillId="13" borderId="5" xfId="0" applyNumberFormat="1" applyFont="1" applyFill="1" applyBorder="1" applyAlignment="1">
      <alignment horizontal="center" vertical="center" wrapText="1"/>
    </xf>
    <xf numFmtId="188" fontId="7" fillId="5" borderId="15" xfId="0" applyNumberFormat="1" applyFont="1" applyFill="1" applyBorder="1" applyAlignment="1">
      <alignment horizontal="center" vertical="center" wrapText="1"/>
    </xf>
    <xf numFmtId="188" fontId="7" fillId="5" borderId="18" xfId="0" applyNumberFormat="1" applyFont="1" applyFill="1" applyBorder="1" applyAlignment="1">
      <alignment horizontal="center" vertical="center" wrapText="1"/>
    </xf>
    <xf numFmtId="164" fontId="6" fillId="13" borderId="1" xfId="12" applyFont="1" applyFill="1" applyBorder="1" applyAlignment="1">
      <alignment horizontal="center" vertical="center" wrapText="1"/>
    </xf>
    <xf numFmtId="164" fontId="6" fillId="13" borderId="8" xfId="12" applyFont="1" applyFill="1" applyBorder="1" applyAlignment="1">
      <alignment horizontal="center" vertical="center" wrapText="1"/>
    </xf>
    <xf numFmtId="9" fontId="6" fillId="13" borderId="1" xfId="5" applyFont="1" applyFill="1" applyBorder="1" applyAlignment="1">
      <alignment horizontal="center" vertical="center" wrapText="1"/>
    </xf>
    <xf numFmtId="9" fontId="6" fillId="13" borderId="8" xfId="5" applyFont="1" applyFill="1" applyBorder="1" applyAlignment="1">
      <alignment horizontal="center" vertical="center" wrapText="1"/>
    </xf>
    <xf numFmtId="178" fontId="6" fillId="4" borderId="6" xfId="0" applyNumberFormat="1" applyFont="1" applyFill="1" applyBorder="1" applyAlignment="1">
      <alignment horizontal="center" vertical="center" wrapText="1"/>
    </xf>
    <xf numFmtId="178" fontId="6" fillId="4" borderId="9" xfId="0" applyNumberFormat="1" applyFont="1" applyFill="1" applyBorder="1" applyAlignment="1">
      <alignment horizontal="center" vertical="center" wrapText="1"/>
    </xf>
    <xf numFmtId="178" fontId="6" fillId="4" borderId="7" xfId="0" applyNumberFormat="1" applyFont="1" applyFill="1" applyBorder="1" applyAlignment="1">
      <alignment horizontal="center" vertical="center" wrapText="1"/>
    </xf>
    <xf numFmtId="178" fontId="6" fillId="4" borderId="16" xfId="0" applyNumberFormat="1" applyFont="1" applyFill="1" applyBorder="1" applyAlignment="1">
      <alignment horizontal="center" vertical="center" wrapText="1"/>
    </xf>
    <xf numFmtId="178" fontId="6" fillId="4" borderId="0" xfId="0" applyNumberFormat="1" applyFont="1" applyFill="1" applyBorder="1" applyAlignment="1">
      <alignment horizontal="center" vertical="center" wrapText="1"/>
    </xf>
    <xf numFmtId="178" fontId="6" fillId="4" borderId="17" xfId="0" applyNumberFormat="1" applyFont="1" applyFill="1" applyBorder="1" applyAlignment="1">
      <alignment horizontal="center" vertical="center" wrapText="1"/>
    </xf>
    <xf numFmtId="178" fontId="7" fillId="5" borderId="8" xfId="13" applyNumberFormat="1" applyFont="1" applyFill="1" applyBorder="1" applyAlignment="1">
      <alignment horizontal="center" vertical="center" wrapText="1"/>
    </xf>
    <xf numFmtId="178" fontId="7" fillId="5" borderId="18" xfId="13" applyNumberFormat="1" applyFont="1" applyFill="1" applyBorder="1" applyAlignment="1">
      <alignment horizontal="center" vertical="center" wrapText="1"/>
    </xf>
    <xf numFmtId="189" fontId="7" fillId="5" borderId="8" xfId="0" applyNumberFormat="1" applyFont="1" applyFill="1" applyBorder="1" applyAlignment="1">
      <alignment horizontal="center" vertical="center" wrapText="1"/>
    </xf>
    <xf numFmtId="189" fontId="7" fillId="5" borderId="15" xfId="0" applyNumberFormat="1" applyFont="1" applyFill="1" applyBorder="1" applyAlignment="1">
      <alignment horizontal="center" vertical="center" wrapText="1"/>
    </xf>
    <xf numFmtId="189" fontId="7" fillId="5" borderId="18" xfId="0" applyNumberFormat="1" applyFont="1" applyFill="1" applyBorder="1" applyAlignment="1">
      <alignment horizontal="center" vertical="center" wrapText="1"/>
    </xf>
    <xf numFmtId="183" fontId="7" fillId="5" borderId="8" xfId="5" applyNumberFormat="1" applyFont="1" applyFill="1" applyBorder="1" applyAlignment="1">
      <alignment horizontal="center" vertical="center"/>
    </xf>
    <xf numFmtId="183" fontId="7" fillId="5" borderId="15" xfId="5" applyNumberFormat="1" applyFont="1" applyFill="1" applyBorder="1" applyAlignment="1">
      <alignment horizontal="center" vertical="center"/>
    </xf>
    <xf numFmtId="183" fontId="7" fillId="5" borderId="18" xfId="5" applyNumberFormat="1" applyFont="1" applyFill="1" applyBorder="1" applyAlignment="1">
      <alignment horizontal="center" vertical="center"/>
    </xf>
    <xf numFmtId="178" fontId="7" fillId="5" borderId="1" xfId="0" applyNumberFormat="1" applyFont="1" applyFill="1" applyBorder="1" applyAlignment="1">
      <alignment horizontal="center" vertical="center"/>
    </xf>
    <xf numFmtId="14" fontId="7" fillId="0" borderId="18" xfId="0" applyNumberFormat="1" applyFont="1" applyFill="1" applyBorder="1" applyAlignment="1">
      <alignment horizontal="center" vertical="center"/>
    </xf>
    <xf numFmtId="0" fontId="6" fillId="0" borderId="22" xfId="0" applyFont="1" applyBorder="1" applyAlignment="1">
      <alignment horizontal="justify" vertical="center" wrapText="1"/>
    </xf>
    <xf numFmtId="0" fontId="6" fillId="0" borderId="23" xfId="0" applyFont="1" applyBorder="1" applyAlignment="1">
      <alignment horizontal="justify" vertical="center" wrapText="1"/>
    </xf>
    <xf numFmtId="1" fontId="7" fillId="5" borderId="18" xfId="3" applyNumberFormat="1" applyFont="1" applyFill="1" applyBorder="1" applyAlignment="1">
      <alignment horizontal="center" vertical="center" wrapText="1"/>
    </xf>
    <xf numFmtId="1" fontId="7" fillId="5" borderId="1" xfId="3" applyNumberFormat="1" applyFont="1" applyFill="1" applyBorder="1" applyAlignment="1">
      <alignment horizontal="center" vertical="center" wrapText="1"/>
    </xf>
    <xf numFmtId="1" fontId="7" fillId="5" borderId="8" xfId="3" applyNumberFormat="1" applyFont="1" applyFill="1" applyBorder="1" applyAlignment="1">
      <alignment horizontal="center" vertical="center" wrapText="1"/>
    </xf>
    <xf numFmtId="1" fontId="7" fillId="5" borderId="15" xfId="3" applyNumberFormat="1" applyFont="1" applyFill="1" applyBorder="1" applyAlignment="1">
      <alignment horizontal="center" vertical="center" wrapText="1"/>
    </xf>
    <xf numFmtId="164" fontId="7" fillId="5" borderId="8" xfId="12" applyFont="1" applyFill="1" applyBorder="1" applyAlignment="1">
      <alignment horizontal="center" vertical="center" wrapText="1"/>
    </xf>
    <xf numFmtId="164" fontId="7" fillId="5" borderId="15" xfId="12" applyFont="1" applyFill="1" applyBorder="1" applyAlignment="1">
      <alignment horizontal="center" vertical="center" wrapText="1"/>
    </xf>
    <xf numFmtId="164" fontId="7" fillId="5" borderId="18" xfId="12" applyFont="1" applyFill="1" applyBorder="1" applyAlignment="1">
      <alignment horizontal="center" vertical="center" wrapText="1"/>
    </xf>
    <xf numFmtId="164" fontId="7" fillId="0" borderId="8" xfId="12" applyFont="1" applyBorder="1" applyAlignment="1">
      <alignment horizontal="center" vertical="center" wrapText="1"/>
    </xf>
    <xf numFmtId="164" fontId="7" fillId="0" borderId="15" xfId="12" applyFont="1" applyBorder="1" applyAlignment="1">
      <alignment horizontal="center" vertical="center" wrapText="1"/>
    </xf>
    <xf numFmtId="164" fontId="7" fillId="0" borderId="18" xfId="12" applyFont="1" applyBorder="1" applyAlignment="1">
      <alignment horizontal="center" vertical="center" wrapText="1"/>
    </xf>
    <xf numFmtId="9" fontId="7" fillId="0" borderId="8" xfId="5" applyFont="1" applyBorder="1" applyAlignment="1">
      <alignment horizontal="center" vertical="center" wrapText="1"/>
    </xf>
    <xf numFmtId="9" fontId="7" fillId="0" borderId="15" xfId="5" applyFont="1" applyBorder="1" applyAlignment="1">
      <alignment horizontal="center" vertical="center" wrapText="1"/>
    </xf>
    <xf numFmtId="9" fontId="7" fillId="0" borderId="18" xfId="5" applyFont="1" applyBorder="1" applyAlignment="1">
      <alignment horizontal="center" vertical="center" wrapText="1"/>
    </xf>
    <xf numFmtId="0" fontId="7" fillId="0" borderId="18" xfId="0" applyFont="1" applyBorder="1" applyAlignment="1">
      <alignment horizontal="center"/>
    </xf>
    <xf numFmtId="191" fontId="7" fillId="0" borderId="15" xfId="0" applyNumberFormat="1" applyFont="1" applyBorder="1" applyAlignment="1">
      <alignment horizontal="center" vertical="center"/>
    </xf>
    <xf numFmtId="191" fontId="7" fillId="0" borderId="18" xfId="0" applyNumberFormat="1" applyFont="1" applyBorder="1" applyAlignment="1">
      <alignment horizontal="center" vertical="center"/>
    </xf>
    <xf numFmtId="191" fontId="7" fillId="5" borderId="8" xfId="0" applyNumberFormat="1" applyFont="1" applyFill="1" applyBorder="1" applyAlignment="1">
      <alignment horizontal="center" vertical="center"/>
    </xf>
    <xf numFmtId="191" fontId="7" fillId="5" borderId="15" xfId="0" applyNumberFormat="1" applyFont="1" applyFill="1" applyBorder="1" applyAlignment="1">
      <alignment horizontal="center" vertical="center"/>
    </xf>
    <xf numFmtId="191" fontId="7" fillId="5" borderId="18" xfId="0" applyNumberFormat="1" applyFont="1" applyFill="1" applyBorder="1" applyAlignment="1">
      <alignment horizontal="center" vertical="center"/>
    </xf>
    <xf numFmtId="1"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1" fontId="8" fillId="5" borderId="8" xfId="0" applyNumberFormat="1" applyFont="1" applyFill="1" applyBorder="1" applyAlignment="1">
      <alignment horizontal="center" vertical="center"/>
    </xf>
    <xf numFmtId="1" fontId="8" fillId="5" borderId="18" xfId="0" applyNumberFormat="1" applyFont="1" applyFill="1" applyBorder="1" applyAlignment="1">
      <alignment horizontal="center" vertical="center"/>
    </xf>
    <xf numFmtId="0" fontId="6" fillId="0" borderId="1" xfId="0" applyFont="1" applyBorder="1" applyAlignment="1">
      <alignment horizontal="justify" vertical="center" wrapText="1"/>
    </xf>
    <xf numFmtId="188" fontId="7" fillId="5" borderId="8" xfId="0" applyNumberFormat="1" applyFont="1" applyFill="1" applyBorder="1" applyAlignment="1">
      <alignment horizontal="center" vertical="center" wrapText="1"/>
    </xf>
    <xf numFmtId="164" fontId="7" fillId="0" borderId="8" xfId="12" applyFont="1" applyBorder="1" applyAlignment="1">
      <alignment horizontal="center" vertical="center"/>
    </xf>
    <xf numFmtId="164" fontId="7" fillId="0" borderId="15" xfId="12" applyFont="1" applyBorder="1" applyAlignment="1">
      <alignment horizontal="center" vertical="center"/>
    </xf>
    <xf numFmtId="9" fontId="7" fillId="0" borderId="8" xfId="5" applyFont="1" applyBorder="1" applyAlignment="1">
      <alignment horizontal="center" vertical="center"/>
    </xf>
    <xf numFmtId="9" fontId="7" fillId="0" borderId="15" xfId="5" applyFont="1" applyBorder="1" applyAlignment="1">
      <alignment horizontal="center" vertical="center"/>
    </xf>
    <xf numFmtId="164" fontId="7" fillId="0" borderId="1" xfId="12" applyFont="1" applyBorder="1" applyAlignment="1">
      <alignment horizontal="center" vertical="center"/>
    </xf>
    <xf numFmtId="0" fontId="6" fillId="0" borderId="25" xfId="0" applyFont="1" applyBorder="1" applyAlignment="1">
      <alignment horizontal="justify" vertical="center" wrapText="1"/>
    </xf>
    <xf numFmtId="9" fontId="7" fillId="0" borderId="18" xfId="5" applyFont="1" applyBorder="1" applyAlignment="1">
      <alignment horizontal="center" vertical="center"/>
    </xf>
    <xf numFmtId="164" fontId="8" fillId="5" borderId="8" xfId="12" applyFont="1" applyFill="1" applyBorder="1" applyAlignment="1">
      <alignment horizontal="center" vertical="center" wrapText="1"/>
    </xf>
    <xf numFmtId="164" fontId="8" fillId="5" borderId="18" xfId="12" applyFont="1" applyFill="1" applyBorder="1" applyAlignment="1">
      <alignment horizontal="center" vertical="center" wrapText="1"/>
    </xf>
    <xf numFmtId="43" fontId="7" fillId="5" borderId="8" xfId="4" applyFont="1" applyFill="1" applyBorder="1" applyAlignment="1">
      <alignment horizontal="center" vertical="center" wrapText="1"/>
    </xf>
    <xf numFmtId="43" fontId="7" fillId="5" borderId="15" xfId="4" applyFont="1" applyFill="1" applyBorder="1" applyAlignment="1">
      <alignment horizontal="center" vertical="center" wrapText="1"/>
    </xf>
    <xf numFmtId="0" fontId="7" fillId="5" borderId="8" xfId="0" applyNumberFormat="1" applyFont="1" applyFill="1" applyBorder="1" applyAlignment="1">
      <alignment horizontal="center" vertical="center" wrapText="1"/>
    </xf>
    <xf numFmtId="0" fontId="7" fillId="5" borderId="15" xfId="0" applyNumberFormat="1" applyFont="1" applyFill="1" applyBorder="1" applyAlignment="1">
      <alignment horizontal="center" vertical="center" wrapText="1"/>
    </xf>
    <xf numFmtId="189" fontId="7" fillId="5" borderId="8" xfId="13" applyNumberFormat="1" applyFont="1" applyFill="1" applyBorder="1" applyAlignment="1">
      <alignment horizontal="center" vertical="center"/>
    </xf>
    <xf numFmtId="189" fontId="7" fillId="5" borderId="15" xfId="13" applyNumberFormat="1" applyFont="1" applyFill="1" applyBorder="1" applyAlignment="1">
      <alignment horizontal="center" vertical="center"/>
    </xf>
    <xf numFmtId="0" fontId="6" fillId="0" borderId="8" xfId="0" applyFont="1" applyBorder="1" applyAlignment="1">
      <alignment horizontal="justify" vertical="center" wrapText="1"/>
    </xf>
    <xf numFmtId="0" fontId="7" fillId="2" borderId="1" xfId="0" applyFont="1" applyFill="1" applyBorder="1" applyAlignment="1">
      <alignment horizontal="justify" vertical="center" wrapText="1"/>
    </xf>
    <xf numFmtId="14" fontId="7" fillId="0" borderId="15" xfId="0" applyNumberFormat="1" applyFont="1" applyBorder="1" applyAlignment="1">
      <alignment horizontal="center" vertical="center"/>
    </xf>
    <xf numFmtId="14" fontId="7" fillId="0" borderId="6" xfId="0" applyNumberFormat="1" applyFont="1" applyBorder="1" applyAlignment="1">
      <alignment horizontal="center" vertical="center"/>
    </xf>
    <xf numFmtId="14" fontId="7" fillId="0" borderId="16" xfId="0" applyNumberFormat="1" applyFont="1" applyBorder="1" applyAlignment="1">
      <alignment horizontal="center" vertical="center"/>
    </xf>
    <xf numFmtId="164" fontId="7" fillId="5" borderId="1" xfId="12" applyFont="1" applyFill="1" applyBorder="1" applyAlignment="1">
      <alignment horizontal="center" vertical="center"/>
    </xf>
    <xf numFmtId="164" fontId="7" fillId="5" borderId="8" xfId="12" applyFont="1" applyFill="1" applyBorder="1" applyAlignment="1">
      <alignment horizontal="center" vertical="center"/>
    </xf>
    <xf numFmtId="192" fontId="8" fillId="5" borderId="8" xfId="0" applyNumberFormat="1" applyFont="1" applyFill="1" applyBorder="1" applyAlignment="1">
      <alignment horizontal="center" vertical="center"/>
    </xf>
    <xf numFmtId="192" fontId="8" fillId="5" borderId="18" xfId="0" applyNumberFormat="1" applyFont="1" applyFill="1" applyBorder="1" applyAlignment="1">
      <alignment horizontal="center" vertical="center"/>
    </xf>
    <xf numFmtId="192" fontId="8" fillId="0" borderId="8" xfId="0" applyNumberFormat="1" applyFont="1" applyFill="1" applyBorder="1" applyAlignment="1">
      <alignment horizontal="center" vertical="center"/>
    </xf>
    <xf numFmtId="192" fontId="8" fillId="0" borderId="18" xfId="0" applyNumberFormat="1" applyFont="1" applyFill="1" applyBorder="1" applyAlignment="1">
      <alignment horizontal="center" vertical="center"/>
    </xf>
    <xf numFmtId="49" fontId="7" fillId="5" borderId="8" xfId="0" applyNumberFormat="1" applyFont="1" applyFill="1" applyBorder="1" applyAlignment="1">
      <alignment horizontal="justify" vertical="center" wrapText="1"/>
    </xf>
    <xf numFmtId="49" fontId="7" fillId="5" borderId="18" xfId="0" applyNumberFormat="1" applyFont="1" applyFill="1" applyBorder="1" applyAlignment="1">
      <alignment horizontal="justify" vertical="center" wrapText="1"/>
    </xf>
    <xf numFmtId="176" fontId="7" fillId="0" borderId="15" xfId="0" applyNumberFormat="1" applyFont="1" applyBorder="1" applyAlignment="1">
      <alignment horizontal="center" vertical="center"/>
    </xf>
    <xf numFmtId="176" fontId="7" fillId="0" borderId="18" xfId="0" applyNumberFormat="1" applyFont="1" applyBorder="1" applyAlignment="1">
      <alignment horizontal="center" vertical="center"/>
    </xf>
    <xf numFmtId="176" fontId="7" fillId="0" borderId="8" xfId="0" applyNumberFormat="1" applyFont="1" applyBorder="1" applyAlignment="1">
      <alignment horizontal="center" vertical="center"/>
    </xf>
    <xf numFmtId="0" fontId="7" fillId="5" borderId="18" xfId="0" applyFont="1" applyFill="1" applyBorder="1" applyAlignment="1">
      <alignment horizontal="center"/>
    </xf>
    <xf numFmtId="164" fontId="7" fillId="0" borderId="18" xfId="12" applyFont="1" applyBorder="1" applyAlignment="1">
      <alignment horizontal="center" vertical="center"/>
    </xf>
    <xf numFmtId="0" fontId="7" fillId="2" borderId="8" xfId="0" applyFont="1" applyFill="1" applyBorder="1" applyAlignment="1">
      <alignment horizontal="justify" vertical="center" wrapText="1"/>
    </xf>
    <xf numFmtId="0" fontId="7" fillId="2" borderId="18" xfId="0" applyFont="1" applyFill="1" applyBorder="1" applyAlignment="1">
      <alignment horizontal="justify" vertical="center" wrapText="1"/>
    </xf>
    <xf numFmtId="1" fontId="7" fillId="5" borderId="1" xfId="14" applyNumberFormat="1" applyFont="1" applyFill="1" applyBorder="1" applyAlignment="1">
      <alignment horizontal="center" vertical="center" wrapText="1"/>
    </xf>
    <xf numFmtId="1" fontId="7" fillId="5" borderId="8" xfId="14" applyNumberFormat="1" applyFont="1" applyFill="1" applyBorder="1" applyAlignment="1">
      <alignment horizontal="center" vertical="center" wrapText="1"/>
    </xf>
    <xf numFmtId="1" fontId="7" fillId="5" borderId="18" xfId="14" applyNumberFormat="1" applyFont="1" applyFill="1" applyBorder="1" applyAlignment="1">
      <alignment horizontal="center" vertical="center" wrapText="1"/>
    </xf>
    <xf numFmtId="0" fontId="7" fillId="5" borderId="1" xfId="15" applyNumberFormat="1" applyFont="1" applyFill="1" applyBorder="1" applyAlignment="1">
      <alignment horizontal="justify" vertical="center" wrapText="1"/>
    </xf>
    <xf numFmtId="0" fontId="7" fillId="5" borderId="8" xfId="15" applyNumberFormat="1" applyFont="1" applyFill="1" applyBorder="1" applyAlignment="1">
      <alignment horizontal="justify" vertical="center" wrapText="1"/>
    </xf>
    <xf numFmtId="0" fontId="7" fillId="5" borderId="15" xfId="15" applyNumberFormat="1" applyFont="1" applyFill="1" applyBorder="1" applyAlignment="1">
      <alignment horizontal="justify" vertical="center" wrapText="1"/>
    </xf>
    <xf numFmtId="0" fontId="7" fillId="5" borderId="18" xfId="15" applyNumberFormat="1" applyFont="1" applyFill="1" applyBorder="1" applyAlignment="1">
      <alignment horizontal="justify" vertical="center" wrapText="1"/>
    </xf>
    <xf numFmtId="14" fontId="7" fillId="0" borderId="8" xfId="0" applyNumberFormat="1" applyFont="1" applyBorder="1" applyAlignment="1">
      <alignment horizontal="center" vertical="center" wrapText="1"/>
    </xf>
    <xf numFmtId="14" fontId="7" fillId="0" borderId="15" xfId="0" applyNumberFormat="1" applyFont="1" applyBorder="1" applyAlignment="1">
      <alignment horizontal="center" vertical="center" wrapText="1"/>
    </xf>
    <xf numFmtId="14" fontId="7" fillId="0" borderId="18" xfId="0" applyNumberFormat="1" applyFont="1" applyBorder="1" applyAlignment="1">
      <alignment horizontal="center" vertical="center" wrapText="1"/>
    </xf>
    <xf numFmtId="3" fontId="6" fillId="0" borderId="8" xfId="0" applyNumberFormat="1" applyFont="1" applyBorder="1" applyAlignment="1">
      <alignment horizontal="center" vertical="center"/>
    </xf>
    <xf numFmtId="3" fontId="6" fillId="0" borderId="15" xfId="0" applyNumberFormat="1" applyFont="1" applyBorder="1" applyAlignment="1">
      <alignment horizontal="center" vertical="center"/>
    </xf>
    <xf numFmtId="3" fontId="6" fillId="0" borderId="18" xfId="0" applyNumberFormat="1" applyFont="1" applyBorder="1" applyAlignment="1">
      <alignment horizontal="center" vertical="center"/>
    </xf>
    <xf numFmtId="0" fontId="16" fillId="5" borderId="8" xfId="0" applyFont="1" applyFill="1" applyBorder="1" applyAlignment="1">
      <alignment horizontal="center" vertical="center"/>
    </xf>
    <xf numFmtId="0" fontId="16" fillId="5" borderId="15" xfId="0" applyFont="1" applyFill="1" applyBorder="1" applyAlignment="1">
      <alignment horizontal="center" vertical="center"/>
    </xf>
    <xf numFmtId="10" fontId="7" fillId="0" borderId="1" xfId="5" applyNumberFormat="1" applyFont="1" applyFill="1" applyBorder="1" applyAlignment="1">
      <alignment horizontal="center" vertical="center"/>
    </xf>
    <xf numFmtId="3" fontId="7" fillId="5" borderId="8" xfId="0" applyNumberFormat="1" applyFont="1" applyFill="1" applyBorder="1" applyAlignment="1">
      <alignment horizontal="center" vertical="center"/>
    </xf>
    <xf numFmtId="3" fontId="7" fillId="5" borderId="15" xfId="0" applyNumberFormat="1" applyFont="1" applyFill="1" applyBorder="1" applyAlignment="1">
      <alignment horizontal="center" vertical="center"/>
    </xf>
    <xf numFmtId="3" fontId="7" fillId="5" borderId="18" xfId="0" applyNumberFormat="1" applyFont="1" applyFill="1" applyBorder="1" applyAlignment="1">
      <alignment horizontal="center" vertical="center"/>
    </xf>
    <xf numFmtId="3" fontId="6" fillId="5" borderId="8" xfId="0" applyNumberFormat="1" applyFont="1" applyFill="1" applyBorder="1" applyAlignment="1">
      <alignment horizontal="center" vertical="center"/>
    </xf>
    <xf numFmtId="3" fontId="6" fillId="5" borderId="15" xfId="0" applyNumberFormat="1" applyFont="1" applyFill="1" applyBorder="1" applyAlignment="1">
      <alignment horizontal="center" vertical="center"/>
    </xf>
    <xf numFmtId="3" fontId="6" fillId="5" borderId="18" xfId="0" applyNumberFormat="1" applyFont="1" applyFill="1" applyBorder="1" applyAlignment="1">
      <alignment horizontal="center" vertical="center"/>
    </xf>
    <xf numFmtId="164" fontId="7" fillId="0" borderId="8" xfId="12" applyFont="1" applyFill="1" applyBorder="1" applyAlignment="1">
      <alignment horizontal="center" vertical="center"/>
    </xf>
    <xf numFmtId="164" fontId="7" fillId="0" borderId="15" xfId="12" applyFont="1" applyFill="1" applyBorder="1" applyAlignment="1">
      <alignment horizontal="center" vertical="center"/>
    </xf>
    <xf numFmtId="164" fontId="7" fillId="0" borderId="18" xfId="12" applyFont="1" applyFill="1" applyBorder="1" applyAlignment="1">
      <alignment horizontal="center" vertical="center"/>
    </xf>
    <xf numFmtId="0" fontId="6" fillId="0" borderId="28" xfId="0" applyFont="1" applyBorder="1" applyAlignment="1">
      <alignment horizontal="right" vertical="center" wrapText="1"/>
    </xf>
    <xf numFmtId="0" fontId="6" fillId="0" borderId="29" xfId="0" applyFont="1" applyBorder="1" applyAlignment="1">
      <alignment horizontal="right" vertical="center" wrapText="1"/>
    </xf>
    <xf numFmtId="0" fontId="6" fillId="0" borderId="30" xfId="0" applyFont="1" applyBorder="1" applyAlignment="1">
      <alignment horizontal="right" vertical="center" wrapText="1"/>
    </xf>
    <xf numFmtId="0" fontId="6" fillId="0" borderId="0" xfId="0" applyNumberFormat="1" applyFont="1" applyAlignment="1">
      <alignment horizont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27" xfId="0" applyFont="1" applyFill="1" applyBorder="1" applyAlignment="1">
      <alignment horizontal="justify" vertical="center" wrapText="1"/>
    </xf>
    <xf numFmtId="0" fontId="6" fillId="0" borderId="22" xfId="0" applyFont="1" applyFill="1" applyBorder="1" applyAlignment="1">
      <alignment horizontal="justify" vertical="center" wrapText="1"/>
    </xf>
    <xf numFmtId="0" fontId="16" fillId="5" borderId="8" xfId="0" applyFont="1" applyFill="1" applyBorder="1" applyAlignment="1">
      <alignment horizontal="center" vertical="center" wrapText="1"/>
    </xf>
    <xf numFmtId="0" fontId="16" fillId="5" borderId="15" xfId="0" applyFont="1" applyFill="1" applyBorder="1" applyAlignment="1">
      <alignment horizontal="center" vertical="center" wrapText="1"/>
    </xf>
    <xf numFmtId="164" fontId="7" fillId="0" borderId="1" xfId="12" applyFont="1" applyFill="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44" fontId="6" fillId="0" borderId="15" xfId="7" applyFont="1" applyBorder="1" applyAlignment="1">
      <alignment horizontal="center" vertical="center"/>
    </xf>
    <xf numFmtId="44" fontId="6" fillId="0" borderId="18" xfId="7" applyFont="1" applyBorder="1" applyAlignment="1">
      <alignment horizontal="center" vertical="center"/>
    </xf>
    <xf numFmtId="44" fontId="7" fillId="0" borderId="15" xfId="7" applyFont="1" applyBorder="1" applyAlignment="1">
      <alignment horizontal="center" vertical="center"/>
    </xf>
    <xf numFmtId="44" fontId="7" fillId="0" borderId="18" xfId="7" applyFont="1" applyBorder="1" applyAlignment="1">
      <alignment horizontal="center" vertical="center"/>
    </xf>
    <xf numFmtId="10" fontId="6" fillId="0" borderId="15" xfId="0" applyNumberFormat="1" applyFont="1" applyBorder="1" applyAlignment="1">
      <alignment horizontal="center" vertical="center"/>
    </xf>
    <xf numFmtId="2" fontId="14" fillId="14" borderId="18" xfId="0" applyNumberFormat="1" applyFont="1" applyFill="1" applyBorder="1" applyAlignment="1">
      <alignment horizontal="center" vertical="center" wrapText="1"/>
    </xf>
    <xf numFmtId="2" fontId="14" fillId="14" borderId="1" xfId="0" applyNumberFormat="1" applyFont="1" applyFill="1" applyBorder="1" applyAlignment="1">
      <alignment horizontal="center" vertical="center" wrapText="1"/>
    </xf>
    <xf numFmtId="2" fontId="14" fillId="14" borderId="15" xfId="0" applyNumberFormat="1" applyFont="1" applyFill="1" applyBorder="1" applyAlignment="1">
      <alignment horizontal="center" vertical="center" wrapText="1"/>
    </xf>
    <xf numFmtId="2" fontId="14" fillId="14" borderId="15" xfId="0" applyNumberFormat="1" applyFont="1" applyFill="1" applyBorder="1" applyAlignment="1">
      <alignment horizontal="center" vertical="center"/>
    </xf>
    <xf numFmtId="2" fontId="14" fillId="14" borderId="18" xfId="0" applyNumberFormat="1" applyFont="1" applyFill="1" applyBorder="1" applyAlignment="1">
      <alignment horizontal="center" vertical="center"/>
    </xf>
    <xf numFmtId="2" fontId="7" fillId="0" borderId="15" xfId="0" applyNumberFormat="1" applyFont="1" applyBorder="1" applyAlignment="1">
      <alignment horizontal="center" vertical="center"/>
    </xf>
    <xf numFmtId="2" fontId="7" fillId="0" borderId="18" xfId="0" applyNumberFormat="1" applyFont="1" applyBorder="1" applyAlignment="1">
      <alignment horizontal="center" vertical="center"/>
    </xf>
    <xf numFmtId="3" fontId="7" fillId="0" borderId="15" xfId="0" applyNumberFormat="1" applyFont="1" applyFill="1" applyBorder="1" applyAlignment="1">
      <alignment horizontal="center" vertical="center"/>
    </xf>
    <xf numFmtId="3" fontId="7" fillId="0" borderId="18" xfId="0" applyNumberFormat="1" applyFont="1" applyFill="1" applyBorder="1" applyAlignment="1">
      <alignment horizontal="center" vertical="center"/>
    </xf>
    <xf numFmtId="2" fontId="7" fillId="0" borderId="16" xfId="0" applyNumberFormat="1" applyFont="1" applyBorder="1" applyAlignment="1">
      <alignment horizontal="center" vertical="center"/>
    </xf>
    <xf numFmtId="2" fontId="7" fillId="0" borderId="13" xfId="0" applyNumberFormat="1"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2" fontId="7" fillId="0" borderId="6" xfId="0" applyNumberFormat="1" applyFont="1" applyBorder="1" applyAlignment="1">
      <alignment horizontal="center" vertical="center"/>
    </xf>
    <xf numFmtId="0" fontId="7" fillId="0" borderId="9" xfId="0" applyFont="1" applyBorder="1" applyAlignment="1">
      <alignment horizontal="center" vertical="center" wrapText="1"/>
    </xf>
    <xf numFmtId="0" fontId="11" fillId="0" borderId="0" xfId="0" applyFont="1" applyFill="1" applyBorder="1" applyAlignment="1">
      <alignment horizontal="center"/>
    </xf>
    <xf numFmtId="0" fontId="12" fillId="5" borderId="1" xfId="16" applyFont="1" applyFill="1" applyBorder="1" applyAlignment="1">
      <alignment horizontal="left" vertical="center" wrapText="1"/>
    </xf>
    <xf numFmtId="0" fontId="12" fillId="0" borderId="9" xfId="16" applyFont="1" applyBorder="1" applyAlignment="1">
      <alignment horizontal="center"/>
    </xf>
    <xf numFmtId="44" fontId="1" fillId="0" borderId="0" xfId="7" applyFont="1" applyFill="1" applyBorder="1" applyAlignment="1">
      <alignment horizontal="center" vertical="center"/>
    </xf>
    <xf numFmtId="170" fontId="12" fillId="5" borderId="8" xfId="16" applyNumberFormat="1" applyFont="1" applyFill="1" applyBorder="1" applyAlignment="1">
      <alignment horizontal="center" vertical="center" wrapText="1"/>
    </xf>
    <xf numFmtId="170" fontId="12" fillId="5" borderId="15" xfId="16" applyNumberFormat="1" applyFont="1" applyFill="1" applyBorder="1" applyAlignment="1">
      <alignment horizontal="center" vertical="center" wrapText="1"/>
    </xf>
    <xf numFmtId="170" fontId="12" fillId="5" borderId="18" xfId="16" applyNumberFormat="1" applyFont="1" applyFill="1" applyBorder="1" applyAlignment="1">
      <alignment horizontal="center" vertical="center" wrapText="1"/>
    </xf>
    <xf numFmtId="3" fontId="12" fillId="5" borderId="8" xfId="16" applyNumberFormat="1" applyFont="1" applyFill="1" applyBorder="1" applyAlignment="1">
      <alignment horizontal="justify" vertical="center" wrapText="1"/>
    </xf>
    <xf numFmtId="3" fontId="12" fillId="5" borderId="15" xfId="16" applyNumberFormat="1" applyFont="1" applyFill="1" applyBorder="1" applyAlignment="1">
      <alignment horizontal="justify" vertical="center" wrapText="1"/>
    </xf>
    <xf numFmtId="3" fontId="12" fillId="5" borderId="18" xfId="16" applyNumberFormat="1" applyFont="1" applyFill="1" applyBorder="1" applyAlignment="1">
      <alignment horizontal="justify" vertical="center" wrapText="1"/>
    </xf>
    <xf numFmtId="0" fontId="12" fillId="5" borderId="8" xfId="16" applyFont="1" applyFill="1" applyBorder="1" applyAlignment="1">
      <alignment horizontal="center" vertical="center" wrapText="1"/>
    </xf>
    <xf numFmtId="0" fontId="12" fillId="5" borderId="15" xfId="16" applyFont="1" applyFill="1" applyBorder="1" applyAlignment="1">
      <alignment horizontal="center" vertical="center" wrapText="1"/>
    </xf>
    <xf numFmtId="0" fontId="12" fillId="5" borderId="18" xfId="16" applyFont="1" applyFill="1" applyBorder="1" applyAlignment="1">
      <alignment horizontal="center" vertical="center" wrapText="1"/>
    </xf>
    <xf numFmtId="0" fontId="12" fillId="5" borderId="8" xfId="16" applyFont="1" applyFill="1" applyBorder="1" applyAlignment="1">
      <alignment horizontal="justify" vertical="center" wrapText="1"/>
    </xf>
    <xf numFmtId="0" fontId="12" fillId="5" borderId="15" xfId="16" applyFont="1" applyFill="1" applyBorder="1" applyAlignment="1">
      <alignment horizontal="justify" vertical="center" wrapText="1"/>
    </xf>
    <xf numFmtId="0" fontId="12" fillId="5" borderId="18" xfId="16" applyFont="1" applyFill="1" applyBorder="1" applyAlignment="1">
      <alignment horizontal="justify" vertical="center" wrapText="1"/>
    </xf>
    <xf numFmtId="9" fontId="12" fillId="5" borderId="8" xfId="5" applyFont="1" applyFill="1" applyBorder="1" applyAlignment="1">
      <alignment horizontal="center" vertical="center" wrapText="1"/>
    </xf>
    <xf numFmtId="9" fontId="12" fillId="5" borderId="15" xfId="5" applyFont="1" applyFill="1" applyBorder="1" applyAlignment="1">
      <alignment horizontal="center" vertical="center" wrapText="1"/>
    </xf>
    <xf numFmtId="9" fontId="12" fillId="5" borderId="18" xfId="5" applyFont="1" applyFill="1" applyBorder="1" applyAlignment="1">
      <alignment horizontal="center" vertical="center" wrapText="1"/>
    </xf>
    <xf numFmtId="44" fontId="12" fillId="0" borderId="8" xfId="7" applyFont="1" applyFill="1" applyBorder="1" applyAlignment="1">
      <alignment horizontal="center" vertical="center" wrapText="1"/>
    </xf>
    <xf numFmtId="44" fontId="12" fillId="0" borderId="15" xfId="7" applyFont="1" applyFill="1" applyBorder="1" applyAlignment="1">
      <alignment horizontal="center" vertical="center" wrapText="1"/>
    </xf>
    <xf numFmtId="44" fontId="12" fillId="0" borderId="18" xfId="7" applyFont="1" applyFill="1" applyBorder="1" applyAlignment="1">
      <alignment horizontal="center" vertical="center" wrapText="1"/>
    </xf>
    <xf numFmtId="9" fontId="12" fillId="0" borderId="8" xfId="5" applyFont="1" applyFill="1" applyBorder="1" applyAlignment="1">
      <alignment horizontal="center" vertical="center" wrapText="1"/>
    </xf>
    <xf numFmtId="9" fontId="12" fillId="0" borderId="15" xfId="5" applyFont="1" applyFill="1" applyBorder="1" applyAlignment="1">
      <alignment horizontal="center" vertical="center" wrapText="1"/>
    </xf>
    <xf numFmtId="9" fontId="12" fillId="0" borderId="18" xfId="5" applyFont="1" applyFill="1" applyBorder="1" applyAlignment="1">
      <alignment horizontal="center" vertical="center" wrapText="1"/>
    </xf>
    <xf numFmtId="0" fontId="12" fillId="0" borderId="8" xfId="6" applyNumberFormat="1" applyFont="1" applyFill="1" applyBorder="1" applyAlignment="1">
      <alignment horizontal="center" vertical="center" wrapText="1"/>
    </xf>
    <xf numFmtId="0" fontId="12" fillId="0" borderId="15" xfId="6" applyNumberFormat="1" applyFont="1" applyFill="1" applyBorder="1" applyAlignment="1">
      <alignment horizontal="center" vertical="center" wrapText="1"/>
    </xf>
    <xf numFmtId="0" fontId="12" fillId="0" borderId="18" xfId="6" applyNumberFormat="1" applyFont="1" applyFill="1" applyBorder="1" applyAlignment="1">
      <alignment horizontal="center" vertical="center" wrapText="1"/>
    </xf>
    <xf numFmtId="3" fontId="12" fillId="5" borderId="1" xfId="16" applyNumberFormat="1" applyFont="1" applyFill="1" applyBorder="1" applyAlignment="1">
      <alignment horizontal="justify" vertical="center" wrapText="1"/>
    </xf>
    <xf numFmtId="42" fontId="12" fillId="5" borderId="8" xfId="8" applyFont="1" applyFill="1" applyBorder="1" applyAlignment="1">
      <alignment horizontal="center" vertical="center" wrapText="1"/>
    </xf>
    <xf numFmtId="42" fontId="12" fillId="5" borderId="15" xfId="8" applyFont="1" applyFill="1" applyBorder="1" applyAlignment="1">
      <alignment horizontal="center" vertical="center" wrapText="1"/>
    </xf>
    <xf numFmtId="42" fontId="12" fillId="5" borderId="18" xfId="8" applyFont="1" applyFill="1" applyBorder="1" applyAlignment="1">
      <alignment horizontal="center" vertical="center" wrapText="1"/>
    </xf>
    <xf numFmtId="0" fontId="12" fillId="5" borderId="8" xfId="16" applyFont="1" applyFill="1" applyBorder="1" applyAlignment="1">
      <alignment horizontal="left" vertical="center" wrapText="1"/>
    </xf>
    <xf numFmtId="0" fontId="12" fillId="5" borderId="15" xfId="16" applyFont="1" applyFill="1" applyBorder="1" applyAlignment="1">
      <alignment horizontal="left" vertical="center" wrapText="1"/>
    </xf>
    <xf numFmtId="0" fontId="12" fillId="5" borderId="18" xfId="16" applyFont="1" applyFill="1" applyBorder="1" applyAlignment="1">
      <alignment horizontal="left" vertical="center" wrapText="1"/>
    </xf>
    <xf numFmtId="1" fontId="12" fillId="5" borderId="8" xfId="16" applyNumberFormat="1" applyFont="1" applyFill="1" applyBorder="1" applyAlignment="1">
      <alignment horizontal="center" vertical="center"/>
    </xf>
    <xf numFmtId="1" fontId="12" fillId="5" borderId="15" xfId="16" applyNumberFormat="1" applyFont="1" applyFill="1" applyBorder="1" applyAlignment="1">
      <alignment horizontal="center" vertical="center"/>
    </xf>
    <xf numFmtId="1" fontId="12" fillId="5" borderId="18" xfId="16" applyNumberFormat="1" applyFont="1" applyFill="1" applyBorder="1" applyAlignment="1">
      <alignment horizontal="center" vertical="center"/>
    </xf>
    <xf numFmtId="14" fontId="12" fillId="0" borderId="1" xfId="6" applyNumberFormat="1" applyFont="1" applyFill="1" applyBorder="1" applyAlignment="1">
      <alignment horizontal="center" vertical="center" wrapText="1"/>
    </xf>
    <xf numFmtId="0" fontId="12" fillId="0" borderId="1" xfId="6" applyNumberFormat="1" applyFont="1" applyFill="1" applyBorder="1" applyAlignment="1">
      <alignment horizontal="center" vertical="center" wrapText="1"/>
    </xf>
    <xf numFmtId="14" fontId="12" fillId="0" borderId="8" xfId="6" applyNumberFormat="1" applyFont="1" applyFill="1" applyBorder="1" applyAlignment="1">
      <alignment horizontal="center" vertical="center" wrapText="1"/>
    </xf>
    <xf numFmtId="1" fontId="12" fillId="5" borderId="1" xfId="16" applyNumberFormat="1" applyFont="1" applyFill="1" applyBorder="1" applyAlignment="1">
      <alignment horizontal="center" vertical="center" wrapText="1"/>
    </xf>
    <xf numFmtId="0" fontId="12" fillId="5" borderId="9" xfId="16" applyFont="1" applyFill="1" applyBorder="1" applyAlignment="1">
      <alignment horizontal="center" vertical="center" wrapText="1"/>
    </xf>
    <xf numFmtId="0" fontId="12" fillId="5" borderId="0" xfId="16" applyFont="1" applyFill="1" applyBorder="1" applyAlignment="1">
      <alignment horizontal="center" vertical="center" wrapText="1"/>
    </xf>
    <xf numFmtId="0" fontId="12" fillId="0" borderId="8" xfId="16" applyFont="1" applyFill="1" applyBorder="1" applyAlignment="1">
      <alignment horizontal="center" vertical="center" wrapText="1"/>
    </xf>
    <xf numFmtId="0" fontId="12" fillId="0" borderId="15" xfId="16" applyFont="1" applyFill="1" applyBorder="1" applyAlignment="1">
      <alignment horizontal="center" vertical="center" wrapText="1"/>
    </xf>
    <xf numFmtId="0" fontId="12" fillId="0" borderId="18" xfId="16" applyFont="1" applyFill="1" applyBorder="1" applyAlignment="1">
      <alignment horizontal="center" vertical="center" wrapText="1"/>
    </xf>
    <xf numFmtId="0" fontId="12" fillId="0" borderId="8" xfId="16" applyFont="1" applyFill="1" applyBorder="1" applyAlignment="1">
      <alignment horizontal="justify" vertical="center" wrapText="1"/>
    </xf>
    <xf numFmtId="0" fontId="12" fillId="0" borderId="15" xfId="16" applyFont="1" applyFill="1" applyBorder="1" applyAlignment="1">
      <alignment horizontal="justify" vertical="center" wrapText="1"/>
    </xf>
    <xf numFmtId="0" fontId="12" fillId="0" borderId="18" xfId="16" applyFont="1" applyFill="1" applyBorder="1" applyAlignment="1">
      <alignment horizontal="justify" vertical="center" wrapText="1"/>
    </xf>
    <xf numFmtId="9" fontId="12" fillId="0" borderId="1" xfId="5" applyFont="1" applyFill="1" applyBorder="1" applyAlignment="1">
      <alignment horizontal="center" vertical="center" wrapText="1"/>
    </xf>
    <xf numFmtId="42" fontId="12" fillId="0" borderId="1" xfId="8" applyFont="1" applyFill="1" applyBorder="1" applyAlignment="1">
      <alignment horizontal="center" vertical="center" wrapText="1"/>
    </xf>
    <xf numFmtId="0" fontId="12" fillId="0" borderId="1" xfId="16" applyFont="1" applyFill="1" applyBorder="1" applyAlignment="1">
      <alignment horizontal="justify" vertical="center" wrapText="1"/>
    </xf>
    <xf numFmtId="2" fontId="12" fillId="0" borderId="8" xfId="6" applyNumberFormat="1" applyFont="1" applyFill="1" applyBorder="1" applyAlignment="1">
      <alignment horizontal="center" vertical="center" wrapText="1"/>
    </xf>
    <xf numFmtId="2" fontId="12" fillId="0" borderId="15" xfId="6" applyNumberFormat="1" applyFont="1" applyFill="1" applyBorder="1" applyAlignment="1">
      <alignment horizontal="center" vertical="center" wrapText="1"/>
    </xf>
    <xf numFmtId="2" fontId="12" fillId="0" borderId="18" xfId="6" applyNumberFormat="1" applyFont="1" applyFill="1" applyBorder="1" applyAlignment="1">
      <alignment horizontal="center" vertical="center" wrapText="1"/>
    </xf>
    <xf numFmtId="1" fontId="12" fillId="5" borderId="8" xfId="16" applyNumberFormat="1" applyFont="1" applyFill="1" applyBorder="1" applyAlignment="1">
      <alignment horizontal="center" vertical="center" wrapText="1"/>
    </xf>
    <xf numFmtId="1" fontId="12" fillId="5" borderId="15" xfId="16" applyNumberFormat="1" applyFont="1" applyFill="1" applyBorder="1" applyAlignment="1">
      <alignment horizontal="center" vertical="center" wrapText="1"/>
    </xf>
    <xf numFmtId="1" fontId="12" fillId="5" borderId="18" xfId="16" applyNumberFormat="1" applyFont="1" applyFill="1" applyBorder="1" applyAlignment="1">
      <alignment horizontal="center" vertical="center" wrapText="1"/>
    </xf>
    <xf numFmtId="176" fontId="12" fillId="0" borderId="8" xfId="6" applyNumberFormat="1" applyFont="1" applyFill="1" applyBorder="1" applyAlignment="1">
      <alignment horizontal="center" vertical="center" wrapText="1"/>
    </xf>
    <xf numFmtId="176" fontId="12" fillId="0" borderId="15" xfId="6" applyNumberFormat="1" applyFont="1" applyFill="1" applyBorder="1" applyAlignment="1">
      <alignment horizontal="center" vertical="center" wrapText="1"/>
    </xf>
    <xf numFmtId="176" fontId="12" fillId="0" borderId="18" xfId="6" applyNumberFormat="1" applyFont="1" applyFill="1" applyBorder="1" applyAlignment="1">
      <alignment horizontal="center" vertical="center" wrapText="1"/>
    </xf>
    <xf numFmtId="1" fontId="12" fillId="5" borderId="8" xfId="16" quotePrefix="1" applyNumberFormat="1" applyFont="1" applyFill="1" applyBorder="1" applyAlignment="1">
      <alignment horizontal="center" vertical="center" wrapText="1"/>
    </xf>
    <xf numFmtId="1" fontId="12" fillId="5" borderId="15" xfId="16" quotePrefix="1" applyNumberFormat="1" applyFont="1" applyFill="1" applyBorder="1" applyAlignment="1">
      <alignment horizontal="center" vertical="center" wrapText="1"/>
    </xf>
    <xf numFmtId="1" fontId="12" fillId="5" borderId="18" xfId="16" quotePrefix="1" applyNumberFormat="1" applyFont="1" applyFill="1" applyBorder="1" applyAlignment="1">
      <alignment horizontal="center" vertical="center" wrapText="1"/>
    </xf>
    <xf numFmtId="170" fontId="12" fillId="5" borderId="1" xfId="16" applyNumberFormat="1" applyFont="1" applyFill="1" applyBorder="1" applyAlignment="1">
      <alignment horizontal="center" vertical="center" wrapText="1"/>
    </xf>
    <xf numFmtId="176" fontId="11" fillId="12" borderId="3" xfId="6" applyNumberFormat="1" applyFont="1" applyFill="1" applyBorder="1" applyAlignment="1">
      <alignment horizontal="center" vertical="center" textRotation="180" wrapText="1"/>
    </xf>
    <xf numFmtId="176" fontId="11" fillId="12" borderId="4" xfId="6" applyNumberFormat="1" applyFont="1" applyFill="1" applyBorder="1" applyAlignment="1">
      <alignment horizontal="center" vertical="center" textRotation="180" wrapText="1"/>
    </xf>
    <xf numFmtId="176" fontId="11" fillId="12" borderId="5" xfId="6" applyNumberFormat="1" applyFont="1" applyFill="1" applyBorder="1" applyAlignment="1">
      <alignment horizontal="center" vertical="center" textRotation="180" wrapText="1"/>
    </xf>
    <xf numFmtId="0" fontId="12" fillId="5" borderId="1" xfId="16" quotePrefix="1" applyFont="1" applyFill="1" applyBorder="1" applyAlignment="1">
      <alignment horizontal="left" vertical="center" wrapText="1"/>
    </xf>
    <xf numFmtId="164" fontId="12" fillId="0" borderId="8" xfId="18" applyFont="1" applyFill="1" applyBorder="1" applyAlignment="1">
      <alignment horizontal="center" vertical="center" wrapText="1"/>
    </xf>
    <xf numFmtId="164" fontId="12" fillId="0" borderId="18" xfId="18" applyFont="1" applyFill="1" applyBorder="1" applyAlignment="1">
      <alignment horizontal="center" vertical="center" wrapText="1"/>
    </xf>
    <xf numFmtId="2" fontId="12" fillId="0" borderId="8" xfId="18" applyNumberFormat="1" applyFont="1" applyFill="1" applyBorder="1" applyAlignment="1">
      <alignment horizontal="center" vertical="center" wrapText="1"/>
    </xf>
    <xf numFmtId="2" fontId="12" fillId="0" borderId="18" xfId="18" applyNumberFormat="1" applyFont="1" applyFill="1" applyBorder="1" applyAlignment="1">
      <alignment horizontal="center" vertical="center" wrapText="1"/>
    </xf>
    <xf numFmtId="0" fontId="12" fillId="0" borderId="8" xfId="16" applyFont="1" applyFill="1" applyBorder="1" applyAlignment="1">
      <alignment horizontal="center" vertical="center"/>
    </xf>
    <xf numFmtId="0" fontId="12" fillId="0" borderId="18" xfId="16" applyFont="1" applyFill="1" applyBorder="1" applyAlignment="1">
      <alignment horizontal="center" vertical="center"/>
    </xf>
    <xf numFmtId="0" fontId="12" fillId="5" borderId="8" xfId="16" applyFont="1" applyFill="1" applyBorder="1" applyAlignment="1">
      <alignment horizontal="center" vertical="center"/>
    </xf>
    <xf numFmtId="0" fontId="12" fillId="5" borderId="18" xfId="16" applyFont="1" applyFill="1" applyBorder="1" applyAlignment="1">
      <alignment horizontal="center" vertical="center"/>
    </xf>
    <xf numFmtId="0" fontId="12" fillId="5" borderId="15" xfId="16" applyFont="1" applyFill="1" applyBorder="1" applyAlignment="1">
      <alignment horizontal="center" vertical="center"/>
    </xf>
    <xf numFmtId="42" fontId="12" fillId="5" borderId="8" xfId="8" applyNumberFormat="1" applyFont="1" applyFill="1" applyBorder="1" applyAlignment="1">
      <alignment horizontal="center" vertical="center" wrapText="1"/>
    </xf>
    <xf numFmtId="42" fontId="12" fillId="5" borderId="15" xfId="8" applyNumberFormat="1" applyFont="1" applyFill="1" applyBorder="1" applyAlignment="1">
      <alignment horizontal="center" vertical="center" wrapText="1"/>
    </xf>
    <xf numFmtId="0" fontId="12" fillId="5" borderId="1" xfId="16" applyFont="1" applyFill="1" applyBorder="1" applyAlignment="1">
      <alignment horizontal="center" vertical="center" wrapText="1"/>
    </xf>
    <xf numFmtId="0" fontId="12" fillId="5" borderId="1" xfId="16" applyFont="1" applyFill="1" applyBorder="1" applyAlignment="1">
      <alignment horizontal="justify" vertical="center" wrapText="1"/>
    </xf>
    <xf numFmtId="10" fontId="12" fillId="5" borderId="8" xfId="5" applyNumberFormat="1" applyFont="1" applyFill="1" applyBorder="1" applyAlignment="1">
      <alignment horizontal="center" vertical="center" wrapText="1"/>
    </xf>
    <xf numFmtId="10" fontId="12" fillId="5" borderId="18" xfId="5" applyNumberFormat="1" applyFont="1" applyFill="1" applyBorder="1" applyAlignment="1">
      <alignment horizontal="center" vertical="center" wrapText="1"/>
    </xf>
    <xf numFmtId="44" fontId="12" fillId="5" borderId="8" xfId="7" applyFont="1" applyFill="1" applyBorder="1" applyAlignment="1">
      <alignment horizontal="center" vertical="center" wrapText="1"/>
    </xf>
    <xf numFmtId="44" fontId="12" fillId="5" borderId="15" xfId="7" applyFont="1" applyFill="1" applyBorder="1" applyAlignment="1">
      <alignment horizontal="center" vertical="center" wrapText="1"/>
    </xf>
    <xf numFmtId="44" fontId="12" fillId="5" borderId="18" xfId="7" applyFont="1" applyFill="1" applyBorder="1" applyAlignment="1">
      <alignment horizontal="center" vertical="center" wrapText="1"/>
    </xf>
    <xf numFmtId="0" fontId="12" fillId="5" borderId="8" xfId="6" applyNumberFormat="1" applyFont="1" applyFill="1" applyBorder="1" applyAlignment="1">
      <alignment horizontal="center" vertical="center" wrapText="1"/>
    </xf>
    <xf numFmtId="0" fontId="12" fillId="5" borderId="15" xfId="6" applyNumberFormat="1" applyFont="1" applyFill="1" applyBorder="1" applyAlignment="1">
      <alignment horizontal="center" vertical="center" wrapText="1"/>
    </xf>
    <xf numFmtId="0" fontId="12" fillId="5" borderId="18" xfId="6" applyNumberFormat="1" applyFont="1" applyFill="1" applyBorder="1" applyAlignment="1">
      <alignment horizontal="center" vertical="center" wrapText="1"/>
    </xf>
    <xf numFmtId="0" fontId="11" fillId="0" borderId="9" xfId="16" applyFont="1" applyFill="1" applyBorder="1" applyAlignment="1">
      <alignment horizontal="center" vertical="center" wrapText="1"/>
    </xf>
    <xf numFmtId="0" fontId="11" fillId="0" borderId="7" xfId="16" applyFont="1" applyFill="1" applyBorder="1" applyAlignment="1">
      <alignment horizontal="center" vertical="center" wrapText="1"/>
    </xf>
    <xf numFmtId="0" fontId="11" fillId="0" borderId="0" xfId="16" applyFont="1" applyFill="1" applyBorder="1" applyAlignment="1">
      <alignment horizontal="center" vertical="center" wrapText="1"/>
    </xf>
    <xf numFmtId="0" fontId="11" fillId="0" borderId="17" xfId="16" applyFont="1" applyFill="1" applyBorder="1" applyAlignment="1">
      <alignment horizontal="center" vertical="center" wrapText="1"/>
    </xf>
    <xf numFmtId="0" fontId="11" fillId="0" borderId="2" xfId="16" applyFont="1" applyFill="1" applyBorder="1" applyAlignment="1">
      <alignment horizontal="center" vertical="center" wrapText="1"/>
    </xf>
    <xf numFmtId="0" fontId="11" fillId="0" borderId="14" xfId="16" applyFont="1" applyFill="1" applyBorder="1" applyAlignment="1">
      <alignment horizontal="center" vertical="center" wrapText="1"/>
    </xf>
    <xf numFmtId="42" fontId="12" fillId="5" borderId="1" xfId="8" applyNumberFormat="1" applyFont="1" applyFill="1" applyBorder="1" applyAlignment="1">
      <alignment horizontal="center" vertical="center" wrapText="1"/>
    </xf>
    <xf numFmtId="164" fontId="12" fillId="0" borderId="1" xfId="18" applyFont="1" applyFill="1" applyBorder="1" applyAlignment="1">
      <alignment horizontal="center" vertical="center" wrapText="1"/>
    </xf>
    <xf numFmtId="37" fontId="12" fillId="5" borderId="8" xfId="8" applyNumberFormat="1" applyFont="1" applyFill="1" applyBorder="1" applyAlignment="1">
      <alignment horizontal="center" vertical="center" wrapText="1"/>
    </xf>
    <xf numFmtId="37" fontId="12" fillId="5" borderId="15" xfId="8" applyNumberFormat="1" applyFont="1" applyFill="1" applyBorder="1" applyAlignment="1">
      <alignment horizontal="center" vertical="center" wrapText="1"/>
    </xf>
    <xf numFmtId="49" fontId="12" fillId="0" borderId="8" xfId="19" applyNumberFormat="1" applyFont="1" applyFill="1" applyBorder="1" applyAlignment="1">
      <alignment horizontal="justify" vertical="center" wrapText="1"/>
    </xf>
    <xf numFmtId="49" fontId="12" fillId="0" borderId="18" xfId="19" applyNumberFormat="1" applyFont="1" applyFill="1" applyBorder="1" applyAlignment="1">
      <alignment horizontal="justify" vertical="center" wrapText="1"/>
    </xf>
    <xf numFmtId="0" fontId="12" fillId="0" borderId="8" xfId="6" applyNumberFormat="1" applyFont="1" applyFill="1" applyBorder="1" applyAlignment="1">
      <alignment horizontal="center" vertical="center" textRotation="91" wrapText="1"/>
    </xf>
    <xf numFmtId="0" fontId="12" fillId="0" borderId="15" xfId="6" applyNumberFormat="1" applyFont="1" applyFill="1" applyBorder="1" applyAlignment="1">
      <alignment horizontal="center" vertical="center" textRotation="91" wrapText="1"/>
    </xf>
    <xf numFmtId="0" fontId="12" fillId="0" borderId="18" xfId="6" applyNumberFormat="1" applyFont="1" applyFill="1" applyBorder="1" applyAlignment="1">
      <alignment horizontal="center" vertical="center" textRotation="91" wrapText="1"/>
    </xf>
    <xf numFmtId="37" fontId="12" fillId="0" borderId="8" xfId="6" applyNumberFormat="1" applyFont="1" applyFill="1" applyBorder="1" applyAlignment="1">
      <alignment horizontal="center" vertical="center" textRotation="91" wrapText="1"/>
    </xf>
    <xf numFmtId="37" fontId="12" fillId="0" borderId="15" xfId="6" applyNumberFormat="1" applyFont="1" applyFill="1" applyBorder="1" applyAlignment="1">
      <alignment horizontal="center" vertical="center" textRotation="91" wrapText="1"/>
    </xf>
    <xf numFmtId="37" fontId="12" fillId="0" borderId="18" xfId="6" applyNumberFormat="1" applyFont="1" applyFill="1" applyBorder="1" applyAlignment="1">
      <alignment horizontal="center" vertical="center" textRotation="91" wrapText="1"/>
    </xf>
    <xf numFmtId="9" fontId="12" fillId="0" borderId="8" xfId="5" applyFont="1" applyFill="1" applyBorder="1" applyAlignment="1">
      <alignment horizontal="center" vertical="center" textRotation="91" wrapText="1"/>
    </xf>
    <xf numFmtId="9" fontId="12" fillId="0" borderId="15" xfId="5" applyFont="1" applyFill="1" applyBorder="1" applyAlignment="1">
      <alignment horizontal="center" vertical="center" textRotation="91" wrapText="1"/>
    </xf>
    <xf numFmtId="9" fontId="12" fillId="0" borderId="18" xfId="5" applyFont="1" applyFill="1" applyBorder="1" applyAlignment="1">
      <alignment horizontal="center" vertical="center" textRotation="91" wrapText="1"/>
    </xf>
    <xf numFmtId="1" fontId="12" fillId="0" borderId="8" xfId="6" applyNumberFormat="1" applyFont="1" applyFill="1" applyBorder="1" applyAlignment="1">
      <alignment horizontal="center" vertical="center" wrapText="1"/>
    </xf>
    <xf numFmtId="1" fontId="12" fillId="0" borderId="15" xfId="6" applyNumberFormat="1" applyFont="1" applyFill="1" applyBorder="1" applyAlignment="1">
      <alignment horizontal="center" vertical="center" wrapText="1"/>
    </xf>
    <xf numFmtId="1" fontId="12" fillId="0" borderId="18" xfId="6" applyNumberFormat="1" applyFont="1" applyFill="1" applyBorder="1" applyAlignment="1">
      <alignment horizontal="center" vertical="center" wrapText="1"/>
    </xf>
    <xf numFmtId="194" fontId="12" fillId="5" borderId="8" xfId="16" applyNumberFormat="1" applyFont="1" applyFill="1" applyBorder="1" applyAlignment="1">
      <alignment horizontal="center" vertical="center" wrapText="1"/>
    </xf>
    <xf numFmtId="194" fontId="12" fillId="5" borderId="15" xfId="16" applyNumberFormat="1" applyFont="1" applyFill="1" applyBorder="1" applyAlignment="1">
      <alignment horizontal="center" vertical="center" wrapText="1"/>
    </xf>
    <xf numFmtId="194" fontId="12" fillId="5" borderId="18" xfId="16" applyNumberFormat="1" applyFont="1" applyFill="1" applyBorder="1" applyAlignment="1">
      <alignment horizontal="center" vertical="center" wrapText="1"/>
    </xf>
    <xf numFmtId="1" fontId="12" fillId="5" borderId="8" xfId="16" applyNumberFormat="1" applyFont="1" applyFill="1" applyBorder="1" applyAlignment="1">
      <alignment horizontal="justify" vertical="center" wrapText="1"/>
    </xf>
    <xf numFmtId="1" fontId="12" fillId="5" borderId="15" xfId="16" applyNumberFormat="1" applyFont="1" applyFill="1" applyBorder="1" applyAlignment="1">
      <alignment horizontal="justify" vertical="center" wrapText="1"/>
    </xf>
    <xf numFmtId="1" fontId="12" fillId="5" borderId="18" xfId="16" applyNumberFormat="1" applyFont="1" applyFill="1" applyBorder="1" applyAlignment="1">
      <alignment horizontal="justify" vertical="center" wrapText="1"/>
    </xf>
    <xf numFmtId="49" fontId="12" fillId="0" borderId="0" xfId="19" applyNumberFormat="1" applyFont="1" applyFill="1" applyBorder="1" applyAlignment="1">
      <alignment horizontal="center" vertical="center" wrapText="1"/>
    </xf>
    <xf numFmtId="37" fontId="12" fillId="0" borderId="8" xfId="6" applyNumberFormat="1" applyFont="1" applyFill="1" applyBorder="1" applyAlignment="1">
      <alignment horizontal="center" vertical="center" wrapText="1"/>
    </xf>
    <xf numFmtId="37" fontId="12" fillId="0" borderId="15" xfId="6" applyNumberFormat="1" applyFont="1" applyFill="1" applyBorder="1" applyAlignment="1">
      <alignment horizontal="center" vertical="center" wrapText="1"/>
    </xf>
    <xf numFmtId="37" fontId="12" fillId="0" borderId="18" xfId="6" applyNumberFormat="1" applyFont="1" applyFill="1" applyBorder="1" applyAlignment="1">
      <alignment horizontal="center" vertical="center" wrapText="1"/>
    </xf>
    <xf numFmtId="170" fontId="12" fillId="0" borderId="8" xfId="16" applyNumberFormat="1" applyFont="1" applyFill="1" applyBorder="1" applyAlignment="1">
      <alignment horizontal="center" vertical="center" wrapText="1"/>
    </xf>
    <xf numFmtId="170" fontId="12" fillId="0" borderId="15" xfId="16" applyNumberFormat="1" applyFont="1" applyFill="1" applyBorder="1" applyAlignment="1">
      <alignment horizontal="center" vertical="center" wrapText="1"/>
    </xf>
    <xf numFmtId="170" fontId="12" fillId="0" borderId="18" xfId="16" applyNumberFormat="1" applyFont="1" applyFill="1" applyBorder="1" applyAlignment="1">
      <alignment horizontal="center" vertical="center" wrapText="1"/>
    </xf>
    <xf numFmtId="170" fontId="12" fillId="0" borderId="1" xfId="16" applyNumberFormat="1" applyFont="1" applyFill="1" applyBorder="1" applyAlignment="1">
      <alignment horizontal="center" vertical="center" wrapText="1"/>
    </xf>
    <xf numFmtId="3" fontId="12" fillId="0" borderId="1" xfId="16" applyNumberFormat="1" applyFont="1" applyFill="1" applyBorder="1" applyAlignment="1">
      <alignment horizontal="justify" vertical="center" wrapText="1"/>
    </xf>
    <xf numFmtId="176" fontId="12" fillId="0" borderId="8" xfId="6" applyNumberFormat="1" applyFont="1" applyFill="1" applyBorder="1" applyAlignment="1">
      <alignment vertical="center" wrapText="1"/>
    </xf>
    <xf numFmtId="176" fontId="12" fillId="0" borderId="15" xfId="6" applyNumberFormat="1" applyFont="1" applyFill="1" applyBorder="1" applyAlignment="1">
      <alignment vertical="center" wrapText="1"/>
    </xf>
    <xf numFmtId="176" fontId="12" fillId="0" borderId="18" xfId="6" applyNumberFormat="1" applyFont="1" applyFill="1" applyBorder="1" applyAlignment="1">
      <alignment vertical="center" wrapText="1"/>
    </xf>
    <xf numFmtId="42" fontId="12" fillId="0" borderId="8" xfId="8" applyFont="1" applyFill="1" applyBorder="1" applyAlignment="1">
      <alignment horizontal="center" vertical="center" wrapText="1"/>
    </xf>
    <xf numFmtId="42" fontId="12" fillId="0" borderId="15" xfId="8" applyFont="1" applyFill="1" applyBorder="1" applyAlignment="1">
      <alignment horizontal="center" vertical="center" wrapText="1"/>
    </xf>
    <xf numFmtId="42" fontId="12" fillId="0" borderId="18" xfId="8" applyFont="1" applyFill="1" applyBorder="1" applyAlignment="1">
      <alignment horizontal="center" vertical="center" wrapText="1"/>
    </xf>
    <xf numFmtId="3" fontId="12" fillId="0" borderId="8" xfId="16" applyNumberFormat="1" applyFont="1" applyFill="1" applyBorder="1" applyAlignment="1">
      <alignment horizontal="justify" vertical="center" wrapText="1"/>
    </xf>
    <xf numFmtId="3" fontId="12" fillId="0" borderId="15" xfId="16" applyNumberFormat="1" applyFont="1" applyFill="1" applyBorder="1" applyAlignment="1">
      <alignment horizontal="justify" vertical="center" wrapText="1"/>
    </xf>
    <xf numFmtId="39" fontId="12" fillId="0" borderId="8" xfId="6" applyNumberFormat="1" applyFont="1" applyFill="1" applyBorder="1" applyAlignment="1">
      <alignment horizontal="center" vertical="center" wrapText="1"/>
    </xf>
    <xf numFmtId="39" fontId="12" fillId="0" borderId="15" xfId="6" applyNumberFormat="1" applyFont="1" applyFill="1" applyBorder="1" applyAlignment="1">
      <alignment horizontal="center" vertical="center" wrapText="1"/>
    </xf>
    <xf numFmtId="39" fontId="12" fillId="0" borderId="18" xfId="6" applyNumberFormat="1" applyFont="1" applyFill="1" applyBorder="1" applyAlignment="1">
      <alignment horizontal="center" vertical="center" wrapText="1"/>
    </xf>
    <xf numFmtId="0" fontId="12" fillId="0" borderId="15" xfId="16" applyFont="1" applyFill="1" applyBorder="1" applyAlignment="1">
      <alignment horizontal="center" vertical="center"/>
    </xf>
    <xf numFmtId="0" fontId="12" fillId="0" borderId="1" xfId="16" applyFont="1" applyFill="1" applyBorder="1" applyAlignment="1">
      <alignment horizontal="center" vertical="center"/>
    </xf>
    <xf numFmtId="0" fontId="1" fillId="0" borderId="1" xfId="0" applyFont="1" applyFill="1" applyBorder="1" applyAlignment="1">
      <alignment horizontal="center" vertical="center"/>
    </xf>
    <xf numFmtId="9" fontId="12" fillId="5" borderId="8" xfId="5" applyNumberFormat="1" applyFont="1" applyFill="1" applyBorder="1" applyAlignment="1">
      <alignment horizontal="center" vertical="center" wrapText="1"/>
    </xf>
    <xf numFmtId="9" fontId="12" fillId="5" borderId="18" xfId="5" applyNumberFormat="1" applyFont="1" applyFill="1" applyBorder="1" applyAlignment="1">
      <alignment horizontal="center" vertical="center" wrapText="1"/>
    </xf>
    <xf numFmtId="0" fontId="12" fillId="0" borderId="6" xfId="16" applyFont="1" applyFill="1" applyBorder="1" applyAlignment="1">
      <alignment horizontal="center" vertical="center"/>
    </xf>
    <xf numFmtId="0" fontId="12" fillId="0" borderId="16" xfId="16" applyFont="1" applyFill="1" applyBorder="1" applyAlignment="1">
      <alignment horizontal="center" vertical="center"/>
    </xf>
    <xf numFmtId="0" fontId="12" fillId="0" borderId="13" xfId="16" applyFont="1" applyFill="1" applyBorder="1" applyAlignment="1">
      <alignment horizontal="center" vertical="center"/>
    </xf>
    <xf numFmtId="14" fontId="12" fillId="0" borderId="8" xfId="16" applyNumberFormat="1" applyFont="1" applyFill="1" applyBorder="1" applyAlignment="1">
      <alignment horizontal="center" vertical="center"/>
    </xf>
    <xf numFmtId="44" fontId="12" fillId="0" borderId="8" xfId="7" applyFont="1" applyFill="1" applyBorder="1" applyAlignment="1">
      <alignment horizontal="center" vertical="center"/>
    </xf>
    <xf numFmtId="44" fontId="12" fillId="0" borderId="15" xfId="7" applyFont="1" applyFill="1" applyBorder="1" applyAlignment="1">
      <alignment horizontal="center" vertical="center"/>
    </xf>
    <xf numFmtId="44" fontId="12" fillId="0" borderId="18" xfId="7" applyFont="1" applyFill="1" applyBorder="1" applyAlignment="1">
      <alignment horizontal="center" vertical="center"/>
    </xf>
    <xf numFmtId="9" fontId="12" fillId="0" borderId="8" xfId="5" applyFont="1" applyFill="1" applyBorder="1" applyAlignment="1">
      <alignment horizontal="center" vertical="center"/>
    </xf>
    <xf numFmtId="9" fontId="12" fillId="0" borderId="15" xfId="5" applyFont="1" applyFill="1" applyBorder="1" applyAlignment="1">
      <alignment horizontal="center" vertical="center"/>
    </xf>
    <xf numFmtId="9" fontId="12" fillId="0" borderId="18" xfId="5" applyFont="1" applyFill="1" applyBorder="1" applyAlignment="1">
      <alignment horizontal="center" vertical="center"/>
    </xf>
    <xf numFmtId="0" fontId="12" fillId="0" borderId="6" xfId="16" applyFont="1" applyFill="1" applyBorder="1" applyAlignment="1">
      <alignment horizontal="center"/>
    </xf>
    <xf numFmtId="0" fontId="12" fillId="0" borderId="9" xfId="16" applyFont="1" applyFill="1" applyBorder="1" applyAlignment="1">
      <alignment horizontal="center"/>
    </xf>
    <xf numFmtId="0" fontId="12" fillId="0" borderId="7" xfId="16" applyFont="1" applyFill="1" applyBorder="1" applyAlignment="1">
      <alignment horizontal="center"/>
    </xf>
    <xf numFmtId="164" fontId="12" fillId="5" borderId="8" xfId="16" applyNumberFormat="1" applyFont="1" applyFill="1" applyBorder="1" applyAlignment="1">
      <alignment horizontal="center" vertical="center" wrapText="1"/>
    </xf>
    <xf numFmtId="164" fontId="12" fillId="5" borderId="15" xfId="16" applyNumberFormat="1" applyFont="1" applyFill="1" applyBorder="1" applyAlignment="1">
      <alignment horizontal="center" vertical="center" wrapText="1"/>
    </xf>
    <xf numFmtId="164" fontId="12" fillId="5" borderId="18" xfId="16" applyNumberFormat="1" applyFont="1" applyFill="1" applyBorder="1" applyAlignment="1">
      <alignment horizontal="center" vertical="center" wrapText="1"/>
    </xf>
    <xf numFmtId="176" fontId="11" fillId="4" borderId="1" xfId="6" applyNumberFormat="1" applyFont="1" applyFill="1" applyBorder="1" applyAlignment="1">
      <alignment horizontal="center" vertical="center" wrapText="1"/>
    </xf>
    <xf numFmtId="176" fontId="11" fillId="4" borderId="6" xfId="6" applyNumberFormat="1" applyFont="1" applyFill="1" applyBorder="1" applyAlignment="1">
      <alignment horizontal="center" vertical="center" wrapText="1"/>
    </xf>
    <xf numFmtId="176" fontId="11" fillId="4" borderId="7" xfId="6" applyNumberFormat="1" applyFont="1" applyFill="1" applyBorder="1" applyAlignment="1">
      <alignment horizontal="center" vertical="center" wrapText="1"/>
    </xf>
    <xf numFmtId="176" fontId="11" fillId="4" borderId="6" xfId="6" applyNumberFormat="1" applyFont="1" applyFill="1" applyBorder="1" applyAlignment="1">
      <alignment horizontal="center" vertical="center"/>
    </xf>
    <xf numFmtId="176" fontId="11" fillId="4" borderId="9" xfId="6" applyNumberFormat="1" applyFont="1" applyFill="1" applyBorder="1" applyAlignment="1">
      <alignment horizontal="center" vertical="center"/>
    </xf>
    <xf numFmtId="176" fontId="11" fillId="4" borderId="7" xfId="6" applyNumberFormat="1" applyFont="1" applyFill="1" applyBorder="1" applyAlignment="1">
      <alignment horizontal="center" vertical="center"/>
    </xf>
    <xf numFmtId="0" fontId="11" fillId="3" borderId="7" xfId="16" applyFont="1" applyFill="1" applyBorder="1" applyAlignment="1">
      <alignment horizontal="center" vertical="center" wrapText="1"/>
    </xf>
    <xf numFmtId="0" fontId="11" fillId="3" borderId="17" xfId="16" applyFont="1" applyFill="1" applyBorder="1" applyAlignment="1">
      <alignment horizontal="center" vertical="center" wrapText="1"/>
    </xf>
    <xf numFmtId="0" fontId="11" fillId="3" borderId="14" xfId="16" applyFont="1" applyFill="1" applyBorder="1" applyAlignment="1">
      <alignment horizontal="center" vertical="center" wrapText="1"/>
    </xf>
    <xf numFmtId="0" fontId="11" fillId="3" borderId="8" xfId="16" applyFont="1" applyFill="1" applyBorder="1" applyAlignment="1">
      <alignment horizontal="center" vertical="center" wrapText="1"/>
    </xf>
    <xf numFmtId="0" fontId="11" fillId="3" borderId="15" xfId="16" applyFont="1" applyFill="1" applyBorder="1" applyAlignment="1">
      <alignment horizontal="center" vertical="center" wrapText="1"/>
    </xf>
    <xf numFmtId="0" fontId="11" fillId="3" borderId="18" xfId="16" applyFont="1" applyFill="1" applyBorder="1" applyAlignment="1">
      <alignment horizontal="center" vertical="center" wrapText="1"/>
    </xf>
    <xf numFmtId="0" fontId="11" fillId="3" borderId="6" xfId="16" applyFont="1" applyFill="1" applyBorder="1" applyAlignment="1">
      <alignment horizontal="center" vertical="center" wrapText="1"/>
    </xf>
    <xf numFmtId="0" fontId="11" fillId="3" borderId="16" xfId="16" applyFont="1" applyFill="1" applyBorder="1" applyAlignment="1">
      <alignment horizontal="center" vertical="center" wrapText="1"/>
    </xf>
    <xf numFmtId="0" fontId="11" fillId="3" borderId="13" xfId="16" applyFont="1" applyFill="1" applyBorder="1" applyAlignment="1">
      <alignment horizontal="center" vertical="center" wrapText="1"/>
    </xf>
    <xf numFmtId="0" fontId="11" fillId="3" borderId="6" xfId="16" applyFont="1" applyFill="1" applyBorder="1" applyAlignment="1">
      <alignment horizontal="justify" vertical="center" wrapText="1"/>
    </xf>
    <xf numFmtId="0" fontId="11" fillId="3" borderId="16" xfId="16" applyFont="1" applyFill="1" applyBorder="1" applyAlignment="1">
      <alignment horizontal="justify" vertical="center" wrapText="1"/>
    </xf>
    <xf numFmtId="0" fontId="11" fillId="3" borderId="13" xfId="16" applyFont="1" applyFill="1" applyBorder="1" applyAlignment="1">
      <alignment horizontal="justify" vertical="center" wrapText="1"/>
    </xf>
    <xf numFmtId="0" fontId="11" fillId="0" borderId="0" xfId="16" applyFont="1" applyBorder="1" applyAlignment="1">
      <alignment horizontal="center" vertical="center" wrapText="1"/>
    </xf>
    <xf numFmtId="0" fontId="11" fillId="0" borderId="0" xfId="16" applyFont="1" applyBorder="1" applyAlignment="1">
      <alignment horizontal="center" vertical="center"/>
    </xf>
    <xf numFmtId="0" fontId="11" fillId="0" borderId="17" xfId="16" applyFont="1" applyBorder="1" applyAlignment="1">
      <alignment horizontal="center" vertical="center"/>
    </xf>
    <xf numFmtId="0" fontId="11" fillId="0" borderId="2" xfId="16" applyFont="1" applyBorder="1" applyAlignment="1">
      <alignment horizontal="center" vertical="center"/>
    </xf>
    <xf numFmtId="0" fontId="11" fillId="0" borderId="14" xfId="16" applyFont="1" applyBorder="1" applyAlignment="1">
      <alignment horizontal="center" vertical="center"/>
    </xf>
    <xf numFmtId="0" fontId="11" fillId="0" borderId="9" xfId="16" applyFont="1" applyBorder="1" applyAlignment="1">
      <alignment horizontal="center" vertical="center"/>
    </xf>
    <xf numFmtId="0" fontId="11" fillId="0" borderId="6" xfId="16" applyFont="1" applyBorder="1" applyAlignment="1">
      <alignment horizontal="center" vertical="center"/>
    </xf>
    <xf numFmtId="0" fontId="11" fillId="0" borderId="7" xfId="16" applyFont="1" applyBorder="1" applyAlignment="1">
      <alignment horizontal="center" vertical="center"/>
    </xf>
    <xf numFmtId="0" fontId="11" fillId="0" borderId="13" xfId="16" applyFont="1" applyBorder="1" applyAlignment="1">
      <alignment horizontal="center" vertical="center"/>
    </xf>
    <xf numFmtId="176" fontId="11" fillId="0" borderId="6" xfId="6" applyNumberFormat="1" applyFont="1" applyFill="1" applyBorder="1" applyAlignment="1">
      <alignment horizontal="center" vertical="center"/>
    </xf>
    <xf numFmtId="176" fontId="11" fillId="0" borderId="9" xfId="6" applyNumberFormat="1" applyFont="1" applyFill="1" applyBorder="1" applyAlignment="1">
      <alignment horizontal="center" vertical="center"/>
    </xf>
    <xf numFmtId="176" fontId="11" fillId="0" borderId="7" xfId="6" applyNumberFormat="1" applyFont="1" applyFill="1" applyBorder="1" applyAlignment="1">
      <alignment horizontal="center" vertical="center"/>
    </xf>
    <xf numFmtId="176" fontId="11" fillId="0" borderId="13" xfId="6" applyNumberFormat="1" applyFont="1" applyFill="1" applyBorder="1" applyAlignment="1">
      <alignment horizontal="center" vertical="center"/>
    </xf>
    <xf numFmtId="176" fontId="11" fillId="0" borderId="2" xfId="6" applyNumberFormat="1" applyFont="1" applyFill="1" applyBorder="1" applyAlignment="1">
      <alignment horizontal="center" vertical="center"/>
    </xf>
    <xf numFmtId="176" fontId="11" fillId="0" borderId="14" xfId="6" applyNumberFormat="1" applyFont="1" applyFill="1" applyBorder="1" applyAlignment="1">
      <alignment horizontal="center" vertical="center"/>
    </xf>
    <xf numFmtId="170" fontId="11" fillId="3" borderId="6" xfId="16" applyNumberFormat="1" applyFont="1" applyFill="1" applyBorder="1" applyAlignment="1">
      <alignment horizontal="center" vertical="center" wrapText="1"/>
    </xf>
    <xf numFmtId="170" fontId="11" fillId="3" borderId="7" xfId="16" applyNumberFormat="1" applyFont="1" applyFill="1" applyBorder="1" applyAlignment="1">
      <alignment horizontal="center" vertical="center" wrapText="1"/>
    </xf>
    <xf numFmtId="170" fontId="11" fillId="3" borderId="16" xfId="16" applyNumberFormat="1" applyFont="1" applyFill="1" applyBorder="1" applyAlignment="1">
      <alignment horizontal="center" vertical="center" wrapText="1"/>
    </xf>
    <xf numFmtId="170" fontId="11" fillId="3" borderId="17" xfId="16" applyNumberFormat="1" applyFont="1" applyFill="1" applyBorder="1" applyAlignment="1">
      <alignment horizontal="center" vertical="center" wrapText="1"/>
    </xf>
    <xf numFmtId="3" fontId="11" fillId="3" borderId="1" xfId="16" applyNumberFormat="1" applyFont="1" applyFill="1" applyBorder="1" applyAlignment="1">
      <alignment horizontal="center" vertical="center" wrapText="1"/>
    </xf>
    <xf numFmtId="0" fontId="11" fillId="3" borderId="1" xfId="16" applyFont="1" applyFill="1" applyBorder="1" applyAlignment="1">
      <alignment horizontal="center" vertical="center" wrapText="1"/>
    </xf>
    <xf numFmtId="176" fontId="11" fillId="4" borderId="3" xfId="6" applyNumberFormat="1" applyFont="1" applyFill="1" applyBorder="1" applyAlignment="1">
      <alignment horizontal="center" vertical="center"/>
    </xf>
    <xf numFmtId="176" fontId="11" fillId="4" borderId="4" xfId="6" applyNumberFormat="1" applyFont="1" applyFill="1" applyBorder="1" applyAlignment="1">
      <alignment horizontal="center" vertical="center"/>
    </xf>
    <xf numFmtId="176" fontId="11" fillId="4" borderId="5" xfId="6" applyNumberFormat="1" applyFont="1" applyFill="1" applyBorder="1" applyAlignment="1">
      <alignment horizontal="center" vertical="center"/>
    </xf>
    <xf numFmtId="176" fontId="11" fillId="4" borderId="3" xfId="6" applyNumberFormat="1" applyFont="1" applyFill="1" applyBorder="1" applyAlignment="1">
      <alignment horizontal="center" vertical="center" wrapText="1"/>
    </xf>
    <xf numFmtId="176" fontId="11" fillId="4" borderId="5" xfId="6" applyNumberFormat="1" applyFont="1" applyFill="1" applyBorder="1" applyAlignment="1">
      <alignment horizontal="center" vertical="center" wrapText="1"/>
    </xf>
    <xf numFmtId="0" fontId="11" fillId="0" borderId="0"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0" xfId="0" applyFont="1" applyBorder="1" applyAlignment="1">
      <alignment horizontal="center" vertical="center"/>
    </xf>
    <xf numFmtId="0" fontId="11" fillId="0" borderId="17" xfId="0" applyFont="1" applyBorder="1" applyAlignment="1">
      <alignment horizontal="center" vertical="center"/>
    </xf>
    <xf numFmtId="0" fontId="11" fillId="0" borderId="2" xfId="0" applyFont="1" applyBorder="1" applyAlignment="1">
      <alignment horizontal="center" vertical="center"/>
    </xf>
    <xf numFmtId="0" fontId="11" fillId="0" borderId="14" xfId="0" applyFont="1" applyBorder="1" applyAlignment="1">
      <alignment horizontal="center" vertical="center"/>
    </xf>
    <xf numFmtId="0" fontId="11" fillId="0" borderId="18" xfId="0" applyFont="1" applyBorder="1" applyAlignment="1">
      <alignment horizontal="center" vertical="center"/>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2" fillId="0" borderId="6" xfId="0" applyFont="1" applyBorder="1" applyAlignment="1"/>
    <xf numFmtId="0" fontId="12" fillId="0" borderId="9" xfId="0" applyFont="1" applyBorder="1" applyAlignment="1"/>
    <xf numFmtId="0" fontId="12" fillId="0" borderId="7" xfId="0" applyFont="1" applyBorder="1" applyAlignment="1"/>
    <xf numFmtId="0" fontId="12" fillId="0" borderId="1" xfId="0" applyFont="1" applyBorder="1" applyAlignment="1">
      <alignment horizontal="center" wrapText="1"/>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5" xfId="0" applyFont="1" applyFill="1" applyBorder="1" applyAlignment="1">
      <alignment horizontal="center" vertical="center"/>
    </xf>
    <xf numFmtId="169" fontId="11" fillId="3" borderId="10" xfId="2" applyFont="1" applyFill="1" applyBorder="1" applyAlignment="1">
      <alignment horizontal="center" vertical="center"/>
    </xf>
    <xf numFmtId="169" fontId="11" fillId="3" borderId="11" xfId="2" applyFont="1" applyFill="1" applyBorder="1" applyAlignment="1">
      <alignment horizontal="center" vertical="center"/>
    </xf>
    <xf numFmtId="169" fontId="11" fillId="3" borderId="12" xfId="2" applyFont="1" applyFill="1" applyBorder="1" applyAlignment="1">
      <alignment horizontal="center" vertical="center"/>
    </xf>
    <xf numFmtId="179" fontId="11" fillId="13" borderId="3" xfId="0" applyNumberFormat="1" applyFont="1" applyFill="1" applyBorder="1" applyAlignment="1">
      <alignment horizontal="center" vertical="center" wrapText="1"/>
    </xf>
    <xf numFmtId="179" fontId="11" fillId="13" borderId="5" xfId="0" applyNumberFormat="1" applyFont="1" applyFill="1" applyBorder="1" applyAlignment="1">
      <alignment horizontal="center" vertical="center" wrapText="1"/>
    </xf>
    <xf numFmtId="49" fontId="11" fillId="3" borderId="3" xfId="0" applyNumberFormat="1" applyFont="1" applyFill="1" applyBorder="1" applyAlignment="1">
      <alignment horizontal="center" vertical="center"/>
    </xf>
    <xf numFmtId="49" fontId="11" fillId="3" borderId="5" xfId="0" applyNumberFormat="1" applyFont="1" applyFill="1" applyBorder="1" applyAlignment="1">
      <alignment horizontal="center" vertical="center"/>
    </xf>
    <xf numFmtId="0" fontId="11" fillId="13" borderId="8" xfId="0" applyFont="1" applyFill="1" applyBorder="1" applyAlignment="1">
      <alignment horizontal="center" vertical="center"/>
    </xf>
    <xf numFmtId="0" fontId="11" fillId="13" borderId="18" xfId="0" applyFont="1" applyFill="1" applyBorder="1" applyAlignment="1">
      <alignment horizontal="center" vertical="center"/>
    </xf>
    <xf numFmtId="0" fontId="11" fillId="13" borderId="8" xfId="0" applyFont="1" applyFill="1" applyBorder="1" applyAlignment="1">
      <alignment horizontal="center" vertical="center" wrapText="1"/>
    </xf>
    <xf numFmtId="0" fontId="11" fillId="13" borderId="18"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13" borderId="3" xfId="0" applyNumberFormat="1" applyFont="1" applyFill="1" applyBorder="1" applyAlignment="1">
      <alignment horizontal="center" vertical="center" wrapText="1"/>
    </xf>
    <xf numFmtId="0" fontId="11" fillId="13" borderId="5" xfId="0" applyNumberFormat="1" applyFont="1" applyFill="1" applyBorder="1" applyAlignment="1">
      <alignment horizontal="center" vertical="center" wrapText="1"/>
    </xf>
    <xf numFmtId="0" fontId="11" fillId="3" borderId="3" xfId="0" applyFont="1" applyFill="1" applyBorder="1" applyAlignment="1">
      <alignment horizontal="center" vertical="center" textRotation="1"/>
    </xf>
    <xf numFmtId="0" fontId="11" fillId="3" borderId="5" xfId="0" applyFont="1" applyFill="1" applyBorder="1" applyAlignment="1">
      <alignment horizontal="center" vertical="center" textRotation="1"/>
    </xf>
    <xf numFmtId="3" fontId="11" fillId="13" borderId="6" xfId="0" applyNumberFormat="1" applyFont="1" applyFill="1" applyBorder="1" applyAlignment="1">
      <alignment horizontal="center" vertical="center" wrapText="1"/>
    </xf>
    <xf numFmtId="3" fontId="11" fillId="13" borderId="9" xfId="0" applyNumberFormat="1" applyFont="1" applyFill="1" applyBorder="1" applyAlignment="1">
      <alignment horizontal="center" vertical="center" wrapText="1"/>
    </xf>
    <xf numFmtId="3" fontId="11" fillId="13" borderId="7"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8" xfId="0" applyFont="1" applyFill="1" applyBorder="1" applyAlignment="1">
      <alignment horizontal="center" vertical="center" wrapText="1"/>
    </xf>
    <xf numFmtId="3" fontId="12" fillId="0" borderId="1" xfId="0" applyNumberFormat="1" applyFont="1" applyFill="1" applyBorder="1" applyAlignment="1">
      <alignment horizontal="justify" vertical="center" wrapText="1"/>
    </xf>
    <xf numFmtId="9" fontId="12" fillId="0" borderId="1" xfId="0" applyNumberFormat="1" applyFont="1" applyFill="1" applyBorder="1" applyAlignment="1">
      <alignment horizontal="center" vertical="center" wrapText="1"/>
    </xf>
    <xf numFmtId="0" fontId="11" fillId="6" borderId="1" xfId="0" applyFont="1" applyFill="1" applyBorder="1" applyAlignment="1">
      <alignment horizontal="left" vertical="center" wrapText="1"/>
    </xf>
    <xf numFmtId="0" fontId="12" fillId="0" borderId="9" xfId="0" applyFont="1" applyFill="1" applyBorder="1" applyAlignment="1">
      <alignment horizontal="center"/>
    </xf>
    <xf numFmtId="0" fontId="12" fillId="0" borderId="7" xfId="0" applyFont="1" applyFill="1" applyBorder="1" applyAlignment="1">
      <alignment horizontal="center"/>
    </xf>
    <xf numFmtId="0" fontId="12" fillId="0" borderId="0" xfId="0" applyFont="1" applyFill="1" applyBorder="1" applyAlignment="1">
      <alignment horizontal="center"/>
    </xf>
    <xf numFmtId="0" fontId="12" fillId="0" borderId="17" xfId="0" applyFont="1" applyFill="1" applyBorder="1" applyAlignment="1">
      <alignment horizontal="center"/>
    </xf>
    <xf numFmtId="0" fontId="11" fillId="1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1" fillId="4" borderId="1" xfId="0" applyFont="1" applyFill="1" applyBorder="1" applyAlignment="1">
      <alignment horizontal="center" vertical="center" wrapText="1"/>
    </xf>
    <xf numFmtId="3" fontId="11" fillId="4" borderId="1" xfId="0" applyNumberFormat="1" applyFont="1" applyFill="1" applyBorder="1" applyAlignment="1">
      <alignment horizontal="center" vertical="center" wrapText="1"/>
    </xf>
    <xf numFmtId="9" fontId="11" fillId="4" borderId="1" xfId="3" applyFont="1" applyFill="1" applyBorder="1" applyAlignment="1">
      <alignment horizontal="center" vertical="center" wrapText="1"/>
    </xf>
    <xf numFmtId="9" fontId="11" fillId="4" borderId="8" xfId="3"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18" xfId="0" applyFont="1" applyFill="1" applyBorder="1" applyAlignment="1">
      <alignment horizontal="center" vertical="center" wrapText="1"/>
    </xf>
    <xf numFmtId="3" fontId="12" fillId="0" borderId="1" xfId="0" applyNumberFormat="1" applyFont="1" applyFill="1" applyBorder="1" applyAlignment="1">
      <alignment horizontal="right" vertical="center" wrapText="1"/>
    </xf>
    <xf numFmtId="0" fontId="12" fillId="0" borderId="1" xfId="0" applyFont="1" applyFill="1" applyBorder="1" applyAlignment="1">
      <alignment horizontal="justify" vertical="center" wrapText="1" readingOrder="2"/>
    </xf>
    <xf numFmtId="0" fontId="12" fillId="0" borderId="8" xfId="0" applyFont="1" applyFill="1" applyBorder="1" applyAlignment="1">
      <alignment horizontal="justify" vertical="center" wrapText="1" readingOrder="2"/>
    </xf>
    <xf numFmtId="0" fontId="12" fillId="0" borderId="15" xfId="0" applyFont="1" applyFill="1" applyBorder="1" applyAlignment="1">
      <alignment horizontal="justify" vertical="center" wrapText="1" readingOrder="2"/>
    </xf>
    <xf numFmtId="0" fontId="12" fillId="0" borderId="18" xfId="0" applyFont="1" applyFill="1" applyBorder="1" applyAlignment="1">
      <alignment horizontal="justify" vertical="center" wrapText="1" readingOrder="2"/>
    </xf>
    <xf numFmtId="0" fontId="12" fillId="0" borderId="8" xfId="0" applyFont="1" applyFill="1" applyBorder="1" applyAlignment="1">
      <alignment horizontal="justify" vertical="justify" wrapText="1"/>
    </xf>
    <xf numFmtId="0" fontId="12" fillId="0" borderId="15" xfId="0" applyFont="1" applyFill="1" applyBorder="1" applyAlignment="1">
      <alignment horizontal="justify" vertical="justify" wrapText="1"/>
    </xf>
    <xf numFmtId="0" fontId="12" fillId="0" borderId="18" xfId="0" applyFont="1" applyFill="1" applyBorder="1" applyAlignment="1">
      <alignment horizontal="justify" vertical="justify" wrapText="1"/>
    </xf>
    <xf numFmtId="176" fontId="12" fillId="0" borderId="1" xfId="4" applyNumberFormat="1" applyFont="1" applyFill="1" applyBorder="1" applyAlignment="1">
      <alignment horizontal="center" vertical="center"/>
    </xf>
    <xf numFmtId="176" fontId="12" fillId="0" borderId="8" xfId="4" applyNumberFormat="1" applyFont="1" applyFill="1" applyBorder="1" applyAlignment="1">
      <alignment vertical="center"/>
    </xf>
    <xf numFmtId="176" fontId="12" fillId="0" borderId="15" xfId="4" applyNumberFormat="1" applyFont="1" applyFill="1" applyBorder="1" applyAlignment="1">
      <alignment vertical="center"/>
    </xf>
    <xf numFmtId="176" fontId="12" fillId="0" borderId="18" xfId="4" applyNumberFormat="1" applyFont="1" applyFill="1" applyBorder="1" applyAlignment="1">
      <alignment vertical="center"/>
    </xf>
    <xf numFmtId="0" fontId="11" fillId="5" borderId="1"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11" fillId="5" borderId="18" xfId="0" applyFont="1" applyFill="1" applyBorder="1" applyAlignment="1">
      <alignment horizontal="center" vertical="center" wrapText="1"/>
    </xf>
    <xf numFmtId="176" fontId="12" fillId="0" borderId="8" xfId="4" applyNumberFormat="1" applyFont="1" applyFill="1" applyBorder="1" applyAlignment="1">
      <alignment horizontal="center" vertical="center"/>
    </xf>
    <xf numFmtId="176" fontId="12" fillId="0" borderId="15" xfId="4" applyNumberFormat="1" applyFont="1" applyFill="1" applyBorder="1" applyAlignment="1">
      <alignment horizontal="center" vertical="center"/>
    </xf>
    <xf numFmtId="176" fontId="12" fillId="0" borderId="18" xfId="4" applyNumberFormat="1" applyFont="1" applyFill="1" applyBorder="1" applyAlignment="1">
      <alignment horizontal="center" vertical="center"/>
    </xf>
    <xf numFmtId="3" fontId="12" fillId="0" borderId="1"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2" fillId="0" borderId="1" xfId="0" applyFont="1" applyBorder="1" applyAlignment="1">
      <alignment horizontal="center" vertical="center" wrapText="1"/>
    </xf>
    <xf numFmtId="3" fontId="12" fillId="5" borderId="8" xfId="0" applyNumberFormat="1" applyFont="1" applyFill="1" applyBorder="1" applyAlignment="1">
      <alignment horizontal="center" vertical="center" wrapText="1"/>
    </xf>
    <xf numFmtId="3" fontId="12" fillId="5" borderId="15" xfId="0" applyNumberFormat="1" applyFont="1" applyFill="1" applyBorder="1" applyAlignment="1">
      <alignment horizontal="center" vertical="center" wrapText="1"/>
    </xf>
    <xf numFmtId="3" fontId="12" fillId="5" borderId="18" xfId="0" applyNumberFormat="1" applyFont="1" applyFill="1" applyBorder="1" applyAlignment="1">
      <alignment horizontal="center" vertical="center" wrapText="1"/>
    </xf>
    <xf numFmtId="179" fontId="12" fillId="0" borderId="1" xfId="0" applyNumberFormat="1" applyFont="1" applyFill="1" applyBorder="1" applyAlignment="1">
      <alignment horizontal="center" vertical="center" wrapText="1"/>
    </xf>
    <xf numFmtId="15" fontId="12" fillId="0" borderId="1" xfId="0" applyNumberFormat="1" applyFont="1" applyFill="1" applyBorder="1" applyAlignment="1">
      <alignment horizontal="center" vertical="center" wrapText="1"/>
    </xf>
    <xf numFmtId="9" fontId="12" fillId="5" borderId="8" xfId="0" applyNumberFormat="1" applyFont="1" applyFill="1" applyBorder="1" applyAlignment="1">
      <alignment horizontal="center" vertical="center" wrapText="1"/>
    </xf>
    <xf numFmtId="9" fontId="12" fillId="5" borderId="15" xfId="0" applyNumberFormat="1" applyFont="1" applyFill="1" applyBorder="1" applyAlignment="1">
      <alignment horizontal="center" vertical="center" wrapText="1"/>
    </xf>
    <xf numFmtId="9" fontId="12" fillId="5" borderId="18" xfId="0" applyNumberFormat="1"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4" fontId="12" fillId="0" borderId="1" xfId="0" applyNumberFormat="1" applyFont="1" applyFill="1" applyBorder="1" applyAlignment="1">
      <alignment horizontal="center" vertical="center" wrapText="1"/>
    </xf>
    <xf numFmtId="165" fontId="12" fillId="0" borderId="1" xfId="20" applyFont="1" applyFill="1" applyBorder="1" applyAlignment="1">
      <alignment horizontal="center" vertical="center" wrapText="1"/>
    </xf>
    <xf numFmtId="0" fontId="12" fillId="0" borderId="1" xfId="0" applyFont="1" applyFill="1" applyBorder="1" applyAlignment="1">
      <alignment horizontal="center" wrapText="1"/>
    </xf>
    <xf numFmtId="0" fontId="12" fillId="0" borderId="1" xfId="0" applyFont="1" applyFill="1" applyBorder="1" applyAlignment="1">
      <alignment horizontal="justify" vertical="center" wrapText="1" readingOrder="1"/>
    </xf>
    <xf numFmtId="0" fontId="12" fillId="5" borderId="5" xfId="0" applyFont="1" applyFill="1" applyBorder="1" applyAlignment="1">
      <alignment horizontal="center" vertical="center" wrapText="1"/>
    </xf>
    <xf numFmtId="0" fontId="12" fillId="5" borderId="1" xfId="0" applyFont="1" applyFill="1" applyBorder="1" applyAlignment="1">
      <alignment horizontal="justify" vertical="center" wrapText="1"/>
    </xf>
    <xf numFmtId="0" fontId="12" fillId="5" borderId="1" xfId="0" applyFont="1" applyFill="1" applyBorder="1" applyAlignment="1">
      <alignment horizontal="center" vertical="center" wrapText="1"/>
    </xf>
    <xf numFmtId="0" fontId="12" fillId="0" borderId="8" xfId="0" applyFont="1" applyFill="1" applyBorder="1" applyAlignment="1">
      <alignment horizontal="justify" vertical="center" wrapText="1"/>
    </xf>
    <xf numFmtId="0" fontId="12" fillId="0" borderId="15" xfId="0" applyFont="1" applyFill="1" applyBorder="1" applyAlignment="1">
      <alignment horizontal="justify" vertical="center" wrapText="1"/>
    </xf>
    <xf numFmtId="0" fontId="12" fillId="0" borderId="18" xfId="0" applyFont="1" applyFill="1" applyBorder="1" applyAlignment="1">
      <alignment horizontal="justify" vertical="center" wrapText="1"/>
    </xf>
    <xf numFmtId="0" fontId="12" fillId="0" borderId="1" xfId="0" applyFont="1" applyFill="1" applyBorder="1" applyAlignment="1">
      <alignment wrapText="1"/>
    </xf>
    <xf numFmtId="9" fontId="12" fillId="0" borderId="8" xfId="0" applyNumberFormat="1" applyFont="1" applyFill="1" applyBorder="1" applyAlignment="1">
      <alignment horizontal="center" vertical="center" wrapText="1"/>
    </xf>
    <xf numFmtId="9" fontId="12" fillId="0" borderId="18" xfId="0" applyNumberFormat="1" applyFont="1" applyFill="1" applyBorder="1" applyAlignment="1">
      <alignment horizontal="center" vertical="center" wrapText="1"/>
    </xf>
    <xf numFmtId="3" fontId="12" fillId="0" borderId="8" xfId="0" applyNumberFormat="1" applyFont="1" applyFill="1" applyBorder="1" applyAlignment="1">
      <alignment horizontal="right" vertical="center" wrapText="1"/>
    </xf>
    <xf numFmtId="3" fontId="12" fillId="0" borderId="15" xfId="0" applyNumberFormat="1" applyFont="1" applyFill="1" applyBorder="1" applyAlignment="1">
      <alignment horizontal="right" vertical="center" wrapText="1"/>
    </xf>
    <xf numFmtId="3" fontId="12" fillId="0" borderId="18" xfId="0" applyNumberFormat="1" applyFont="1" applyFill="1" applyBorder="1" applyAlignment="1">
      <alignment horizontal="right" vertical="center" wrapText="1"/>
    </xf>
    <xf numFmtId="0" fontId="12" fillId="0" borderId="8" xfId="0" applyFont="1" applyFill="1" applyBorder="1" applyAlignment="1">
      <alignment horizontal="justify" vertical="center" wrapText="1" readingOrder="1"/>
    </xf>
    <xf numFmtId="0" fontId="12" fillId="0" borderId="15" xfId="0" applyFont="1" applyFill="1" applyBorder="1" applyAlignment="1">
      <alignment horizontal="justify" vertical="center" wrapText="1" readingOrder="1"/>
    </xf>
    <xf numFmtId="0" fontId="12" fillId="0" borderId="18" xfId="0" applyFont="1" applyFill="1" applyBorder="1" applyAlignment="1">
      <alignment horizontal="justify" vertical="center" wrapText="1" readingOrder="1"/>
    </xf>
    <xf numFmtId="15" fontId="12" fillId="0" borderId="8" xfId="0" applyNumberFormat="1" applyFont="1" applyFill="1" applyBorder="1" applyAlignment="1">
      <alignment horizontal="center" vertical="center" wrapText="1"/>
    </xf>
    <xf numFmtId="15" fontId="12" fillId="0" borderId="18" xfId="0" applyNumberFormat="1" applyFont="1" applyFill="1" applyBorder="1" applyAlignment="1">
      <alignment horizontal="center" vertical="center" wrapText="1"/>
    </xf>
    <xf numFmtId="179" fontId="12" fillId="0" borderId="8" xfId="0" applyNumberFormat="1" applyFont="1" applyFill="1" applyBorder="1" applyAlignment="1">
      <alignment horizontal="center" vertical="center" wrapText="1"/>
    </xf>
    <xf numFmtId="179" fontId="12" fillId="0" borderId="18" xfId="0" applyNumberFormat="1" applyFont="1" applyFill="1" applyBorder="1" applyAlignment="1">
      <alignment horizontal="center" vertical="center" wrapText="1"/>
    </xf>
    <xf numFmtId="3" fontId="12" fillId="0" borderId="8" xfId="0" applyNumberFormat="1" applyFont="1" applyFill="1" applyBorder="1" applyAlignment="1">
      <alignment horizontal="center" vertical="center" wrapText="1"/>
    </xf>
    <xf numFmtId="3" fontId="12" fillId="0" borderId="18" xfId="0" applyNumberFormat="1" applyFont="1" applyFill="1" applyBorder="1" applyAlignment="1">
      <alignment horizontal="center" vertical="center" wrapText="1"/>
    </xf>
    <xf numFmtId="10" fontId="12" fillId="0" borderId="8" xfId="0" applyNumberFormat="1" applyFont="1" applyFill="1" applyBorder="1" applyAlignment="1">
      <alignment horizontal="center" vertical="center" wrapText="1"/>
    </xf>
    <xf numFmtId="10" fontId="12" fillId="0" borderId="18" xfId="0" applyNumberFormat="1" applyFont="1" applyFill="1" applyBorder="1" applyAlignment="1">
      <alignment horizontal="center" vertical="center" wrapText="1"/>
    </xf>
    <xf numFmtId="0" fontId="12" fillId="0" borderId="1" xfId="0" applyFont="1" applyFill="1" applyBorder="1" applyAlignment="1">
      <alignment vertical="center" wrapText="1"/>
    </xf>
    <xf numFmtId="3" fontId="12" fillId="0" borderId="15" xfId="0" applyNumberFormat="1" applyFont="1" applyFill="1" applyBorder="1" applyAlignment="1">
      <alignment horizontal="center" vertical="center" wrapText="1"/>
    </xf>
    <xf numFmtId="10" fontId="12" fillId="0" borderId="15" xfId="0" applyNumberFormat="1" applyFont="1" applyFill="1" applyBorder="1" applyAlignment="1">
      <alignment horizontal="center" vertical="center" wrapText="1"/>
    </xf>
    <xf numFmtId="0" fontId="12" fillId="0" borderId="8" xfId="0" applyFont="1" applyFill="1" applyBorder="1" applyAlignment="1">
      <alignment horizontal="center" wrapText="1"/>
    </xf>
    <xf numFmtId="0" fontId="12" fillId="0" borderId="15" xfId="0" applyFont="1" applyFill="1" applyBorder="1" applyAlignment="1">
      <alignment horizontal="center" wrapText="1"/>
    </xf>
    <xf numFmtId="0" fontId="12" fillId="0" borderId="18" xfId="0" applyFont="1" applyFill="1" applyBorder="1" applyAlignment="1">
      <alignment horizontal="center" wrapText="1"/>
    </xf>
    <xf numFmtId="0" fontId="12" fillId="10" borderId="4" xfId="0" applyFont="1" applyFill="1" applyBorder="1" applyAlignment="1">
      <alignment horizontal="center" vertical="center"/>
    </xf>
    <xf numFmtId="0" fontId="12" fillId="9" borderId="4" xfId="0" applyFont="1" applyFill="1" applyBorder="1" applyAlignment="1">
      <alignment horizontal="center" vertical="center"/>
    </xf>
    <xf numFmtId="179" fontId="12" fillId="0" borderId="15" xfId="0" applyNumberFormat="1" applyFont="1" applyFill="1" applyBorder="1" applyAlignment="1">
      <alignment horizontal="center" vertical="center" wrapText="1"/>
    </xf>
    <xf numFmtId="0" fontId="12" fillId="0" borderId="5" xfId="0" applyFont="1" applyFill="1" applyBorder="1" applyAlignment="1">
      <alignment horizontal="justify" vertical="center" wrapText="1"/>
    </xf>
    <xf numFmtId="0" fontId="12" fillId="0" borderId="7" xfId="0" applyFont="1" applyFill="1" applyBorder="1" applyAlignment="1">
      <alignment horizontal="justify" vertical="center" wrapText="1"/>
    </xf>
    <xf numFmtId="0" fontId="12" fillId="0" borderId="14" xfId="0" applyFont="1" applyFill="1" applyBorder="1" applyAlignment="1">
      <alignment horizontal="justify" vertical="center" wrapText="1"/>
    </xf>
    <xf numFmtId="4" fontId="12" fillId="0" borderId="8" xfId="0" applyNumberFormat="1" applyFont="1" applyFill="1" applyBorder="1" applyAlignment="1">
      <alignment horizontal="center" vertical="center" wrapText="1"/>
    </xf>
    <xf numFmtId="4" fontId="12" fillId="0" borderId="15" xfId="0" applyNumberFormat="1" applyFont="1" applyFill="1" applyBorder="1" applyAlignment="1">
      <alignment horizontal="center" vertical="center" wrapText="1"/>
    </xf>
    <xf numFmtId="4" fontId="12" fillId="0" borderId="18" xfId="0" applyNumberFormat="1" applyFont="1" applyFill="1" applyBorder="1" applyAlignment="1">
      <alignment horizontal="center" vertical="center" wrapText="1"/>
    </xf>
    <xf numFmtId="179" fontId="12" fillId="0" borderId="1" xfId="0" applyNumberFormat="1" applyFont="1" applyFill="1" applyBorder="1" applyAlignment="1">
      <alignment vertical="center" wrapText="1"/>
    </xf>
    <xf numFmtId="0" fontId="12" fillId="0" borderId="8"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8" xfId="0" applyFont="1" applyBorder="1" applyAlignment="1">
      <alignment horizontal="center" vertical="center"/>
    </xf>
    <xf numFmtId="0" fontId="12" fillId="0" borderId="15" xfId="0" applyFont="1" applyBorder="1" applyAlignment="1">
      <alignment horizontal="center" vertical="center"/>
    </xf>
    <xf numFmtId="0" fontId="12" fillId="0" borderId="18" xfId="0" applyFont="1" applyBorder="1" applyAlignment="1">
      <alignment horizontal="center" vertical="center"/>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7" fillId="0" borderId="8" xfId="22" applyFont="1" applyFill="1" applyBorder="1" applyAlignment="1">
      <alignment horizontal="justify" vertical="center" wrapText="1"/>
    </xf>
    <xf numFmtId="0" fontId="7" fillId="0" borderId="18" xfId="22" applyFont="1" applyFill="1" applyBorder="1" applyAlignment="1">
      <alignment horizontal="justify" vertical="center" wrapText="1"/>
    </xf>
    <xf numFmtId="0" fontId="17" fillId="4" borderId="3" xfId="22" applyFont="1" applyFill="1" applyBorder="1" applyAlignment="1">
      <alignment horizontal="center" vertical="center"/>
    </xf>
    <xf numFmtId="0" fontId="17" fillId="4" borderId="4" xfId="22" applyFont="1" applyFill="1" applyBorder="1" applyAlignment="1">
      <alignment horizontal="center" vertical="center"/>
    </xf>
    <xf numFmtId="203" fontId="7" fillId="0" borderId="8" xfId="22" applyNumberFormat="1" applyFont="1" applyFill="1" applyBorder="1" applyAlignment="1">
      <alignment horizontal="center" vertical="center" wrapText="1"/>
    </xf>
    <xf numFmtId="203" fontId="7" fillId="0" borderId="18" xfId="22" applyNumberFormat="1" applyFont="1" applyFill="1" applyBorder="1" applyAlignment="1">
      <alignment horizontal="center" vertical="center" wrapText="1"/>
    </xf>
    <xf numFmtId="0" fontId="7" fillId="5" borderId="8" xfId="22" applyFont="1" applyFill="1" applyBorder="1" applyAlignment="1">
      <alignment horizontal="center" vertical="center" wrapText="1"/>
    </xf>
    <xf numFmtId="0" fontId="7" fillId="5" borderId="15" xfId="22" applyFont="1" applyFill="1" applyBorder="1" applyAlignment="1">
      <alignment horizontal="center" vertical="center" wrapText="1"/>
    </xf>
    <xf numFmtId="0" fontId="7" fillId="5" borderId="8" xfId="22" applyFont="1" applyFill="1" applyBorder="1" applyAlignment="1">
      <alignment horizontal="justify" vertical="center" wrapText="1"/>
    </xf>
    <xf numFmtId="0" fontId="7" fillId="5" borderId="15" xfId="22" applyFont="1" applyFill="1" applyBorder="1" applyAlignment="1">
      <alignment horizontal="justify" vertical="center" wrapText="1"/>
    </xf>
    <xf numFmtId="0" fontId="7" fillId="0" borderId="8" xfId="22" applyFont="1" applyFill="1" applyBorder="1" applyAlignment="1">
      <alignment horizontal="center" vertical="center" wrapText="1"/>
    </xf>
    <xf numFmtId="0" fontId="7" fillId="0" borderId="15" xfId="22" applyFont="1" applyFill="1" applyBorder="1" applyAlignment="1">
      <alignment horizontal="center" vertical="center" wrapText="1"/>
    </xf>
    <xf numFmtId="183" fontId="7" fillId="0" borderId="8" xfId="24" applyNumberFormat="1" applyFont="1" applyFill="1" applyBorder="1" applyAlignment="1">
      <alignment horizontal="center" vertical="center" wrapText="1"/>
    </xf>
    <xf numFmtId="183" fontId="7" fillId="0" borderId="15" xfId="24" applyNumberFormat="1" applyFont="1" applyFill="1" applyBorder="1" applyAlignment="1">
      <alignment horizontal="center" vertical="center" wrapText="1"/>
    </xf>
    <xf numFmtId="202" fontId="7" fillId="0" borderId="8" xfId="22" applyNumberFormat="1" applyFont="1" applyFill="1" applyBorder="1" applyAlignment="1">
      <alignment horizontal="center" vertical="center" wrapText="1"/>
    </xf>
    <xf numFmtId="202" fontId="7" fillId="0" borderId="15" xfId="22" applyNumberFormat="1" applyFont="1" applyFill="1" applyBorder="1" applyAlignment="1">
      <alignment horizontal="center" vertical="center" wrapText="1"/>
    </xf>
    <xf numFmtId="0" fontId="7" fillId="0" borderId="15" xfId="22" applyFont="1" applyFill="1" applyBorder="1" applyAlignment="1">
      <alignment horizontal="justify" vertical="center" wrapText="1"/>
    </xf>
    <xf numFmtId="0" fontId="7" fillId="0" borderId="18" xfId="22" applyFont="1" applyFill="1" applyBorder="1" applyAlignment="1">
      <alignment horizontal="center" vertical="center" wrapText="1"/>
    </xf>
    <xf numFmtId="0" fontId="7" fillId="0" borderId="8" xfId="22" applyNumberFormat="1" applyFont="1" applyFill="1" applyBorder="1" applyAlignment="1">
      <alignment horizontal="center" vertical="center" wrapText="1"/>
    </xf>
    <xf numFmtId="0" fontId="7" fillId="0" borderId="15" xfId="22" applyNumberFormat="1" applyFont="1" applyFill="1" applyBorder="1" applyAlignment="1">
      <alignment horizontal="center" vertical="center" wrapText="1"/>
    </xf>
    <xf numFmtId="9" fontId="7" fillId="0" borderId="8" xfId="24" applyFont="1" applyFill="1" applyBorder="1" applyAlignment="1">
      <alignment horizontal="center" vertical="center" wrapText="1"/>
    </xf>
    <xf numFmtId="9" fontId="7" fillId="0" borderId="18" xfId="24" applyFont="1" applyFill="1" applyBorder="1" applyAlignment="1">
      <alignment horizontal="center" vertical="center" wrapText="1"/>
    </xf>
    <xf numFmtId="202" fontId="7" fillId="0" borderId="18" xfId="22" applyNumberFormat="1" applyFont="1" applyFill="1" applyBorder="1" applyAlignment="1">
      <alignment horizontal="center" vertical="center" wrapText="1"/>
    </xf>
    <xf numFmtId="14" fontId="7" fillId="0" borderId="8" xfId="22" applyNumberFormat="1" applyFont="1" applyFill="1" applyBorder="1" applyAlignment="1">
      <alignment horizontal="center" vertical="center" wrapText="1"/>
    </xf>
    <xf numFmtId="14" fontId="7" fillId="0" borderId="15" xfId="22" applyNumberFormat="1" applyFont="1" applyFill="1" applyBorder="1" applyAlignment="1">
      <alignment horizontal="center" vertical="center" wrapText="1"/>
    </xf>
    <xf numFmtId="164" fontId="7" fillId="0" borderId="8" xfId="12" applyFont="1" applyFill="1" applyBorder="1" applyAlignment="1">
      <alignment horizontal="center" vertical="center" wrapText="1"/>
    </xf>
    <xf numFmtId="164" fontId="7" fillId="0" borderId="15" xfId="12" applyFont="1" applyFill="1" applyBorder="1" applyAlignment="1">
      <alignment horizontal="center" vertical="center" wrapText="1"/>
    </xf>
    <xf numFmtId="164" fontId="7" fillId="0" borderId="8" xfId="22" applyNumberFormat="1" applyFont="1" applyFill="1" applyBorder="1" applyAlignment="1">
      <alignment horizontal="center" vertical="center" wrapText="1"/>
    </xf>
    <xf numFmtId="164" fontId="7" fillId="0" borderId="15" xfId="22" applyNumberFormat="1" applyFont="1" applyFill="1" applyBorder="1" applyAlignment="1">
      <alignment horizontal="center" vertical="center" wrapText="1"/>
    </xf>
    <xf numFmtId="9" fontId="7" fillId="0" borderId="15" xfId="24" applyFont="1" applyFill="1" applyBorder="1" applyAlignment="1">
      <alignment horizontal="center" vertical="center" wrapText="1"/>
    </xf>
    <xf numFmtId="0" fontId="7" fillId="0" borderId="1" xfId="22" applyFont="1" applyFill="1" applyBorder="1" applyAlignment="1">
      <alignment horizontal="center" vertical="center"/>
    </xf>
    <xf numFmtId="183" fontId="7" fillId="0" borderId="18" xfId="24" applyNumberFormat="1" applyFont="1" applyFill="1" applyBorder="1" applyAlignment="1">
      <alignment horizontal="center" vertical="center" wrapText="1"/>
    </xf>
    <xf numFmtId="0" fontId="4" fillId="7" borderId="3" xfId="22" applyFont="1" applyFill="1" applyBorder="1" applyAlignment="1">
      <alignment horizontal="left" vertical="center" wrapText="1"/>
    </xf>
    <xf numFmtId="0" fontId="4" fillId="7" borderId="4" xfId="22" applyFont="1" applyFill="1" applyBorder="1" applyAlignment="1">
      <alignment horizontal="left" vertical="center" wrapText="1"/>
    </xf>
    <xf numFmtId="0" fontId="4" fillId="7" borderId="5" xfId="22" applyFont="1" applyFill="1" applyBorder="1" applyAlignment="1">
      <alignment horizontal="left" vertical="center" wrapText="1"/>
    </xf>
    <xf numFmtId="0" fontId="4" fillId="9" borderId="1" xfId="22" applyFont="1" applyFill="1" applyBorder="1" applyAlignment="1">
      <alignment horizontal="left" vertical="center" wrapText="1"/>
    </xf>
    <xf numFmtId="0" fontId="6" fillId="9" borderId="1" xfId="22" applyFont="1" applyFill="1" applyBorder="1" applyAlignment="1">
      <alignment horizontal="left" vertical="center" wrapText="1"/>
    </xf>
    <xf numFmtId="49" fontId="7" fillId="5" borderId="8" xfId="22" applyNumberFormat="1" applyFont="1" applyFill="1" applyBorder="1" applyAlignment="1">
      <alignment horizontal="center" vertical="center"/>
    </xf>
    <xf numFmtId="49" fontId="7" fillId="5" borderId="15" xfId="22" applyNumberFormat="1" applyFont="1" applyFill="1" applyBorder="1" applyAlignment="1">
      <alignment horizontal="center" vertical="center"/>
    </xf>
    <xf numFmtId="0" fontId="6" fillId="4" borderId="1" xfId="22" applyFont="1" applyFill="1" applyBorder="1" applyAlignment="1">
      <alignment horizontal="center" vertical="center" wrapText="1"/>
    </xf>
    <xf numFmtId="0" fontId="6" fillId="4" borderId="8" xfId="22" applyFont="1" applyFill="1" applyBorder="1" applyAlignment="1">
      <alignment horizontal="center" vertical="center" wrapText="1"/>
    </xf>
    <xf numFmtId="0" fontId="6" fillId="4" borderId="15" xfId="22" applyFont="1" applyFill="1" applyBorder="1" applyAlignment="1">
      <alignment horizontal="center" vertical="center" wrapText="1"/>
    </xf>
    <xf numFmtId="14" fontId="6" fillId="13" borderId="3" xfId="22" applyNumberFormat="1" applyFont="1" applyFill="1" applyBorder="1" applyAlignment="1">
      <alignment horizontal="center" vertical="center" wrapText="1"/>
    </xf>
    <xf numFmtId="14" fontId="6" fillId="13" borderId="5" xfId="22" applyNumberFormat="1" applyFont="1" applyFill="1" applyBorder="1" applyAlignment="1">
      <alignment horizontal="center" vertical="center" wrapText="1"/>
    </xf>
    <xf numFmtId="0" fontId="4" fillId="6" borderId="3" xfId="22" applyFont="1" applyFill="1" applyBorder="1" applyAlignment="1">
      <alignment horizontal="left" vertical="center" wrapText="1"/>
    </xf>
    <xf numFmtId="0" fontId="4" fillId="6" borderId="4" xfId="22" applyFont="1" applyFill="1" applyBorder="1" applyAlignment="1">
      <alignment horizontal="left" vertical="center" wrapText="1"/>
    </xf>
    <xf numFmtId="0" fontId="6" fillId="3" borderId="3" xfId="22" applyFont="1" applyFill="1" applyBorder="1" applyAlignment="1">
      <alignment horizontal="center" vertical="center" wrapText="1"/>
    </xf>
    <xf numFmtId="0" fontId="6" fillId="3" borderId="5" xfId="22" applyFont="1" applyFill="1" applyBorder="1" applyAlignment="1">
      <alignment horizontal="center" vertical="center" wrapText="1"/>
    </xf>
    <xf numFmtId="3" fontId="6" fillId="4" borderId="1" xfId="22" applyNumberFormat="1" applyFont="1" applyFill="1" applyBorder="1" applyAlignment="1">
      <alignment horizontal="center" vertical="center" wrapText="1"/>
    </xf>
    <xf numFmtId="3" fontId="6" fillId="4" borderId="8" xfId="22" applyNumberFormat="1" applyFont="1" applyFill="1" applyBorder="1" applyAlignment="1">
      <alignment horizontal="center" vertical="center" wrapText="1"/>
    </xf>
    <xf numFmtId="0" fontId="6" fillId="3" borderId="3" xfId="22" applyFont="1" applyFill="1" applyBorder="1" applyAlignment="1">
      <alignment horizontal="center" vertical="center" textRotation="1"/>
    </xf>
    <xf numFmtId="0" fontId="6" fillId="3" borderId="5" xfId="22" applyFont="1" applyFill="1" applyBorder="1" applyAlignment="1">
      <alignment horizontal="center" vertical="center" textRotation="1"/>
    </xf>
    <xf numFmtId="0" fontId="6" fillId="3" borderId="3" xfId="22" applyFont="1" applyFill="1" applyBorder="1" applyAlignment="1">
      <alignment horizontal="center" vertical="center"/>
    </xf>
    <xf numFmtId="0" fontId="6" fillId="3" borderId="5" xfId="22" applyFont="1" applyFill="1" applyBorder="1" applyAlignment="1">
      <alignment horizontal="center" vertical="center"/>
    </xf>
    <xf numFmtId="3" fontId="6" fillId="13" borderId="6" xfId="22" applyNumberFormat="1" applyFont="1" applyFill="1" applyBorder="1" applyAlignment="1">
      <alignment horizontal="center" vertical="center" wrapText="1"/>
    </xf>
    <xf numFmtId="3" fontId="6" fillId="13" borderId="9" xfId="22" applyNumberFormat="1" applyFont="1" applyFill="1" applyBorder="1" applyAlignment="1">
      <alignment horizontal="center" vertical="center" wrapText="1"/>
    </xf>
    <xf numFmtId="3" fontId="6" fillId="13" borderId="7" xfId="22" applyNumberFormat="1" applyFont="1" applyFill="1" applyBorder="1" applyAlignment="1">
      <alignment horizontal="center" vertical="center" wrapText="1"/>
    </xf>
    <xf numFmtId="0" fontId="6" fillId="13" borderId="8" xfId="22" applyFont="1" applyFill="1" applyBorder="1" applyAlignment="1">
      <alignment horizontal="center" vertical="center" wrapText="1"/>
    </xf>
    <xf numFmtId="0" fontId="6" fillId="13" borderId="15" xfId="22" applyFont="1" applyFill="1" applyBorder="1" applyAlignment="1">
      <alignment horizontal="center" vertical="center" wrapText="1"/>
    </xf>
    <xf numFmtId="49" fontId="6" fillId="3" borderId="3" xfId="22" applyNumberFormat="1" applyFont="1" applyFill="1" applyBorder="1" applyAlignment="1">
      <alignment horizontal="center" vertical="center"/>
    </xf>
    <xf numFmtId="49" fontId="6" fillId="3" borderId="5" xfId="22" applyNumberFormat="1" applyFont="1" applyFill="1" applyBorder="1" applyAlignment="1">
      <alignment horizontal="center" vertical="center"/>
    </xf>
    <xf numFmtId="0" fontId="6" fillId="13" borderId="8" xfId="22" applyFont="1" applyFill="1" applyBorder="1" applyAlignment="1">
      <alignment horizontal="center" vertical="center"/>
    </xf>
    <xf numFmtId="0" fontId="6" fillId="13" borderId="15" xfId="22" applyFont="1" applyFill="1" applyBorder="1" applyAlignment="1">
      <alignment horizontal="center" vertical="center"/>
    </xf>
    <xf numFmtId="0" fontId="6" fillId="13" borderId="3" xfId="22" applyNumberFormat="1" applyFont="1" applyFill="1" applyBorder="1" applyAlignment="1">
      <alignment horizontal="center" vertical="center" wrapText="1"/>
    </xf>
    <xf numFmtId="0" fontId="6" fillId="13" borderId="5" xfId="22" applyNumberFormat="1" applyFont="1" applyFill="1" applyBorder="1" applyAlignment="1">
      <alignment horizontal="center" vertical="center" wrapText="1"/>
    </xf>
    <xf numFmtId="0" fontId="6" fillId="13" borderId="18" xfId="22" applyFont="1" applyFill="1" applyBorder="1" applyAlignment="1">
      <alignment horizontal="center" vertical="center"/>
    </xf>
    <xf numFmtId="0" fontId="17" fillId="0" borderId="0" xfId="22" applyFont="1" applyBorder="1" applyAlignment="1">
      <alignment horizontal="center" vertical="center" wrapText="1"/>
    </xf>
    <xf numFmtId="0" fontId="17" fillId="0" borderId="17" xfId="22" applyFont="1" applyBorder="1" applyAlignment="1">
      <alignment horizontal="center" vertical="center" wrapText="1"/>
    </xf>
    <xf numFmtId="0" fontId="17" fillId="0" borderId="2" xfId="22" applyFont="1" applyBorder="1" applyAlignment="1">
      <alignment horizontal="center" vertical="center" wrapText="1"/>
    </xf>
    <xf numFmtId="0" fontId="17" fillId="0" borderId="14" xfId="22" applyFont="1" applyBorder="1" applyAlignment="1">
      <alignment horizontal="center" vertical="center" wrapText="1"/>
    </xf>
    <xf numFmtId="0" fontId="17" fillId="0" borderId="9" xfId="22" applyFont="1" applyBorder="1" applyAlignment="1">
      <alignment horizontal="center" vertical="center"/>
    </xf>
    <xf numFmtId="0" fontId="17" fillId="0" borderId="7" xfId="22" applyFont="1" applyBorder="1" applyAlignment="1">
      <alignment horizontal="center" vertical="center"/>
    </xf>
    <xf numFmtId="0" fontId="17" fillId="0" borderId="0" xfId="22" applyFont="1" applyBorder="1" applyAlignment="1">
      <alignment horizontal="center" vertical="center"/>
    </xf>
    <xf numFmtId="0" fontId="17" fillId="0" borderId="17" xfId="22" applyFont="1" applyBorder="1" applyAlignment="1">
      <alignment horizontal="center" vertical="center"/>
    </xf>
    <xf numFmtId="0" fontId="17" fillId="0" borderId="2" xfId="22" applyFont="1" applyBorder="1" applyAlignment="1">
      <alignment horizontal="center" vertical="center"/>
    </xf>
    <xf numFmtId="0" fontId="17" fillId="0" borderId="14" xfId="22" applyFont="1" applyBorder="1" applyAlignment="1">
      <alignment horizontal="center" vertical="center"/>
    </xf>
    <xf numFmtId="0" fontId="17" fillId="0" borderId="6" xfId="22" applyFont="1" applyFill="1" applyBorder="1" applyAlignment="1">
      <alignment horizontal="center" vertical="center"/>
    </xf>
    <xf numFmtId="0" fontId="17" fillId="0" borderId="9" xfId="22" applyFont="1" applyFill="1" applyBorder="1" applyAlignment="1">
      <alignment horizontal="center" vertical="center"/>
    </xf>
    <xf numFmtId="0" fontId="17" fillId="0" borderId="16" xfId="22" applyFont="1" applyFill="1" applyBorder="1" applyAlignment="1">
      <alignment horizontal="center" vertical="center"/>
    </xf>
    <xf numFmtId="0" fontId="17" fillId="0" borderId="0" xfId="22" applyFont="1" applyFill="1" applyBorder="1" applyAlignment="1">
      <alignment horizontal="center" vertical="center"/>
    </xf>
    <xf numFmtId="0" fontId="17" fillId="0" borderId="13" xfId="22" applyFont="1" applyFill="1" applyBorder="1" applyAlignment="1">
      <alignment horizontal="center" vertical="center"/>
    </xf>
    <xf numFmtId="0" fontId="17" fillId="0" borderId="2" xfId="22" applyFont="1" applyFill="1" applyBorder="1" applyAlignment="1">
      <alignment horizontal="center" vertical="center"/>
    </xf>
    <xf numFmtId="0" fontId="6" fillId="3" borderId="4" xfId="22" applyFont="1" applyFill="1" applyBorder="1" applyAlignment="1">
      <alignment horizontal="center" vertical="center"/>
    </xf>
    <xf numFmtId="169" fontId="7" fillId="3" borderId="10" xfId="2" applyFont="1" applyFill="1" applyBorder="1" applyAlignment="1">
      <alignment horizontal="center" vertical="center"/>
    </xf>
    <xf numFmtId="169" fontId="7" fillId="3" borderId="11" xfId="2" applyFont="1" applyFill="1" applyBorder="1" applyAlignment="1">
      <alignment horizontal="center" vertical="center"/>
    </xf>
    <xf numFmtId="169" fontId="7" fillId="3" borderId="12" xfId="2" applyFont="1" applyFill="1" applyBorder="1" applyAlignment="1">
      <alignment horizontal="center" vertical="center"/>
    </xf>
    <xf numFmtId="0" fontId="7" fillId="13" borderId="1" xfId="22" applyFont="1" applyFill="1" applyBorder="1" applyAlignment="1">
      <alignment horizontal="center" wrapText="1"/>
    </xf>
    <xf numFmtId="0" fontId="6" fillId="0" borderId="39" xfId="0" applyFont="1" applyBorder="1" applyAlignment="1">
      <alignment horizontal="right"/>
    </xf>
    <xf numFmtId="0" fontId="6" fillId="0" borderId="40" xfId="0" applyFont="1" applyBorder="1" applyAlignment="1">
      <alignment horizontal="right"/>
    </xf>
    <xf numFmtId="0" fontId="6" fillId="0" borderId="32" xfId="0" applyFont="1" applyBorder="1" applyAlignment="1">
      <alignment horizontal="right"/>
    </xf>
    <xf numFmtId="0" fontId="6" fillId="0" borderId="41" xfId="0" applyFont="1" applyBorder="1" applyAlignment="1">
      <alignment horizontal="right"/>
    </xf>
    <xf numFmtId="49" fontId="7" fillId="5" borderId="8" xfId="0" applyNumberFormat="1" applyFont="1" applyFill="1" applyBorder="1" applyAlignment="1">
      <alignment horizontal="center" vertical="center" wrapText="1"/>
    </xf>
    <xf numFmtId="49" fontId="7" fillId="5" borderId="15" xfId="0" applyNumberFormat="1" applyFont="1" applyFill="1" applyBorder="1" applyAlignment="1">
      <alignment horizontal="center" vertical="center" wrapText="1"/>
    </xf>
    <xf numFmtId="49" fontId="7" fillId="5" borderId="18" xfId="0" applyNumberFormat="1" applyFont="1" applyFill="1" applyBorder="1" applyAlignment="1">
      <alignment horizontal="center" vertical="center" wrapText="1"/>
    </xf>
    <xf numFmtId="43" fontId="7" fillId="5" borderId="8" xfId="6" applyFont="1" applyFill="1" applyBorder="1" applyAlignment="1">
      <alignment horizontal="center" vertical="center" wrapText="1"/>
    </xf>
    <xf numFmtId="43" fontId="7" fillId="5" borderId="18" xfId="6" applyFont="1" applyFill="1" applyBorder="1" applyAlignment="1">
      <alignment horizontal="center" vertical="center" wrapText="1"/>
    </xf>
    <xf numFmtId="0" fontId="7" fillId="5" borderId="1" xfId="0" applyNumberFormat="1" applyFont="1" applyFill="1" applyBorder="1" applyAlignment="1">
      <alignment horizontal="center" vertical="center" wrapText="1"/>
    </xf>
    <xf numFmtId="3" fontId="7" fillId="5" borderId="1" xfId="0" applyNumberFormat="1" applyFont="1" applyFill="1" applyBorder="1" applyAlignment="1">
      <alignment horizontal="center" vertical="center" wrapText="1"/>
    </xf>
    <xf numFmtId="175" fontId="7" fillId="5" borderId="5"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8" xfId="0" applyFont="1" applyFill="1" applyBorder="1" applyAlignment="1">
      <alignment horizontal="center" vertical="center" wrapText="1"/>
    </xf>
    <xf numFmtId="49" fontId="6" fillId="3" borderId="6" xfId="2" applyNumberFormat="1" applyFont="1" applyFill="1" applyBorder="1" applyAlignment="1">
      <alignment horizontal="center" vertical="center" wrapText="1"/>
    </xf>
    <xf numFmtId="49" fontId="6" fillId="3" borderId="7" xfId="2" applyNumberFormat="1" applyFont="1" applyFill="1" applyBorder="1" applyAlignment="1">
      <alignment horizontal="center" vertical="center" wrapText="1"/>
    </xf>
    <xf numFmtId="182" fontId="6" fillId="3" borderId="6" xfId="0" applyNumberFormat="1" applyFont="1" applyFill="1" applyBorder="1" applyAlignment="1">
      <alignment horizontal="center" vertical="center" wrapText="1"/>
    </xf>
    <xf numFmtId="182" fontId="6" fillId="3" borderId="16" xfId="0" applyNumberFormat="1" applyFont="1" applyFill="1" applyBorder="1" applyAlignment="1">
      <alignment horizontal="center" vertical="center" wrapText="1"/>
    </xf>
    <xf numFmtId="178" fontId="6" fillId="3" borderId="6" xfId="0" applyNumberFormat="1" applyFont="1" applyFill="1" applyBorder="1" applyAlignment="1">
      <alignment horizontal="center" vertical="center" wrapText="1"/>
    </xf>
    <xf numFmtId="178" fontId="6" fillId="3" borderId="16" xfId="0" applyNumberFormat="1" applyFont="1" applyFill="1" applyBorder="1" applyAlignment="1">
      <alignment horizontal="center" vertical="center" wrapText="1"/>
    </xf>
    <xf numFmtId="178" fontId="6" fillId="3" borderId="37" xfId="2" applyNumberFormat="1" applyFont="1" applyFill="1" applyBorder="1" applyAlignment="1">
      <alignment horizontal="center" vertical="center" wrapText="1"/>
    </xf>
    <xf numFmtId="178" fontId="6" fillId="3" borderId="33" xfId="2" applyNumberFormat="1" applyFont="1" applyFill="1" applyBorder="1" applyAlignment="1">
      <alignment horizontal="center" vertical="center" wrapText="1"/>
    </xf>
    <xf numFmtId="178" fontId="6" fillId="3" borderId="13" xfId="2" applyNumberFormat="1" applyFont="1" applyFill="1" applyBorder="1" applyAlignment="1">
      <alignment horizontal="center" vertical="center" wrapText="1"/>
    </xf>
    <xf numFmtId="178" fontId="6" fillId="3" borderId="2" xfId="2" applyNumberFormat="1" applyFont="1" applyFill="1" applyBorder="1" applyAlignment="1">
      <alignment horizontal="center" vertical="center" wrapText="1"/>
    </xf>
    <xf numFmtId="169" fontId="6" fillId="3" borderId="37" xfId="2" applyFont="1" applyFill="1" applyBorder="1" applyAlignment="1">
      <alignment horizontal="center" vertical="center" wrapText="1"/>
    </xf>
    <xf numFmtId="169" fontId="6" fillId="3" borderId="38" xfId="2" applyFont="1" applyFill="1" applyBorder="1" applyAlignment="1">
      <alignment horizontal="center" vertical="center" wrapText="1"/>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cellXfs>
  <cellStyles count="25">
    <cellStyle name="Excel Built-in Normal" xfId="10"/>
    <cellStyle name="Excel Built-in Normal 2" xfId="19"/>
    <cellStyle name="Millares" xfId="6" builtinId="3"/>
    <cellStyle name="Millares [0]" xfId="1" builtinId="6"/>
    <cellStyle name="Millares [0] 2" xfId="20"/>
    <cellStyle name="Millares 2" xfId="4"/>
    <cellStyle name="Millares 2 4" xfId="17"/>
    <cellStyle name="Millares 3" xfId="9"/>
    <cellStyle name="Millares 3 2" xfId="23"/>
    <cellStyle name="Millares 4" xfId="11"/>
    <cellStyle name="Millares 5" xfId="21"/>
    <cellStyle name="Moneda" xfId="7" builtinId="4"/>
    <cellStyle name="Moneda [0]" xfId="8" builtinId="7"/>
    <cellStyle name="Moneda [0] 2" xfId="12"/>
    <cellStyle name="Moneda [0] 2 2" xfId="18"/>
    <cellStyle name="Moneda 3" xfId="13"/>
    <cellStyle name="Normal" xfId="0" builtinId="0"/>
    <cellStyle name="Normal 2" xfId="22"/>
    <cellStyle name="Normal 2 2" xfId="15"/>
    <cellStyle name="Normal 2 2 2" xfId="2"/>
    <cellStyle name="Normal 7" xfId="16"/>
    <cellStyle name="Porcentaje" xfId="5" builtinId="5"/>
    <cellStyle name="Porcentaje 2" xfId="3"/>
    <cellStyle name="Porcentaje 3" xfId="24"/>
    <cellStyle name="Porcentual 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27213</xdr:colOff>
      <xdr:row>0</xdr:row>
      <xdr:rowOff>81644</xdr:rowOff>
    </xdr:from>
    <xdr:ext cx="993321" cy="925286"/>
    <xdr:pic>
      <xdr:nvPicPr>
        <xdr:cNvPr id="2" name="Imagen 1" descr="C:\Users\AUXPLANEACION03\Desktop\Gobernacion_del_quindio.jpg">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38" y="81644"/>
          <a:ext cx="993321" cy="925286"/>
        </a:xfrm>
        <a:prstGeom prst="rect">
          <a:avLst/>
        </a:prstGeom>
        <a:noFill/>
        <a:ln>
          <a:noFill/>
        </a:ln>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693964</xdr:colOff>
      <xdr:row>0</xdr:row>
      <xdr:rowOff>0</xdr:rowOff>
    </xdr:from>
    <xdr:to>
      <xdr:col>3</xdr:col>
      <xdr:colOff>309268</xdr:colOff>
      <xdr:row>3</xdr:row>
      <xdr:rowOff>197640</xdr:rowOff>
    </xdr:to>
    <xdr:pic>
      <xdr:nvPicPr>
        <xdr:cNvPr id="2" name="Imagen 1" descr="C:\Users\AUXPLANEACION03\Desktop\Gobernacion_del_quindio.jpg">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7264" y="0"/>
          <a:ext cx="967854" cy="114061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703984</xdr:colOff>
      <xdr:row>0</xdr:row>
      <xdr:rowOff>17319</xdr:rowOff>
    </xdr:from>
    <xdr:to>
      <xdr:col>2</xdr:col>
      <xdr:colOff>242011</xdr:colOff>
      <xdr:row>5</xdr:row>
      <xdr:rowOff>116945</xdr:rowOff>
    </xdr:to>
    <xdr:pic>
      <xdr:nvPicPr>
        <xdr:cNvPr id="2" name="Imagen 4" descr="C:\Users\AUXPLANEACION03\Desktop\Gobernacion_del_quindio.jpg">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3984" y="17319"/>
          <a:ext cx="976302" cy="1414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oneCellAnchor>
    <xdr:from>
      <xdr:col>1</xdr:col>
      <xdr:colOff>27213</xdr:colOff>
      <xdr:row>0</xdr:row>
      <xdr:rowOff>95251</xdr:rowOff>
    </xdr:from>
    <xdr:ext cx="993321" cy="925286"/>
    <xdr:pic>
      <xdr:nvPicPr>
        <xdr:cNvPr id="2" name="Imagen 1" descr="C:\Users\AUXPLANEACION03\Desktop\Gobernacion_del_quindio.jpg">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38" y="95251"/>
          <a:ext cx="993321" cy="925286"/>
        </a:xfrm>
        <a:prstGeom prst="rect">
          <a:avLst/>
        </a:prstGeom>
        <a:noFill/>
        <a:ln>
          <a:noFill/>
        </a:ln>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529442</xdr:colOff>
      <xdr:row>0</xdr:row>
      <xdr:rowOff>65562</xdr:rowOff>
    </xdr:from>
    <xdr:to>
      <xdr:col>1</xdr:col>
      <xdr:colOff>554182</xdr:colOff>
      <xdr:row>3</xdr:row>
      <xdr:rowOff>34636</xdr:rowOff>
    </xdr:to>
    <xdr:pic>
      <xdr:nvPicPr>
        <xdr:cNvPr id="2" name="Imagen 1" descr="C:\Users\AUXPLANEACION03\Desktop\Gobernacion_del_quindio.jpg">
          <a:extLst>
            <a:ext uri="{FF2B5EF4-FFF2-40B4-BE49-F238E27FC236}">
              <a16:creationId xmlns:a16="http://schemas.microsoft.com/office/drawing/2014/main" xmlns=""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9442" y="65562"/>
          <a:ext cx="815315" cy="940624"/>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548111</xdr:colOff>
      <xdr:row>0</xdr:row>
      <xdr:rowOff>93379</xdr:rowOff>
    </xdr:from>
    <xdr:ext cx="850873" cy="1052598"/>
    <xdr:pic>
      <xdr:nvPicPr>
        <xdr:cNvPr id="2" name="Imagen 1" descr="C:\Users\AUXPLANEACION03\Desktop\Gobernacion_del_quindio.jpg">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111" y="93379"/>
          <a:ext cx="850873" cy="1052598"/>
        </a:xfrm>
        <a:prstGeom prst="rect">
          <a:avLst/>
        </a:prstGeom>
        <a:noFill/>
        <a:ln>
          <a:noFill/>
        </a:ln>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1</xdr:col>
      <xdr:colOff>857250</xdr:colOff>
      <xdr:row>0</xdr:row>
      <xdr:rowOff>1</xdr:rowOff>
    </xdr:from>
    <xdr:to>
      <xdr:col>2</xdr:col>
      <xdr:colOff>682625</xdr:colOff>
      <xdr:row>3</xdr:row>
      <xdr:rowOff>47625</xdr:rowOff>
    </xdr:to>
    <xdr:pic>
      <xdr:nvPicPr>
        <xdr:cNvPr id="2" name="Imagen 1" descr="C:\Users\AUXPLANEACION03\Desktop\Gobernacion_del_quindio.jpg">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3375" y="1"/>
          <a:ext cx="1174750" cy="1000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278675</xdr:colOff>
      <xdr:row>0</xdr:row>
      <xdr:rowOff>82550</xdr:rowOff>
    </xdr:from>
    <xdr:to>
      <xdr:col>2</xdr:col>
      <xdr:colOff>971550</xdr:colOff>
      <xdr:row>3</xdr:row>
      <xdr:rowOff>96685</xdr:rowOff>
    </xdr:to>
    <xdr:pic>
      <xdr:nvPicPr>
        <xdr:cNvPr id="2" name="Imagen 1" descr="C:\Users\AUXPLANEACION03\Desktop\Gobernacion_del_quindio.jpg">
          <a:extLst>
            <a:ext uri="{FF2B5EF4-FFF2-40B4-BE49-F238E27FC236}">
              <a16:creationId xmlns:a16="http://schemas.microsoft.com/office/drawing/2014/main" xmlns="" id="{00000000-0008-0000-0B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3575" y="82550"/>
          <a:ext cx="692875" cy="738035"/>
        </a:xfrm>
        <a:prstGeom prst="rect">
          <a:avLst/>
        </a:prstGeom>
        <a:noFill/>
        <a:ln>
          <a:noFill/>
        </a:ln>
      </xdr:spPr>
    </xdr:pic>
    <xdr:clientData/>
  </xdr:twoCellAnchor>
  <xdr:twoCellAnchor editAs="oneCell">
    <xdr:from>
      <xdr:col>2</xdr:col>
      <xdr:colOff>278675</xdr:colOff>
      <xdr:row>0</xdr:row>
      <xdr:rowOff>82550</xdr:rowOff>
    </xdr:from>
    <xdr:to>
      <xdr:col>2</xdr:col>
      <xdr:colOff>971550</xdr:colOff>
      <xdr:row>3</xdr:row>
      <xdr:rowOff>96685</xdr:rowOff>
    </xdr:to>
    <xdr:pic>
      <xdr:nvPicPr>
        <xdr:cNvPr id="3" name="Imagen 2" descr="C:\Users\AUXPLANEACION03\Desktop\Gobernacion_del_quindio.jpg">
          <a:extLst>
            <a:ext uri="{FF2B5EF4-FFF2-40B4-BE49-F238E27FC236}">
              <a16:creationId xmlns="" xmlns:a16="http://schemas.microsoft.com/office/drawing/2014/main" id="{00000000-0008-0000-0B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3575" y="82550"/>
          <a:ext cx="692875" cy="73803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693964</xdr:colOff>
      <xdr:row>0</xdr:row>
      <xdr:rowOff>0</xdr:rowOff>
    </xdr:from>
    <xdr:ext cx="950686" cy="1422400"/>
    <xdr:pic>
      <xdr:nvPicPr>
        <xdr:cNvPr id="2" name="Imagen 1" descr="C:\Users\AUXPLANEACION03\Desktop\Gobernacion_del_quindio.jpg">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3964" y="0"/>
          <a:ext cx="950686" cy="142240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27213</xdr:colOff>
      <xdr:row>0</xdr:row>
      <xdr:rowOff>34018</xdr:rowOff>
    </xdr:from>
    <xdr:ext cx="993321" cy="925286"/>
    <xdr:pic>
      <xdr:nvPicPr>
        <xdr:cNvPr id="2" name="Imagen 1" descr="C:\Users\AUXPLANEACION03\Desktop\Gobernacion_del_quindio.jpg">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38" y="34018"/>
          <a:ext cx="993321" cy="925286"/>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27214</xdr:colOff>
      <xdr:row>1</xdr:row>
      <xdr:rowOff>163286</xdr:rowOff>
    </xdr:from>
    <xdr:to>
      <xdr:col>1</xdr:col>
      <xdr:colOff>625928</xdr:colOff>
      <xdr:row>5</xdr:row>
      <xdr:rowOff>153832</xdr:rowOff>
    </xdr:to>
    <xdr:pic>
      <xdr:nvPicPr>
        <xdr:cNvPr id="2" name="Imagen 1" descr="C:\Users\AUXPLANEACION03\Desktop\Gobernacion_del_quindio.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189" y="334736"/>
          <a:ext cx="598714" cy="813929"/>
        </a:xfrm>
        <a:prstGeom prst="rect">
          <a:avLst/>
        </a:prstGeom>
        <a:noFill/>
        <a:ln>
          <a:noFill/>
        </a:ln>
      </xdr:spPr>
    </xdr:pic>
    <xdr:clientData/>
  </xdr:twoCellAnchor>
  <xdr:oneCellAnchor>
    <xdr:from>
      <xdr:col>0</xdr:col>
      <xdr:colOff>360588</xdr:colOff>
      <xdr:row>0</xdr:row>
      <xdr:rowOff>0</xdr:rowOff>
    </xdr:from>
    <xdr:ext cx="993321" cy="925286"/>
    <xdr:pic>
      <xdr:nvPicPr>
        <xdr:cNvPr id="3" name="Imagen 2" descr="C:\Users\AUXPLANEACION03\Desktop\Gobernacion_del_quindio.jpg">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588" y="0"/>
          <a:ext cx="993321" cy="925286"/>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39461</xdr:colOff>
      <xdr:row>0</xdr:row>
      <xdr:rowOff>95251</xdr:rowOff>
    </xdr:from>
    <xdr:to>
      <xdr:col>1</xdr:col>
      <xdr:colOff>786947</xdr:colOff>
      <xdr:row>4</xdr:row>
      <xdr:rowOff>190501</xdr:rowOff>
    </xdr:to>
    <xdr:pic>
      <xdr:nvPicPr>
        <xdr:cNvPr id="2" name="Imagen 1" descr="C:\Users\AUXPLANEACION03\Desktop\Gobernacion_del_quindio.jpg">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1936" y="95251"/>
          <a:ext cx="747486" cy="10858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54428</xdr:colOff>
      <xdr:row>0</xdr:row>
      <xdr:rowOff>54428</xdr:rowOff>
    </xdr:from>
    <xdr:ext cx="857250" cy="884465"/>
    <xdr:pic>
      <xdr:nvPicPr>
        <xdr:cNvPr id="3" name="Imagen 2" descr="C:\Users\AUXPLANEACION03\Desktop\Gobernacion_del_quindio.jpg">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9214" y="54428"/>
          <a:ext cx="857250" cy="884465"/>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503464</xdr:colOff>
      <xdr:row>0</xdr:row>
      <xdr:rowOff>95252</xdr:rowOff>
    </xdr:from>
    <xdr:to>
      <xdr:col>2</xdr:col>
      <xdr:colOff>517071</xdr:colOff>
      <xdr:row>5</xdr:row>
      <xdr:rowOff>40823</xdr:rowOff>
    </xdr:to>
    <xdr:pic>
      <xdr:nvPicPr>
        <xdr:cNvPr id="2" name="Imagen 1" descr="C:\Users\AUXPLANEACION03\Desktop\Gobernacion_del_quindio.jpg">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3464" y="95252"/>
          <a:ext cx="966107" cy="104094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27214</xdr:colOff>
      <xdr:row>1</xdr:row>
      <xdr:rowOff>163286</xdr:rowOff>
    </xdr:from>
    <xdr:to>
      <xdr:col>1</xdr:col>
      <xdr:colOff>625928</xdr:colOff>
      <xdr:row>6</xdr:row>
      <xdr:rowOff>32385</xdr:rowOff>
    </xdr:to>
    <xdr:pic>
      <xdr:nvPicPr>
        <xdr:cNvPr id="2" name="Imagen 1" descr="C:\Users\AUXPLANEACION03\Desktop\Gobernacion_del_quindio.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39" y="353786"/>
          <a:ext cx="598714" cy="770799"/>
        </a:xfrm>
        <a:prstGeom prst="rect">
          <a:avLst/>
        </a:prstGeom>
        <a:noFill/>
        <a:ln>
          <a:noFill/>
        </a:ln>
      </xdr:spPr>
    </xdr:pic>
    <xdr:clientData/>
  </xdr:twoCellAnchor>
  <xdr:oneCellAnchor>
    <xdr:from>
      <xdr:col>1</xdr:col>
      <xdr:colOff>27213</xdr:colOff>
      <xdr:row>0</xdr:row>
      <xdr:rowOff>176893</xdr:rowOff>
    </xdr:from>
    <xdr:ext cx="993321" cy="925286"/>
    <xdr:pic>
      <xdr:nvPicPr>
        <xdr:cNvPr id="3" name="Imagen 2" descr="C:\Users\AUXPLANEACION03\Desktop\Gobernacion_del_quindio.jpg">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38" y="176893"/>
          <a:ext cx="993321" cy="925286"/>
        </a:xfrm>
        <a:prstGeom prst="rect">
          <a:avLst/>
        </a:prstGeom>
        <a:noFill/>
        <a:ln>
          <a:noFill/>
        </a:ln>
      </xdr:spPr>
    </xdr:pic>
    <xdr:clientData/>
  </xdr:oneCellAnchor>
  <xdr:oneCellAnchor>
    <xdr:from>
      <xdr:col>1</xdr:col>
      <xdr:colOff>54428</xdr:colOff>
      <xdr:row>0</xdr:row>
      <xdr:rowOff>54428</xdr:rowOff>
    </xdr:from>
    <xdr:ext cx="857250" cy="884465"/>
    <xdr:pic>
      <xdr:nvPicPr>
        <xdr:cNvPr id="4" name="Imagen 3" descr="C:\Users\AUXPLANEACION03\Desktop\Gobernacion_del_quindio.jpg">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7853" y="54428"/>
          <a:ext cx="857250" cy="884465"/>
        </a:xfrm>
        <a:prstGeom prst="rect">
          <a:avLst/>
        </a:prstGeom>
        <a:noFill/>
        <a:ln>
          <a:noFill/>
        </a:ln>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27214</xdr:colOff>
      <xdr:row>1</xdr:row>
      <xdr:rowOff>163286</xdr:rowOff>
    </xdr:from>
    <xdr:to>
      <xdr:col>1</xdr:col>
      <xdr:colOff>625928</xdr:colOff>
      <xdr:row>5</xdr:row>
      <xdr:rowOff>25581</xdr:rowOff>
    </xdr:to>
    <xdr:pic>
      <xdr:nvPicPr>
        <xdr:cNvPr id="2" name="Imagen 1" descr="C:\Users\AUXPLANEACION03\Desktop\Gobernacion_del_quindio.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39" y="353786"/>
          <a:ext cx="598714" cy="775335"/>
        </a:xfrm>
        <a:prstGeom prst="rect">
          <a:avLst/>
        </a:prstGeom>
        <a:noFill/>
        <a:ln>
          <a:noFill/>
        </a:ln>
      </xdr:spPr>
    </xdr:pic>
    <xdr:clientData/>
  </xdr:twoCellAnchor>
  <xdr:oneCellAnchor>
    <xdr:from>
      <xdr:col>1</xdr:col>
      <xdr:colOff>27213</xdr:colOff>
      <xdr:row>0</xdr:row>
      <xdr:rowOff>176893</xdr:rowOff>
    </xdr:from>
    <xdr:ext cx="993321" cy="925286"/>
    <xdr:pic>
      <xdr:nvPicPr>
        <xdr:cNvPr id="3" name="Imagen 2" descr="C:\Users\AUXPLANEACION03\Desktop\Gobernacion_del_quindio.jpg">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38" y="176893"/>
          <a:ext cx="993321" cy="925286"/>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a/Downloads/F-PLA-44-37-39-40-PLANEACION%20PROYECTOS-%20METAS%202017-INVERSION%20POR%20MUNICIPIOS-%20GESTION%20DE%20RECURS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ESUPUESTOS%20PROYECTOS%20PLANEACION%20mar%203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UXPLANEACION13/Downloads/POAI%20PROMOTORA%20MARZO%20-2017,%20nor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S"/>
      <sheetName val="METAS"/>
      <sheetName val="INVERSION POR MUNICIPIOS"/>
      <sheetName val="GESTION DE RECURSOS"/>
    </sheetNames>
    <sheetDataSet>
      <sheetData sheetId="0">
        <row r="24">
          <cell r="H24">
            <v>148380000</v>
          </cell>
          <cell r="I24">
            <v>37930000</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6"/>
      <sheetName val="007"/>
      <sheetName val="009"/>
      <sheetName val="010"/>
      <sheetName val="011"/>
      <sheetName val="012"/>
      <sheetName val="013"/>
      <sheetName val="013 (a) "/>
      <sheetName val="014"/>
      <sheetName val="015"/>
    </sheetNames>
    <sheetDataSet>
      <sheetData sheetId="0"/>
      <sheetData sheetId="1"/>
      <sheetData sheetId="2"/>
      <sheetData sheetId="3"/>
      <sheetData sheetId="4"/>
      <sheetData sheetId="5"/>
      <sheetData sheetId="6"/>
      <sheetData sheetId="7">
        <row r="8">
          <cell r="F8">
            <v>3680000</v>
          </cell>
          <cell r="I8">
            <v>1900800</v>
          </cell>
        </row>
        <row r="11">
          <cell r="F11">
            <v>11120000</v>
          </cell>
          <cell r="H11">
            <v>7035000</v>
          </cell>
          <cell r="I11">
            <v>2323200</v>
          </cell>
        </row>
        <row r="20">
          <cell r="F20">
            <v>11040000</v>
          </cell>
        </row>
        <row r="28">
          <cell r="F28">
            <v>8075000</v>
          </cell>
          <cell r="H28">
            <v>3375000</v>
          </cell>
          <cell r="I28">
            <v>1056000</v>
          </cell>
        </row>
        <row r="33">
          <cell r="F33">
            <v>335000</v>
          </cell>
        </row>
      </sheetData>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poai incial promotora"/>
      <sheetName val=" poai marzo 31 ajustes "/>
      <sheetName val=" poai marzo 31+R.Bce "/>
    </sheetNames>
    <sheetDataSet>
      <sheetData sheetId="0"/>
      <sheetData sheetId="1"/>
      <sheetData sheetId="2">
        <row r="7">
          <cell r="AP7">
            <v>214850780</v>
          </cell>
        </row>
        <row r="9">
          <cell r="AP9">
            <v>683908832</v>
          </cell>
        </row>
        <row r="10">
          <cell r="AP10">
            <v>683908833</v>
          </cell>
        </row>
        <row r="11">
          <cell r="AP11">
            <v>314767887</v>
          </cell>
        </row>
        <row r="12">
          <cell r="AP12">
            <v>698908834</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H35"/>
  <sheetViews>
    <sheetView showGridLines="0" topLeftCell="AO1" zoomScale="60" zoomScaleNormal="60" workbookViewId="0">
      <pane ySplit="12" topLeftCell="A13" activePane="bottomLeft" state="frozen"/>
      <selection pane="bottomLeft" activeCell="BH4" sqref="BH4"/>
    </sheetView>
  </sheetViews>
  <sheetFormatPr baseColWidth="10" defaultColWidth="11.42578125" defaultRowHeight="14.25" x14ac:dyDescent="0.2"/>
  <cols>
    <col min="1" max="1" width="11" style="38" customWidth="1"/>
    <col min="2" max="2" width="22.5703125" style="38" customWidth="1"/>
    <col min="3" max="3" width="11.5703125" style="38" bestFit="1" customWidth="1"/>
    <col min="4" max="4" width="18.140625" style="38" customWidth="1"/>
    <col min="5" max="5" width="3.140625" style="38" customWidth="1"/>
    <col min="6" max="6" width="10.5703125" style="38" customWidth="1"/>
    <col min="7" max="7" width="18.7109375" style="38" customWidth="1"/>
    <col min="8" max="8" width="14.42578125" style="38" customWidth="1"/>
    <col min="9" max="9" width="19" style="38" customWidth="1"/>
    <col min="10" max="10" width="14.85546875" style="38" customWidth="1"/>
    <col min="11" max="11" width="12.5703125" style="743" customWidth="1"/>
    <col min="12" max="12" width="12.5703125" style="38" customWidth="1"/>
    <col min="13" max="13" width="21.42578125" style="38" customWidth="1"/>
    <col min="14" max="14" width="11.7109375" style="743" customWidth="1"/>
    <col min="15" max="15" width="21.5703125" style="38" customWidth="1"/>
    <col min="16" max="16" width="13.28515625" style="744" customWidth="1"/>
    <col min="17" max="17" width="24" style="38" bestFit="1" customWidth="1"/>
    <col min="18" max="18" width="26.85546875" style="38" customWidth="1"/>
    <col min="19" max="19" width="27.42578125" style="38" customWidth="1"/>
    <col min="20" max="20" width="25" style="38" customWidth="1"/>
    <col min="21" max="21" width="24.42578125" style="155" customWidth="1"/>
    <col min="22" max="23" width="24.42578125" style="745" customWidth="1"/>
    <col min="24" max="24" width="14.7109375" style="746" customWidth="1"/>
    <col min="25" max="25" width="16.140625" style="38" customWidth="1"/>
    <col min="26" max="26" width="12.7109375" style="747" customWidth="1"/>
    <col min="27" max="27" width="12.7109375" style="38" customWidth="1"/>
    <col min="28" max="28" width="11.42578125" style="747"/>
    <col min="29" max="29" width="11.42578125" style="38"/>
    <col min="30" max="30" width="11.5703125" style="38" bestFit="1" customWidth="1"/>
    <col min="31" max="31" width="11.5703125" style="38" customWidth="1"/>
    <col min="32" max="32" width="11.5703125" style="38" bestFit="1" customWidth="1"/>
    <col min="33" max="33" width="11.5703125" style="38" customWidth="1"/>
    <col min="34" max="35" width="11.42578125" style="38" customWidth="1"/>
    <col min="36" max="36" width="11.5703125" style="38" bestFit="1" customWidth="1"/>
    <col min="37" max="37" width="11.5703125" style="38" customWidth="1"/>
    <col min="38" max="38" width="11.5703125" style="38" bestFit="1" customWidth="1"/>
    <col min="39" max="39" width="11.5703125" style="38" customWidth="1"/>
    <col min="40" max="40" width="11.5703125" style="38" bestFit="1" customWidth="1"/>
    <col min="41" max="41" width="11.5703125" style="38" customWidth="1"/>
    <col min="42" max="47" width="11.42578125" style="38"/>
    <col min="48" max="48" width="11.5703125" style="38" bestFit="1" customWidth="1"/>
    <col min="49" max="49" width="11.5703125" style="38" customWidth="1"/>
    <col min="50" max="50" width="21" style="38" customWidth="1"/>
    <col min="51" max="51" width="32.140625" style="748" bestFit="1" customWidth="1"/>
    <col min="52" max="52" width="21" style="749" customWidth="1"/>
    <col min="53" max="55" width="21" style="38" customWidth="1"/>
    <col min="56" max="59" width="22.7109375" style="744" customWidth="1"/>
    <col min="60" max="60" width="28.7109375" style="744" customWidth="1"/>
    <col min="61" max="16384" width="11.42578125" style="38"/>
  </cols>
  <sheetData>
    <row r="1" spans="1:60" ht="15" customHeight="1" x14ac:dyDescent="0.25">
      <c r="A1" s="2470" t="s">
        <v>141</v>
      </c>
      <c r="B1" s="2471"/>
      <c r="C1" s="2471"/>
      <c r="D1" s="2471"/>
      <c r="E1" s="2471"/>
      <c r="F1" s="2471"/>
      <c r="G1" s="2471"/>
      <c r="H1" s="2471"/>
      <c r="I1" s="2471"/>
      <c r="J1" s="2471"/>
      <c r="K1" s="2471"/>
      <c r="L1" s="2471"/>
      <c r="M1" s="2471"/>
      <c r="N1" s="2471"/>
      <c r="O1" s="2471"/>
      <c r="P1" s="2471"/>
      <c r="Q1" s="2471"/>
      <c r="R1" s="2471"/>
      <c r="S1" s="2471"/>
      <c r="T1" s="2471"/>
      <c r="U1" s="2471"/>
      <c r="V1" s="2471"/>
      <c r="W1" s="2471"/>
      <c r="X1" s="2471"/>
      <c r="Y1" s="2471"/>
      <c r="Z1" s="2471"/>
      <c r="AA1" s="2471"/>
      <c r="AB1" s="2471"/>
      <c r="AC1" s="2471"/>
      <c r="AD1" s="2471"/>
      <c r="AE1" s="2471"/>
      <c r="AF1" s="2471"/>
      <c r="AG1" s="2471"/>
      <c r="AH1" s="2471"/>
      <c r="AI1" s="2471"/>
      <c r="AJ1" s="2471"/>
      <c r="AK1" s="2471"/>
      <c r="AL1" s="2471"/>
      <c r="AM1" s="2471"/>
      <c r="AN1" s="2471"/>
      <c r="AO1" s="2471"/>
      <c r="AP1" s="2471"/>
      <c r="AQ1" s="2471"/>
      <c r="AR1" s="2471"/>
      <c r="AS1" s="2471"/>
      <c r="AT1" s="2471"/>
      <c r="AU1" s="2471"/>
      <c r="AV1" s="2471"/>
      <c r="AW1" s="2471"/>
      <c r="AX1" s="2471"/>
      <c r="AY1" s="2471"/>
      <c r="AZ1" s="2471"/>
      <c r="BA1" s="2471"/>
      <c r="BB1" s="2471"/>
      <c r="BC1" s="2471"/>
      <c r="BD1" s="2471"/>
      <c r="BE1" s="2471"/>
      <c r="BF1" s="2472"/>
      <c r="BG1" s="305" t="s">
        <v>0</v>
      </c>
      <c r="BH1" s="648" t="s">
        <v>1</v>
      </c>
    </row>
    <row r="2" spans="1:60" ht="15" x14ac:dyDescent="0.25">
      <c r="A2" s="2470"/>
      <c r="B2" s="2471"/>
      <c r="C2" s="2471"/>
      <c r="D2" s="2471"/>
      <c r="E2" s="2471"/>
      <c r="F2" s="2471"/>
      <c r="G2" s="2471"/>
      <c r="H2" s="2471"/>
      <c r="I2" s="2471"/>
      <c r="J2" s="2471"/>
      <c r="K2" s="2471"/>
      <c r="L2" s="2471"/>
      <c r="M2" s="2471"/>
      <c r="N2" s="2471"/>
      <c r="O2" s="2471"/>
      <c r="P2" s="2471"/>
      <c r="Q2" s="2471"/>
      <c r="R2" s="2471"/>
      <c r="S2" s="2471"/>
      <c r="T2" s="2471"/>
      <c r="U2" s="2471"/>
      <c r="V2" s="2471"/>
      <c r="W2" s="2471"/>
      <c r="X2" s="2471"/>
      <c r="Y2" s="2471"/>
      <c r="Z2" s="2471"/>
      <c r="AA2" s="2471"/>
      <c r="AB2" s="2471"/>
      <c r="AC2" s="2471"/>
      <c r="AD2" s="2471"/>
      <c r="AE2" s="2471"/>
      <c r="AF2" s="2471"/>
      <c r="AG2" s="2471"/>
      <c r="AH2" s="2471"/>
      <c r="AI2" s="2471"/>
      <c r="AJ2" s="2471"/>
      <c r="AK2" s="2471"/>
      <c r="AL2" s="2471"/>
      <c r="AM2" s="2471"/>
      <c r="AN2" s="2471"/>
      <c r="AO2" s="2471"/>
      <c r="AP2" s="2471"/>
      <c r="AQ2" s="2471"/>
      <c r="AR2" s="2471"/>
      <c r="AS2" s="2471"/>
      <c r="AT2" s="2471"/>
      <c r="AU2" s="2471"/>
      <c r="AV2" s="2471"/>
      <c r="AW2" s="2471"/>
      <c r="AX2" s="2471"/>
      <c r="AY2" s="2471"/>
      <c r="AZ2" s="2471"/>
      <c r="BA2" s="2471"/>
      <c r="BB2" s="2471"/>
      <c r="BC2" s="2471"/>
      <c r="BD2" s="2471"/>
      <c r="BE2" s="2471"/>
      <c r="BF2" s="2472"/>
      <c r="BG2" s="649" t="s">
        <v>2</v>
      </c>
      <c r="BH2" s="650">
        <v>5</v>
      </c>
    </row>
    <row r="3" spans="1:60" ht="20.25" customHeight="1" x14ac:dyDescent="0.25">
      <c r="A3" s="2470" t="s">
        <v>142</v>
      </c>
      <c r="B3" s="2471"/>
      <c r="C3" s="2471"/>
      <c r="D3" s="2471"/>
      <c r="E3" s="2471"/>
      <c r="F3" s="2471"/>
      <c r="G3" s="2471"/>
      <c r="H3" s="2471"/>
      <c r="I3" s="2471"/>
      <c r="J3" s="2471"/>
      <c r="K3" s="2471"/>
      <c r="L3" s="2471"/>
      <c r="M3" s="2471"/>
      <c r="N3" s="2471"/>
      <c r="O3" s="2471"/>
      <c r="P3" s="2471"/>
      <c r="Q3" s="2471"/>
      <c r="R3" s="2471"/>
      <c r="S3" s="2471"/>
      <c r="T3" s="2471"/>
      <c r="U3" s="2471"/>
      <c r="V3" s="2471"/>
      <c r="W3" s="2471"/>
      <c r="X3" s="2471"/>
      <c r="Y3" s="2471"/>
      <c r="Z3" s="2471"/>
      <c r="AA3" s="2471"/>
      <c r="AB3" s="2471"/>
      <c r="AC3" s="2471"/>
      <c r="AD3" s="2471"/>
      <c r="AE3" s="2471"/>
      <c r="AF3" s="2471"/>
      <c r="AG3" s="2471"/>
      <c r="AH3" s="2471"/>
      <c r="AI3" s="2471"/>
      <c r="AJ3" s="2471"/>
      <c r="AK3" s="2471"/>
      <c r="AL3" s="2471"/>
      <c r="AM3" s="2471"/>
      <c r="AN3" s="2471"/>
      <c r="AO3" s="2471"/>
      <c r="AP3" s="2471"/>
      <c r="AQ3" s="2471"/>
      <c r="AR3" s="2471"/>
      <c r="AS3" s="2471"/>
      <c r="AT3" s="2471"/>
      <c r="AU3" s="2471"/>
      <c r="AV3" s="2471"/>
      <c r="AW3" s="2471"/>
      <c r="AX3" s="2471"/>
      <c r="AY3" s="2471"/>
      <c r="AZ3" s="2471"/>
      <c r="BA3" s="2471"/>
      <c r="BB3" s="2471"/>
      <c r="BC3" s="2471"/>
      <c r="BD3" s="2471"/>
      <c r="BE3" s="2471"/>
      <c r="BF3" s="2472"/>
      <c r="BG3" s="305" t="s">
        <v>3</v>
      </c>
      <c r="BH3" s="651" t="s">
        <v>4</v>
      </c>
    </row>
    <row r="4" spans="1:60" s="40" customFormat="1" ht="21" customHeight="1" x14ac:dyDescent="0.2">
      <c r="A4" s="2473" t="s">
        <v>139</v>
      </c>
      <c r="B4" s="2474"/>
      <c r="C4" s="2474"/>
      <c r="D4" s="2474"/>
      <c r="E4" s="2474"/>
      <c r="F4" s="2474"/>
      <c r="G4" s="2474"/>
      <c r="H4" s="2474"/>
      <c r="I4" s="2474"/>
      <c r="J4" s="2474"/>
      <c r="K4" s="2474"/>
      <c r="L4" s="2474"/>
      <c r="M4" s="2474"/>
      <c r="N4" s="2474"/>
      <c r="O4" s="2474"/>
      <c r="P4" s="2474"/>
      <c r="Q4" s="2474"/>
      <c r="R4" s="2474"/>
      <c r="S4" s="2474"/>
      <c r="T4" s="2474"/>
      <c r="U4" s="2474"/>
      <c r="V4" s="2474"/>
      <c r="W4" s="2474"/>
      <c r="X4" s="2474"/>
      <c r="Y4" s="2474"/>
      <c r="Z4" s="2474"/>
      <c r="AA4" s="2474"/>
      <c r="AB4" s="2474"/>
      <c r="AC4" s="2474"/>
      <c r="AD4" s="2474"/>
      <c r="AE4" s="2474"/>
      <c r="AF4" s="2474"/>
      <c r="AG4" s="2474"/>
      <c r="AH4" s="2474"/>
      <c r="AI4" s="2474"/>
      <c r="AJ4" s="2474"/>
      <c r="AK4" s="2474"/>
      <c r="AL4" s="2474"/>
      <c r="AM4" s="2474"/>
      <c r="AN4" s="2474"/>
      <c r="AO4" s="2474"/>
      <c r="AP4" s="2474"/>
      <c r="AQ4" s="2474"/>
      <c r="AR4" s="2474"/>
      <c r="AS4" s="2474"/>
      <c r="AT4" s="2474"/>
      <c r="AU4" s="2474"/>
      <c r="AV4" s="2474"/>
      <c r="AW4" s="2474"/>
      <c r="AX4" s="2474"/>
      <c r="AY4" s="2474"/>
      <c r="AZ4" s="2474"/>
      <c r="BA4" s="2474"/>
      <c r="BB4" s="2474"/>
      <c r="BC4" s="2474"/>
      <c r="BD4" s="2474"/>
      <c r="BE4" s="2474"/>
      <c r="BF4" s="2475"/>
      <c r="BG4" s="652" t="s">
        <v>5</v>
      </c>
      <c r="BH4" s="308" t="s">
        <v>6</v>
      </c>
    </row>
    <row r="5" spans="1:60" ht="15" customHeight="1" x14ac:dyDescent="0.2">
      <c r="A5" s="2476" t="s">
        <v>7</v>
      </c>
      <c r="B5" s="2477"/>
      <c r="C5" s="2477"/>
      <c r="D5" s="2477"/>
      <c r="E5" s="2477"/>
      <c r="F5" s="2477"/>
      <c r="G5" s="2477"/>
      <c r="H5" s="2477"/>
      <c r="I5" s="2477"/>
      <c r="J5" s="2477"/>
      <c r="K5" s="2477"/>
      <c r="L5" s="2477"/>
      <c r="M5" s="2476" t="s">
        <v>8</v>
      </c>
      <c r="N5" s="2477"/>
      <c r="O5" s="2477"/>
      <c r="P5" s="2477"/>
      <c r="Q5" s="2477"/>
      <c r="R5" s="2477"/>
      <c r="S5" s="2477"/>
      <c r="T5" s="2477"/>
      <c r="U5" s="2477"/>
      <c r="V5" s="2477"/>
      <c r="W5" s="2477"/>
      <c r="X5" s="2477"/>
      <c r="Y5" s="2480"/>
      <c r="Z5" s="2476" t="s">
        <v>9</v>
      </c>
      <c r="AA5" s="2477"/>
      <c r="AB5" s="2477"/>
      <c r="AC5" s="2477"/>
      <c r="AD5" s="2477"/>
      <c r="AE5" s="2477"/>
      <c r="AF5" s="2477"/>
      <c r="AG5" s="2477"/>
      <c r="AH5" s="2477"/>
      <c r="AI5" s="2477"/>
      <c r="AJ5" s="2477"/>
      <c r="AK5" s="2477"/>
      <c r="AL5" s="2477"/>
      <c r="AM5" s="2477"/>
      <c r="AN5" s="2477"/>
      <c r="AO5" s="2477"/>
      <c r="AP5" s="2477"/>
      <c r="AQ5" s="2477"/>
      <c r="AR5" s="2477"/>
      <c r="AS5" s="2477"/>
      <c r="AT5" s="2477"/>
      <c r="AU5" s="2477"/>
      <c r="AV5" s="2477"/>
      <c r="AW5" s="2480"/>
      <c r="AX5" s="653"/>
      <c r="AY5" s="653"/>
      <c r="AZ5" s="653"/>
      <c r="BA5" s="653"/>
      <c r="BB5" s="653"/>
      <c r="BC5" s="653"/>
      <c r="BD5" s="653"/>
      <c r="BE5" s="653"/>
      <c r="BF5" s="653"/>
      <c r="BG5" s="653"/>
      <c r="BH5" s="654"/>
    </row>
    <row r="6" spans="1:60" ht="14.45" customHeight="1" thickBot="1" x14ac:dyDescent="0.25">
      <c r="A6" s="2478"/>
      <c r="B6" s="2479"/>
      <c r="C6" s="2479"/>
      <c r="D6" s="2479"/>
      <c r="E6" s="2479"/>
      <c r="F6" s="2479"/>
      <c r="G6" s="2479"/>
      <c r="H6" s="2479"/>
      <c r="I6" s="2479"/>
      <c r="J6" s="2479"/>
      <c r="K6" s="2479"/>
      <c r="L6" s="2479"/>
      <c r="M6" s="2478"/>
      <c r="N6" s="2479"/>
      <c r="O6" s="2479"/>
      <c r="P6" s="2479"/>
      <c r="Q6" s="2479"/>
      <c r="R6" s="2479"/>
      <c r="S6" s="2479"/>
      <c r="T6" s="2479"/>
      <c r="U6" s="2479"/>
      <c r="V6" s="2479"/>
      <c r="W6" s="2479"/>
      <c r="X6" s="2479"/>
      <c r="Y6" s="2481"/>
      <c r="Z6" s="2478"/>
      <c r="AA6" s="2479"/>
      <c r="AB6" s="2479"/>
      <c r="AC6" s="2479"/>
      <c r="AD6" s="2479"/>
      <c r="AE6" s="2479"/>
      <c r="AF6" s="2479"/>
      <c r="AG6" s="2479"/>
      <c r="AH6" s="2479"/>
      <c r="AI6" s="2479"/>
      <c r="AJ6" s="2479"/>
      <c r="AK6" s="2479"/>
      <c r="AL6" s="2479"/>
      <c r="AM6" s="2479"/>
      <c r="AN6" s="2479"/>
      <c r="AO6" s="2479"/>
      <c r="AP6" s="2479"/>
      <c r="AQ6" s="2479"/>
      <c r="AR6" s="2479"/>
      <c r="AS6" s="2479"/>
      <c r="AT6" s="2479"/>
      <c r="AU6" s="2479"/>
      <c r="AV6" s="2479"/>
      <c r="AW6" s="2481"/>
      <c r="AX6" s="615"/>
      <c r="AY6" s="655"/>
      <c r="AZ6" s="656"/>
      <c r="BA6" s="615"/>
      <c r="BB6" s="615"/>
      <c r="BC6" s="615"/>
      <c r="BD6" s="2479"/>
      <c r="BE6" s="2479"/>
      <c r="BF6" s="2479"/>
      <c r="BG6" s="2479"/>
      <c r="BH6" s="2481"/>
    </row>
    <row r="7" spans="1:60" ht="22.5" customHeight="1" x14ac:dyDescent="0.2">
      <c r="A7" s="2448" t="s">
        <v>10</v>
      </c>
      <c r="B7" s="2448" t="s">
        <v>11</v>
      </c>
      <c r="C7" s="2450" t="s">
        <v>10</v>
      </c>
      <c r="D7" s="2450" t="s">
        <v>12</v>
      </c>
      <c r="E7" s="2450"/>
      <c r="F7" s="2450" t="s">
        <v>10</v>
      </c>
      <c r="G7" s="2450" t="s">
        <v>13</v>
      </c>
      <c r="H7" s="2450" t="s">
        <v>10</v>
      </c>
      <c r="I7" s="2450" t="s">
        <v>14</v>
      </c>
      <c r="J7" s="2450" t="s">
        <v>15</v>
      </c>
      <c r="K7" s="2442" t="s">
        <v>16</v>
      </c>
      <c r="L7" s="2444"/>
      <c r="M7" s="2450" t="s">
        <v>17</v>
      </c>
      <c r="N7" s="2484" t="s">
        <v>18</v>
      </c>
      <c r="O7" s="2450" t="s">
        <v>8</v>
      </c>
      <c r="P7" s="2450" t="s">
        <v>19</v>
      </c>
      <c r="Q7" s="2450" t="s">
        <v>20</v>
      </c>
      <c r="R7" s="2450" t="s">
        <v>21</v>
      </c>
      <c r="S7" s="2450" t="s">
        <v>22</v>
      </c>
      <c r="T7" s="2450" t="s">
        <v>23</v>
      </c>
      <c r="U7" s="2442" t="s">
        <v>20</v>
      </c>
      <c r="V7" s="2443"/>
      <c r="W7" s="2444"/>
      <c r="X7" s="2448" t="s">
        <v>10</v>
      </c>
      <c r="Y7" s="2450" t="s">
        <v>24</v>
      </c>
      <c r="Z7" s="2453" t="s">
        <v>25</v>
      </c>
      <c r="AA7" s="2454"/>
      <c r="AB7" s="2454"/>
      <c r="AC7" s="2454"/>
      <c r="AD7" s="2454"/>
      <c r="AE7" s="2454"/>
      <c r="AF7" s="2454"/>
      <c r="AG7" s="2454"/>
      <c r="AH7" s="2454"/>
      <c r="AI7" s="2454"/>
      <c r="AJ7" s="2454"/>
      <c r="AK7" s="2455"/>
      <c r="AL7" s="2453" t="s">
        <v>26</v>
      </c>
      <c r="AM7" s="2454"/>
      <c r="AN7" s="2454"/>
      <c r="AO7" s="2454"/>
      <c r="AP7" s="2454"/>
      <c r="AQ7" s="2454"/>
      <c r="AR7" s="2454"/>
      <c r="AS7" s="2454"/>
      <c r="AT7" s="2454"/>
      <c r="AU7" s="2454"/>
      <c r="AV7" s="2454"/>
      <c r="AW7" s="2455"/>
      <c r="AX7" s="2458" t="s">
        <v>27</v>
      </c>
      <c r="AY7" s="2459"/>
      <c r="AZ7" s="2459"/>
      <c r="BA7" s="2459"/>
      <c r="BB7" s="2459"/>
      <c r="BC7" s="2460"/>
      <c r="BD7" s="2486" t="s">
        <v>28</v>
      </c>
      <c r="BE7" s="2487"/>
      <c r="BF7" s="2486" t="s">
        <v>29</v>
      </c>
      <c r="BG7" s="2487"/>
      <c r="BH7" s="2490" t="s">
        <v>30</v>
      </c>
    </row>
    <row r="8" spans="1:60" ht="31.5" customHeight="1" x14ac:dyDescent="0.2">
      <c r="A8" s="2449"/>
      <c r="B8" s="2449"/>
      <c r="C8" s="2450"/>
      <c r="D8" s="2450"/>
      <c r="E8" s="2450"/>
      <c r="F8" s="2450"/>
      <c r="G8" s="2450"/>
      <c r="H8" s="2450"/>
      <c r="I8" s="2450"/>
      <c r="J8" s="2450"/>
      <c r="K8" s="2482"/>
      <c r="L8" s="2483"/>
      <c r="M8" s="2450"/>
      <c r="N8" s="2485"/>
      <c r="O8" s="2450"/>
      <c r="P8" s="2450"/>
      <c r="Q8" s="2450"/>
      <c r="R8" s="2450"/>
      <c r="S8" s="2450"/>
      <c r="T8" s="2450"/>
      <c r="U8" s="2445"/>
      <c r="V8" s="2446"/>
      <c r="W8" s="2447"/>
      <c r="X8" s="2449"/>
      <c r="Y8" s="2450"/>
      <c r="Z8" s="2451" t="s">
        <v>31</v>
      </c>
      <c r="AA8" s="2452"/>
      <c r="AB8" s="2451" t="s">
        <v>32</v>
      </c>
      <c r="AC8" s="2452"/>
      <c r="AD8" s="2451" t="s">
        <v>33</v>
      </c>
      <c r="AE8" s="2452"/>
      <c r="AF8" s="2451" t="s">
        <v>34</v>
      </c>
      <c r="AG8" s="2452"/>
      <c r="AH8" s="2451" t="s">
        <v>35</v>
      </c>
      <c r="AI8" s="2452"/>
      <c r="AJ8" s="2451" t="s">
        <v>36</v>
      </c>
      <c r="AK8" s="2452"/>
      <c r="AL8" s="2451" t="s">
        <v>37</v>
      </c>
      <c r="AM8" s="2452"/>
      <c r="AN8" s="2451" t="s">
        <v>38</v>
      </c>
      <c r="AO8" s="2452"/>
      <c r="AP8" s="2451" t="s">
        <v>39</v>
      </c>
      <c r="AQ8" s="2452"/>
      <c r="AR8" s="2451" t="s">
        <v>40</v>
      </c>
      <c r="AS8" s="2452"/>
      <c r="AT8" s="2451" t="s">
        <v>41</v>
      </c>
      <c r="AU8" s="2452"/>
      <c r="AV8" s="2451" t="s">
        <v>42</v>
      </c>
      <c r="AW8" s="2452"/>
      <c r="AX8" s="2463" t="s">
        <v>43</v>
      </c>
      <c r="AY8" s="2464" t="s">
        <v>44</v>
      </c>
      <c r="AZ8" s="2466" t="s">
        <v>45</v>
      </c>
      <c r="BA8" s="2468" t="s">
        <v>46</v>
      </c>
      <c r="BB8" s="2463" t="s">
        <v>47</v>
      </c>
      <c r="BC8" s="2461" t="s">
        <v>48</v>
      </c>
      <c r="BD8" s="2488"/>
      <c r="BE8" s="2489"/>
      <c r="BF8" s="2488"/>
      <c r="BG8" s="2489"/>
      <c r="BH8" s="2490"/>
    </row>
    <row r="9" spans="1:60" ht="15" x14ac:dyDescent="0.25">
      <c r="A9" s="2449"/>
      <c r="B9" s="2449"/>
      <c r="C9" s="2448"/>
      <c r="D9" s="2448"/>
      <c r="E9" s="2448"/>
      <c r="F9" s="2448"/>
      <c r="G9" s="2448"/>
      <c r="H9" s="2448"/>
      <c r="I9" s="2448"/>
      <c r="J9" s="2448"/>
      <c r="K9" s="657" t="s">
        <v>49</v>
      </c>
      <c r="L9" s="43" t="s">
        <v>50</v>
      </c>
      <c r="M9" s="2448"/>
      <c r="N9" s="2485"/>
      <c r="O9" s="2448"/>
      <c r="P9" s="2448"/>
      <c r="Q9" s="2448"/>
      <c r="R9" s="2448"/>
      <c r="S9" s="2448"/>
      <c r="T9" s="2448"/>
      <c r="U9" s="43" t="s">
        <v>51</v>
      </c>
      <c r="V9" s="658" t="s">
        <v>52</v>
      </c>
      <c r="W9" s="659" t="s">
        <v>53</v>
      </c>
      <c r="X9" s="2449"/>
      <c r="Y9" s="2448"/>
      <c r="Z9" s="454" t="s">
        <v>49</v>
      </c>
      <c r="AA9" s="660" t="s">
        <v>50</v>
      </c>
      <c r="AB9" s="454" t="s">
        <v>49</v>
      </c>
      <c r="AC9" s="660" t="s">
        <v>50</v>
      </c>
      <c r="AD9" s="43" t="s">
        <v>49</v>
      </c>
      <c r="AE9" s="660" t="s">
        <v>50</v>
      </c>
      <c r="AF9" s="43" t="s">
        <v>49</v>
      </c>
      <c r="AG9" s="660" t="s">
        <v>50</v>
      </c>
      <c r="AH9" s="43" t="s">
        <v>49</v>
      </c>
      <c r="AI9" s="660" t="s">
        <v>50</v>
      </c>
      <c r="AJ9" s="43" t="s">
        <v>49</v>
      </c>
      <c r="AK9" s="660" t="s">
        <v>50</v>
      </c>
      <c r="AL9" s="43" t="s">
        <v>49</v>
      </c>
      <c r="AM9" s="660" t="s">
        <v>50</v>
      </c>
      <c r="AN9" s="43" t="s">
        <v>49</v>
      </c>
      <c r="AO9" s="660" t="s">
        <v>50</v>
      </c>
      <c r="AP9" s="43" t="s">
        <v>49</v>
      </c>
      <c r="AQ9" s="660" t="s">
        <v>50</v>
      </c>
      <c r="AR9" s="43" t="s">
        <v>49</v>
      </c>
      <c r="AS9" s="660" t="s">
        <v>50</v>
      </c>
      <c r="AT9" s="43" t="s">
        <v>49</v>
      </c>
      <c r="AU9" s="660" t="s">
        <v>50</v>
      </c>
      <c r="AV9" s="43" t="s">
        <v>49</v>
      </c>
      <c r="AW9" s="660" t="s">
        <v>50</v>
      </c>
      <c r="AX9" s="2461"/>
      <c r="AY9" s="2465"/>
      <c r="AZ9" s="2467"/>
      <c r="BA9" s="2469"/>
      <c r="BB9" s="2461"/>
      <c r="BC9" s="2462"/>
      <c r="BD9" s="661" t="s">
        <v>49</v>
      </c>
      <c r="BE9" s="661" t="s">
        <v>50</v>
      </c>
      <c r="BF9" s="661" t="s">
        <v>49</v>
      </c>
      <c r="BG9" s="661" t="s">
        <v>50</v>
      </c>
      <c r="BH9" s="2491"/>
    </row>
    <row r="10" spans="1:60" s="671" customFormat="1" ht="21" customHeight="1" x14ac:dyDescent="0.25">
      <c r="A10" s="662">
        <v>5</v>
      </c>
      <c r="B10" s="663" t="s">
        <v>143</v>
      </c>
      <c r="C10" s="663"/>
      <c r="D10" s="664"/>
      <c r="E10" s="663"/>
      <c r="F10" s="663"/>
      <c r="G10" s="663"/>
      <c r="H10" s="663"/>
      <c r="I10" s="663"/>
      <c r="J10" s="663"/>
      <c r="K10" s="663"/>
      <c r="L10" s="663"/>
      <c r="M10" s="663"/>
      <c r="N10" s="663"/>
      <c r="O10" s="663"/>
      <c r="P10" s="665"/>
      <c r="Q10" s="663"/>
      <c r="R10" s="663"/>
      <c r="S10" s="663"/>
      <c r="T10" s="663"/>
      <c r="U10" s="663"/>
      <c r="V10" s="666"/>
      <c r="W10" s="667"/>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3"/>
      <c r="AY10" s="668"/>
      <c r="AZ10" s="669"/>
      <c r="BA10" s="663"/>
      <c r="BB10" s="663"/>
      <c r="BC10" s="663"/>
      <c r="BD10" s="663"/>
      <c r="BE10" s="663"/>
      <c r="BF10" s="663"/>
      <c r="BG10" s="663"/>
      <c r="BH10" s="670"/>
    </row>
    <row r="11" spans="1:60" s="672" customFormat="1" ht="21" customHeight="1" x14ac:dyDescent="0.25">
      <c r="C11" s="52">
        <v>28</v>
      </c>
      <c r="D11" s="496" t="s">
        <v>144</v>
      </c>
      <c r="E11" s="496"/>
      <c r="F11" s="497"/>
      <c r="G11" s="497"/>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673"/>
      <c r="AM11" s="673"/>
      <c r="AN11" s="673"/>
      <c r="AO11" s="673"/>
      <c r="AP11" s="673"/>
      <c r="AQ11" s="673"/>
      <c r="AR11" s="673"/>
      <c r="AS11" s="673"/>
      <c r="AT11" s="673"/>
      <c r="AU11" s="673"/>
      <c r="AV11" s="673"/>
      <c r="AW11" s="673"/>
      <c r="AX11" s="673"/>
      <c r="AY11" s="674"/>
      <c r="AZ11" s="675"/>
      <c r="BA11" s="673"/>
      <c r="BB11" s="673"/>
      <c r="BC11" s="673"/>
      <c r="BD11" s="676"/>
      <c r="BE11" s="676"/>
      <c r="BF11" s="676"/>
      <c r="BG11" s="673"/>
      <c r="BH11" s="677"/>
    </row>
    <row r="12" spans="1:60" s="102" customFormat="1" ht="21" customHeight="1" x14ac:dyDescent="0.25">
      <c r="A12" s="678"/>
      <c r="B12" s="679"/>
      <c r="C12" s="680"/>
      <c r="D12" s="679"/>
      <c r="E12" s="679"/>
      <c r="F12" s="58">
        <v>89</v>
      </c>
      <c r="G12" s="501" t="s">
        <v>145</v>
      </c>
      <c r="H12" s="501"/>
      <c r="I12" s="501"/>
      <c r="J12" s="501"/>
      <c r="K12" s="501"/>
      <c r="L12" s="501"/>
      <c r="M12" s="501"/>
      <c r="N12" s="501"/>
      <c r="O12" s="501"/>
      <c r="P12" s="501"/>
      <c r="Q12" s="501"/>
      <c r="R12" s="501"/>
      <c r="S12" s="501"/>
      <c r="T12" s="501"/>
      <c r="U12" s="501"/>
      <c r="V12" s="501"/>
      <c r="W12" s="501"/>
      <c r="X12" s="501"/>
      <c r="Y12" s="501"/>
      <c r="Z12" s="501"/>
      <c r="AA12" s="501"/>
      <c r="AB12" s="501"/>
      <c r="AC12" s="501"/>
      <c r="AD12" s="501"/>
      <c r="AE12" s="501"/>
      <c r="AF12" s="501"/>
      <c r="AG12" s="501"/>
      <c r="AH12" s="501"/>
      <c r="AI12" s="501"/>
      <c r="AJ12" s="501"/>
      <c r="AK12" s="501"/>
      <c r="AL12" s="681"/>
      <c r="AM12" s="681"/>
      <c r="AN12" s="681"/>
      <c r="AO12" s="681"/>
      <c r="AP12" s="681"/>
      <c r="AQ12" s="681"/>
      <c r="AR12" s="681"/>
      <c r="AS12" s="681"/>
      <c r="AT12" s="681"/>
      <c r="AU12" s="681"/>
      <c r="AV12" s="681"/>
      <c r="AW12" s="681"/>
      <c r="AX12" s="681"/>
      <c r="AY12" s="682"/>
      <c r="AZ12" s="683"/>
      <c r="BA12" s="681"/>
      <c r="BB12" s="681"/>
      <c r="BC12" s="681"/>
      <c r="BD12" s="684"/>
      <c r="BE12" s="684"/>
      <c r="BF12" s="684"/>
      <c r="BG12" s="681"/>
      <c r="BH12" s="685"/>
    </row>
    <row r="13" spans="1:60" ht="128.25" x14ac:dyDescent="0.2">
      <c r="A13" s="686"/>
      <c r="B13" s="687"/>
      <c r="C13" s="686"/>
      <c r="D13" s="688"/>
      <c r="E13" s="689"/>
      <c r="F13" s="41"/>
      <c r="G13" s="689"/>
      <c r="H13" s="690">
        <v>282</v>
      </c>
      <c r="I13" s="596" t="s">
        <v>146</v>
      </c>
      <c r="J13" s="691" t="s">
        <v>18</v>
      </c>
      <c r="K13" s="692">
        <v>2</v>
      </c>
      <c r="L13" s="586">
        <v>0</v>
      </c>
      <c r="M13" s="575" t="s">
        <v>147</v>
      </c>
      <c r="N13" s="693">
        <v>1</v>
      </c>
      <c r="O13" s="596" t="s">
        <v>148</v>
      </c>
      <c r="P13" s="692">
        <v>100</v>
      </c>
      <c r="Q13" s="694">
        <v>39989034</v>
      </c>
      <c r="R13" s="695" t="s">
        <v>149</v>
      </c>
      <c r="S13" s="596" t="s">
        <v>150</v>
      </c>
      <c r="T13" s="596" t="s">
        <v>151</v>
      </c>
      <c r="U13" s="696">
        <v>39989034</v>
      </c>
      <c r="V13" s="697">
        <v>0</v>
      </c>
      <c r="W13" s="697">
        <v>0</v>
      </c>
      <c r="X13" s="586">
        <v>20</v>
      </c>
      <c r="Y13" s="691" t="s">
        <v>152</v>
      </c>
      <c r="Z13" s="698">
        <v>64161</v>
      </c>
      <c r="AA13" s="586">
        <v>0</v>
      </c>
      <c r="AB13" s="698">
        <v>71953</v>
      </c>
      <c r="AC13" s="586">
        <v>0</v>
      </c>
      <c r="AD13" s="698">
        <v>27081</v>
      </c>
      <c r="AE13" s="586">
        <v>0</v>
      </c>
      <c r="AF13" s="698">
        <v>86191</v>
      </c>
      <c r="AG13" s="586">
        <v>0</v>
      </c>
      <c r="AH13" s="698">
        <v>238241</v>
      </c>
      <c r="AI13" s="586">
        <v>0</v>
      </c>
      <c r="AJ13" s="698">
        <v>84106</v>
      </c>
      <c r="AK13" s="586">
        <v>0</v>
      </c>
      <c r="AL13" s="698">
        <v>12718</v>
      </c>
      <c r="AM13" s="586">
        <v>0</v>
      </c>
      <c r="AN13" s="698">
        <v>2145</v>
      </c>
      <c r="AO13" s="586">
        <v>0</v>
      </c>
      <c r="AP13" s="586"/>
      <c r="AQ13" s="586"/>
      <c r="AR13" s="698">
        <v>309</v>
      </c>
      <c r="AS13" s="586">
        <v>0</v>
      </c>
      <c r="AT13" s="698">
        <v>16879</v>
      </c>
      <c r="AU13" s="586">
        <v>0</v>
      </c>
      <c r="AV13" s="698">
        <v>84106</v>
      </c>
      <c r="AW13" s="586">
        <v>0</v>
      </c>
      <c r="AX13" s="586">
        <v>0</v>
      </c>
      <c r="AY13" s="699">
        <v>0</v>
      </c>
      <c r="AZ13" s="700">
        <v>0</v>
      </c>
      <c r="BA13" s="583"/>
      <c r="BB13" s="586" t="s">
        <v>153</v>
      </c>
      <c r="BC13" s="586" t="s">
        <v>154</v>
      </c>
      <c r="BD13" s="701">
        <v>42736</v>
      </c>
      <c r="BE13" s="586" t="s">
        <v>154</v>
      </c>
      <c r="BF13" s="640">
        <v>43100</v>
      </c>
      <c r="BG13" s="586" t="s">
        <v>154</v>
      </c>
      <c r="BH13" s="639" t="s">
        <v>155</v>
      </c>
    </row>
    <row r="14" spans="1:60" ht="63.75" customHeight="1" x14ac:dyDescent="0.2">
      <c r="A14" s="41"/>
      <c r="B14" s="688"/>
      <c r="C14" s="41"/>
      <c r="D14" s="688"/>
      <c r="E14" s="689"/>
      <c r="F14" s="41"/>
      <c r="G14" s="689"/>
      <c r="H14" s="2456">
        <v>283</v>
      </c>
      <c r="I14" s="2431" t="s">
        <v>156</v>
      </c>
      <c r="J14" s="2419" t="s">
        <v>18</v>
      </c>
      <c r="K14" s="2457">
        <v>1</v>
      </c>
      <c r="L14" s="2415">
        <v>0.25</v>
      </c>
      <c r="M14" s="2419" t="s">
        <v>157</v>
      </c>
      <c r="N14" s="2457">
        <v>2</v>
      </c>
      <c r="O14" s="2431" t="s">
        <v>158</v>
      </c>
      <c r="P14" s="2419">
        <v>100</v>
      </c>
      <c r="Q14" s="2440">
        <v>48317341</v>
      </c>
      <c r="R14" s="2431" t="s">
        <v>159</v>
      </c>
      <c r="S14" s="703" t="s">
        <v>160</v>
      </c>
      <c r="T14" s="703" t="s">
        <v>161</v>
      </c>
      <c r="U14" s="704">
        <v>25000000</v>
      </c>
      <c r="V14" s="705">
        <v>0</v>
      </c>
      <c r="W14" s="705">
        <v>0</v>
      </c>
      <c r="X14" s="577">
        <v>20</v>
      </c>
      <c r="Y14" s="706" t="s">
        <v>152</v>
      </c>
      <c r="Z14" s="2433"/>
      <c r="AA14" s="2415"/>
      <c r="AB14" s="2433"/>
      <c r="AC14" s="2415"/>
      <c r="AD14" s="2433"/>
      <c r="AE14" s="2415"/>
      <c r="AF14" s="707">
        <v>450</v>
      </c>
      <c r="AG14" s="707">
        <v>450</v>
      </c>
      <c r="AH14" s="707">
        <v>500</v>
      </c>
      <c r="AI14" s="707">
        <v>500</v>
      </c>
      <c r="AJ14" s="2433">
        <v>50</v>
      </c>
      <c r="AK14" s="2433">
        <v>50</v>
      </c>
      <c r="AL14" s="2433">
        <v>30</v>
      </c>
      <c r="AM14" s="2433">
        <v>30</v>
      </c>
      <c r="AN14" s="2433"/>
      <c r="AO14" s="2415"/>
      <c r="AP14" s="2415"/>
      <c r="AQ14" s="2415"/>
      <c r="AR14" s="2433"/>
      <c r="AS14" s="2415"/>
      <c r="AT14" s="2433">
        <v>20</v>
      </c>
      <c r="AU14" s="2433">
        <v>20</v>
      </c>
      <c r="AV14" s="2433"/>
      <c r="AW14" s="2415"/>
      <c r="AX14" s="577">
        <v>0</v>
      </c>
      <c r="AY14" s="708">
        <v>0</v>
      </c>
      <c r="AZ14" s="709">
        <v>0</v>
      </c>
      <c r="BA14" s="710"/>
      <c r="BB14" s="577" t="s">
        <v>153</v>
      </c>
      <c r="BC14" s="577" t="s">
        <v>154</v>
      </c>
      <c r="BD14" s="711">
        <v>42736</v>
      </c>
      <c r="BE14" s="577" t="s">
        <v>154</v>
      </c>
      <c r="BF14" s="712">
        <v>43100</v>
      </c>
      <c r="BG14" s="577" t="s">
        <v>154</v>
      </c>
      <c r="BH14" s="2436" t="s">
        <v>155</v>
      </c>
    </row>
    <row r="15" spans="1:60" ht="57" x14ac:dyDescent="0.2">
      <c r="A15" s="41"/>
      <c r="B15" s="688"/>
      <c r="C15" s="41"/>
      <c r="D15" s="688"/>
      <c r="E15" s="689"/>
      <c r="F15" s="41"/>
      <c r="G15" s="689"/>
      <c r="H15" s="2456"/>
      <c r="I15" s="2431"/>
      <c r="J15" s="2419"/>
      <c r="K15" s="2457"/>
      <c r="L15" s="2416"/>
      <c r="M15" s="2419"/>
      <c r="N15" s="2457"/>
      <c r="O15" s="2431"/>
      <c r="P15" s="2419"/>
      <c r="Q15" s="2440"/>
      <c r="R15" s="2431"/>
      <c r="S15" s="703" t="s">
        <v>162</v>
      </c>
      <c r="T15" s="703" t="s">
        <v>163</v>
      </c>
      <c r="U15" s="713">
        <v>10000000</v>
      </c>
      <c r="V15" s="705">
        <v>0</v>
      </c>
      <c r="W15" s="705">
        <v>0</v>
      </c>
      <c r="X15" s="577">
        <v>20</v>
      </c>
      <c r="Y15" s="706" t="s">
        <v>152</v>
      </c>
      <c r="Z15" s="2433"/>
      <c r="AA15" s="2416"/>
      <c r="AB15" s="2433"/>
      <c r="AC15" s="2416"/>
      <c r="AD15" s="2433"/>
      <c r="AE15" s="2416"/>
      <c r="AF15" s="707">
        <v>100</v>
      </c>
      <c r="AG15" s="707">
        <v>100</v>
      </c>
      <c r="AH15" s="707">
        <v>146</v>
      </c>
      <c r="AI15" s="707">
        <v>146</v>
      </c>
      <c r="AJ15" s="2433">
        <v>20</v>
      </c>
      <c r="AK15" s="2433">
        <v>20</v>
      </c>
      <c r="AL15" s="2433"/>
      <c r="AM15" s="2433"/>
      <c r="AN15" s="2433"/>
      <c r="AO15" s="2416"/>
      <c r="AP15" s="2416"/>
      <c r="AQ15" s="2416"/>
      <c r="AR15" s="2433"/>
      <c r="AS15" s="2416"/>
      <c r="AT15" s="2433"/>
      <c r="AU15" s="2433"/>
      <c r="AV15" s="2433"/>
      <c r="AW15" s="2416"/>
      <c r="AX15" s="577">
        <v>0</v>
      </c>
      <c r="AY15" s="708">
        <v>0</v>
      </c>
      <c r="AZ15" s="709">
        <v>0</v>
      </c>
      <c r="BA15" s="710"/>
      <c r="BB15" s="577" t="s">
        <v>153</v>
      </c>
      <c r="BC15" s="577" t="s">
        <v>154</v>
      </c>
      <c r="BD15" s="711">
        <v>42736</v>
      </c>
      <c r="BE15" s="577" t="s">
        <v>154</v>
      </c>
      <c r="BF15" s="712">
        <v>43100</v>
      </c>
      <c r="BG15" s="577" t="s">
        <v>154</v>
      </c>
      <c r="BH15" s="2437"/>
    </row>
    <row r="16" spans="1:60" ht="42.75" x14ac:dyDescent="0.2">
      <c r="A16" s="41"/>
      <c r="B16" s="688"/>
      <c r="C16" s="41"/>
      <c r="D16" s="688"/>
      <c r="E16" s="689"/>
      <c r="F16" s="41"/>
      <c r="G16" s="689"/>
      <c r="H16" s="2456"/>
      <c r="I16" s="2431"/>
      <c r="J16" s="2419"/>
      <c r="K16" s="2457"/>
      <c r="L16" s="2417"/>
      <c r="M16" s="2419"/>
      <c r="N16" s="2457"/>
      <c r="O16" s="2431"/>
      <c r="P16" s="2419"/>
      <c r="Q16" s="2440"/>
      <c r="R16" s="2431"/>
      <c r="S16" s="703" t="s">
        <v>164</v>
      </c>
      <c r="T16" s="703" t="s">
        <v>165</v>
      </c>
      <c r="U16" s="704">
        <v>13317341</v>
      </c>
      <c r="V16" s="705">
        <v>0</v>
      </c>
      <c r="W16" s="705">
        <v>0</v>
      </c>
      <c r="X16" s="577">
        <v>20</v>
      </c>
      <c r="Y16" s="706" t="s">
        <v>152</v>
      </c>
      <c r="Z16" s="2433"/>
      <c r="AA16" s="2417"/>
      <c r="AB16" s="2433"/>
      <c r="AC16" s="2417"/>
      <c r="AD16" s="2433"/>
      <c r="AE16" s="2417"/>
      <c r="AF16" s="707">
        <v>70</v>
      </c>
      <c r="AG16" s="707">
        <v>70</v>
      </c>
      <c r="AH16" s="707">
        <v>90</v>
      </c>
      <c r="AI16" s="707">
        <v>90</v>
      </c>
      <c r="AJ16" s="2433">
        <v>10</v>
      </c>
      <c r="AK16" s="2433">
        <v>10</v>
      </c>
      <c r="AL16" s="2433"/>
      <c r="AM16" s="2433"/>
      <c r="AN16" s="2433"/>
      <c r="AO16" s="2417"/>
      <c r="AP16" s="2417"/>
      <c r="AQ16" s="2417"/>
      <c r="AR16" s="2433"/>
      <c r="AS16" s="2417"/>
      <c r="AT16" s="2433"/>
      <c r="AU16" s="2433"/>
      <c r="AV16" s="2433"/>
      <c r="AW16" s="2417"/>
      <c r="AX16" s="577">
        <v>0</v>
      </c>
      <c r="AY16" s="708">
        <v>0</v>
      </c>
      <c r="AZ16" s="709">
        <v>0</v>
      </c>
      <c r="BA16" s="710"/>
      <c r="BB16" s="577" t="s">
        <v>153</v>
      </c>
      <c r="BC16" s="577" t="s">
        <v>154</v>
      </c>
      <c r="BD16" s="711">
        <v>42736</v>
      </c>
      <c r="BE16" s="577" t="s">
        <v>154</v>
      </c>
      <c r="BF16" s="712">
        <v>43100</v>
      </c>
      <c r="BG16" s="577" t="s">
        <v>154</v>
      </c>
      <c r="BH16" s="2438"/>
    </row>
    <row r="17" spans="1:60" ht="111" customHeight="1" x14ac:dyDescent="0.2">
      <c r="A17" s="41"/>
      <c r="B17" s="688"/>
      <c r="C17" s="41"/>
      <c r="D17" s="688"/>
      <c r="E17" s="689"/>
      <c r="F17" s="41"/>
      <c r="G17" s="689"/>
      <c r="H17" s="2439">
        <v>284</v>
      </c>
      <c r="I17" s="2431" t="s">
        <v>166</v>
      </c>
      <c r="J17" s="2435" t="s">
        <v>18</v>
      </c>
      <c r="K17" s="2430">
        <v>1</v>
      </c>
      <c r="L17" s="2415">
        <v>0</v>
      </c>
      <c r="M17" s="2441" t="s">
        <v>167</v>
      </c>
      <c r="N17" s="2430">
        <v>3</v>
      </c>
      <c r="O17" s="2431" t="s">
        <v>168</v>
      </c>
      <c r="P17" s="2430">
        <v>100</v>
      </c>
      <c r="Q17" s="2432">
        <v>68295338</v>
      </c>
      <c r="R17" s="2431" t="s">
        <v>169</v>
      </c>
      <c r="S17" s="714" t="s">
        <v>149</v>
      </c>
      <c r="T17" s="2420" t="s">
        <v>170</v>
      </c>
      <c r="U17" s="2434">
        <v>68295338</v>
      </c>
      <c r="V17" s="705">
        <v>0</v>
      </c>
      <c r="W17" s="705">
        <v>0</v>
      </c>
      <c r="X17" s="577">
        <v>20</v>
      </c>
      <c r="Y17" s="2435" t="s">
        <v>152</v>
      </c>
      <c r="Z17" s="2418">
        <v>64161</v>
      </c>
      <c r="AA17" s="2418">
        <v>0</v>
      </c>
      <c r="AB17" s="2418">
        <v>71953</v>
      </c>
      <c r="AC17" s="2418">
        <v>0</v>
      </c>
      <c r="AD17" s="2418">
        <v>27081</v>
      </c>
      <c r="AE17" s="2418">
        <v>0</v>
      </c>
      <c r="AF17" s="2418">
        <v>86191</v>
      </c>
      <c r="AG17" s="2418">
        <v>0</v>
      </c>
      <c r="AH17" s="2418">
        <v>238241</v>
      </c>
      <c r="AI17" s="2418">
        <v>0</v>
      </c>
      <c r="AJ17" s="2418">
        <v>84106</v>
      </c>
      <c r="AK17" s="2418">
        <v>0</v>
      </c>
      <c r="AL17" s="2418">
        <v>12718</v>
      </c>
      <c r="AM17" s="2418">
        <v>0</v>
      </c>
      <c r="AN17" s="2418" t="s">
        <v>171</v>
      </c>
      <c r="AO17" s="2418"/>
      <c r="AP17" s="2418"/>
      <c r="AQ17" s="2418"/>
      <c r="AR17" s="2418">
        <v>309</v>
      </c>
      <c r="AS17" s="2418">
        <v>0</v>
      </c>
      <c r="AT17" s="2418">
        <v>16879</v>
      </c>
      <c r="AU17" s="2418">
        <v>0</v>
      </c>
      <c r="AV17" s="2418">
        <v>84106</v>
      </c>
      <c r="AW17" s="2418">
        <v>0</v>
      </c>
      <c r="AX17" s="577">
        <v>0</v>
      </c>
      <c r="AY17" s="708">
        <v>0</v>
      </c>
      <c r="AZ17" s="709">
        <v>0</v>
      </c>
      <c r="BA17" s="710"/>
      <c r="BB17" s="577" t="s">
        <v>153</v>
      </c>
      <c r="BC17" s="577" t="s">
        <v>154</v>
      </c>
      <c r="BD17" s="711">
        <v>42736</v>
      </c>
      <c r="BE17" s="577" t="s">
        <v>154</v>
      </c>
      <c r="BF17" s="712">
        <v>43100</v>
      </c>
      <c r="BG17" s="577" t="s">
        <v>154</v>
      </c>
      <c r="BH17" s="190" t="s">
        <v>155</v>
      </c>
    </row>
    <row r="18" spans="1:60" ht="129.75" customHeight="1" x14ac:dyDescent="0.2">
      <c r="A18" s="41"/>
      <c r="B18" s="688"/>
      <c r="C18" s="41"/>
      <c r="D18" s="688"/>
      <c r="E18" s="689"/>
      <c r="F18" s="41"/>
      <c r="G18" s="689"/>
      <c r="H18" s="2439"/>
      <c r="I18" s="2431"/>
      <c r="J18" s="2435"/>
      <c r="K18" s="2430"/>
      <c r="L18" s="2417"/>
      <c r="M18" s="2441"/>
      <c r="N18" s="2430"/>
      <c r="O18" s="2431"/>
      <c r="P18" s="2430"/>
      <c r="Q18" s="2432"/>
      <c r="R18" s="2431"/>
      <c r="S18" s="62" t="s">
        <v>172</v>
      </c>
      <c r="T18" s="2420"/>
      <c r="U18" s="2434"/>
      <c r="V18" s="705">
        <v>0</v>
      </c>
      <c r="W18" s="705">
        <v>0</v>
      </c>
      <c r="X18" s="577">
        <v>20</v>
      </c>
      <c r="Y18" s="2435"/>
      <c r="Z18" s="2418"/>
      <c r="AA18" s="2418"/>
      <c r="AB18" s="2418"/>
      <c r="AC18" s="2418"/>
      <c r="AD18" s="2418"/>
      <c r="AE18" s="2418"/>
      <c r="AF18" s="2418"/>
      <c r="AG18" s="2418"/>
      <c r="AH18" s="2418"/>
      <c r="AI18" s="2418"/>
      <c r="AJ18" s="2418"/>
      <c r="AK18" s="2418"/>
      <c r="AL18" s="2418"/>
      <c r="AM18" s="2418"/>
      <c r="AN18" s="2418"/>
      <c r="AO18" s="2418"/>
      <c r="AP18" s="2418"/>
      <c r="AQ18" s="2418"/>
      <c r="AR18" s="2418"/>
      <c r="AS18" s="2418"/>
      <c r="AT18" s="2418"/>
      <c r="AU18" s="2418"/>
      <c r="AV18" s="2418"/>
      <c r="AW18" s="2418"/>
      <c r="AX18" s="577">
        <v>0</v>
      </c>
      <c r="AY18" s="708">
        <v>0</v>
      </c>
      <c r="AZ18" s="709">
        <v>0</v>
      </c>
      <c r="BA18" s="710"/>
      <c r="BB18" s="577" t="s">
        <v>153</v>
      </c>
      <c r="BC18" s="577" t="s">
        <v>154</v>
      </c>
      <c r="BD18" s="711">
        <v>42736</v>
      </c>
      <c r="BE18" s="577" t="s">
        <v>154</v>
      </c>
      <c r="BF18" s="712">
        <v>43100</v>
      </c>
      <c r="BG18" s="577" t="s">
        <v>154</v>
      </c>
      <c r="BH18" s="190" t="s">
        <v>155</v>
      </c>
    </row>
    <row r="19" spans="1:60" ht="128.25" x14ac:dyDescent="0.2">
      <c r="A19" s="41"/>
      <c r="B19" s="688"/>
      <c r="C19" s="41"/>
      <c r="D19" s="688"/>
      <c r="E19" s="689"/>
      <c r="F19" s="41"/>
      <c r="G19" s="689"/>
      <c r="H19" s="715">
        <v>285</v>
      </c>
      <c r="I19" s="702" t="s">
        <v>173</v>
      </c>
      <c r="J19" s="706" t="s">
        <v>18</v>
      </c>
      <c r="K19" s="716">
        <v>1</v>
      </c>
      <c r="L19" s="577">
        <v>0.64</v>
      </c>
      <c r="M19" s="717" t="s">
        <v>174</v>
      </c>
      <c r="N19" s="718">
        <v>4</v>
      </c>
      <c r="O19" s="574" t="s">
        <v>175</v>
      </c>
      <c r="P19" s="716">
        <v>100</v>
      </c>
      <c r="Q19" s="719">
        <v>60403055</v>
      </c>
      <c r="R19" s="574" t="s">
        <v>176</v>
      </c>
      <c r="S19" s="574" t="s">
        <v>177</v>
      </c>
      <c r="T19" s="706" t="s">
        <v>178</v>
      </c>
      <c r="U19" s="720">
        <v>60403055</v>
      </c>
      <c r="V19" s="705">
        <v>38720000</v>
      </c>
      <c r="W19" s="705">
        <v>9280000</v>
      </c>
      <c r="X19" s="577">
        <v>20</v>
      </c>
      <c r="Y19" s="706" t="s">
        <v>152</v>
      </c>
      <c r="Z19" s="721">
        <v>64161</v>
      </c>
      <c r="AA19" s="721">
        <v>64161</v>
      </c>
      <c r="AB19" s="721">
        <v>71953</v>
      </c>
      <c r="AC19" s="721">
        <v>71953</v>
      </c>
      <c r="AD19" s="721">
        <v>27081</v>
      </c>
      <c r="AE19" s="721">
        <v>27081</v>
      </c>
      <c r="AF19" s="721">
        <v>86191</v>
      </c>
      <c r="AG19" s="721">
        <v>86191</v>
      </c>
      <c r="AH19" s="721">
        <v>238241</v>
      </c>
      <c r="AI19" s="721">
        <v>238241</v>
      </c>
      <c r="AJ19" s="721">
        <v>84106</v>
      </c>
      <c r="AK19" s="721">
        <v>84106</v>
      </c>
      <c r="AL19" s="721">
        <v>12718</v>
      </c>
      <c r="AM19" s="721">
        <v>12718</v>
      </c>
      <c r="AN19" s="721">
        <v>2145</v>
      </c>
      <c r="AO19" s="721">
        <v>2145</v>
      </c>
      <c r="AP19" s="577"/>
      <c r="AQ19" s="577"/>
      <c r="AR19" s="721">
        <v>309</v>
      </c>
      <c r="AS19" s="721">
        <v>309</v>
      </c>
      <c r="AT19" s="721">
        <v>16879</v>
      </c>
      <c r="AU19" s="721">
        <v>16879</v>
      </c>
      <c r="AV19" s="721">
        <v>84106</v>
      </c>
      <c r="AW19" s="721">
        <v>84106</v>
      </c>
      <c r="AX19" s="577">
        <v>3</v>
      </c>
      <c r="AY19" s="708">
        <v>38720000</v>
      </c>
      <c r="AZ19" s="709">
        <v>9280000</v>
      </c>
      <c r="BA19" s="710">
        <f>AZ19/AY19</f>
        <v>0.23966942148760331</v>
      </c>
      <c r="BB19" s="577" t="s">
        <v>153</v>
      </c>
      <c r="BC19" s="722" t="s">
        <v>179</v>
      </c>
      <c r="BD19" s="711">
        <v>42736</v>
      </c>
      <c r="BE19" s="712">
        <v>42762</v>
      </c>
      <c r="BF19" s="712">
        <v>43100</v>
      </c>
      <c r="BG19" s="567">
        <v>42946</v>
      </c>
      <c r="BH19" s="190" t="s">
        <v>155</v>
      </c>
    </row>
    <row r="20" spans="1:60" ht="128.25" x14ac:dyDescent="0.2">
      <c r="A20" s="41"/>
      <c r="B20" s="688"/>
      <c r="C20" s="41"/>
      <c r="D20" s="688"/>
      <c r="E20" s="689"/>
      <c r="F20" s="41"/>
      <c r="G20" s="689"/>
      <c r="H20" s="120">
        <v>280</v>
      </c>
      <c r="I20" s="62" t="s">
        <v>180</v>
      </c>
      <c r="J20" s="2419" t="s">
        <v>181</v>
      </c>
      <c r="K20" s="590">
        <v>1</v>
      </c>
      <c r="L20" s="577">
        <v>0</v>
      </c>
      <c r="M20" s="2420" t="s">
        <v>182</v>
      </c>
      <c r="N20" s="2421">
        <v>5</v>
      </c>
      <c r="O20" s="2423" t="s">
        <v>183</v>
      </c>
      <c r="P20" s="189">
        <f>+U20/Q20</f>
        <v>3.6126372746951331E-2</v>
      </c>
      <c r="Q20" s="2425">
        <f>SUM(U20:U25)</f>
        <v>1937642632.7192574</v>
      </c>
      <c r="R20" s="2424" t="s">
        <v>184</v>
      </c>
      <c r="S20" s="2424" t="s">
        <v>185</v>
      </c>
      <c r="T20" s="595" t="s">
        <v>186</v>
      </c>
      <c r="U20" s="704">
        <v>70000000</v>
      </c>
      <c r="V20" s="705">
        <v>0</v>
      </c>
      <c r="W20" s="705">
        <v>0</v>
      </c>
      <c r="X20" s="577">
        <v>20</v>
      </c>
      <c r="Y20" s="706" t="s">
        <v>152</v>
      </c>
      <c r="Z20" s="2412">
        <v>64161</v>
      </c>
      <c r="AA20" s="2412">
        <v>64161</v>
      </c>
      <c r="AB20" s="2412" t="s">
        <v>187</v>
      </c>
      <c r="AC20" s="2412">
        <v>64161</v>
      </c>
      <c r="AD20" s="2412">
        <v>27081</v>
      </c>
      <c r="AE20" s="2412">
        <v>64161</v>
      </c>
      <c r="AF20" s="2412">
        <v>86191</v>
      </c>
      <c r="AG20" s="2412">
        <v>64161</v>
      </c>
      <c r="AH20" s="2412">
        <v>238241</v>
      </c>
      <c r="AI20" s="2412">
        <v>64161</v>
      </c>
      <c r="AJ20" s="2412">
        <v>84106</v>
      </c>
      <c r="AK20" s="2412">
        <v>84106</v>
      </c>
      <c r="AL20" s="2412"/>
      <c r="AM20" s="2415"/>
      <c r="AN20" s="2412"/>
      <c r="AO20" s="2415"/>
      <c r="AP20" s="2415"/>
      <c r="AQ20" s="2415"/>
      <c r="AR20" s="2412"/>
      <c r="AS20" s="2415"/>
      <c r="AT20" s="2412"/>
      <c r="AU20" s="2415"/>
      <c r="AV20" s="2412"/>
      <c r="AW20" s="2415"/>
      <c r="AX20" s="577">
        <v>0</v>
      </c>
      <c r="AY20" s="708">
        <v>0</v>
      </c>
      <c r="AZ20" s="709">
        <v>0</v>
      </c>
      <c r="BA20" s="710"/>
      <c r="BB20" s="577" t="s">
        <v>153</v>
      </c>
      <c r="BC20" s="577" t="s">
        <v>154</v>
      </c>
      <c r="BD20" s="711">
        <v>42736</v>
      </c>
      <c r="BE20" s="577" t="s">
        <v>154</v>
      </c>
      <c r="BF20" s="712">
        <v>43100</v>
      </c>
      <c r="BG20" s="577" t="s">
        <v>154</v>
      </c>
      <c r="BH20" s="190" t="s">
        <v>155</v>
      </c>
    </row>
    <row r="21" spans="1:60" ht="99.75" x14ac:dyDescent="0.2">
      <c r="A21" s="41"/>
      <c r="B21" s="688"/>
      <c r="C21" s="41"/>
      <c r="D21" s="688"/>
      <c r="E21" s="689"/>
      <c r="F21" s="41"/>
      <c r="G21" s="689"/>
      <c r="H21" s="120">
        <v>281</v>
      </c>
      <c r="I21" s="62" t="s">
        <v>188</v>
      </c>
      <c r="J21" s="2419"/>
      <c r="K21" s="590">
        <v>1</v>
      </c>
      <c r="L21" s="577">
        <v>0.3</v>
      </c>
      <c r="M21" s="2420"/>
      <c r="N21" s="2421"/>
      <c r="O21" s="2423"/>
      <c r="P21" s="189">
        <f>+U21/Q20</f>
        <v>3.6126372746951331E-2</v>
      </c>
      <c r="Q21" s="2426"/>
      <c r="R21" s="2428"/>
      <c r="S21" s="2428"/>
      <c r="T21" s="595" t="s">
        <v>189</v>
      </c>
      <c r="U21" s="704">
        <v>70000000</v>
      </c>
      <c r="V21" s="705">
        <v>0</v>
      </c>
      <c r="W21" s="705">
        <v>0</v>
      </c>
      <c r="X21" s="577">
        <v>20</v>
      </c>
      <c r="Y21" s="706" t="s">
        <v>152</v>
      </c>
      <c r="Z21" s="2413"/>
      <c r="AA21" s="2413"/>
      <c r="AB21" s="2413"/>
      <c r="AC21" s="2413"/>
      <c r="AD21" s="2413"/>
      <c r="AE21" s="2413"/>
      <c r="AF21" s="2413"/>
      <c r="AG21" s="2413"/>
      <c r="AH21" s="2413"/>
      <c r="AI21" s="2413"/>
      <c r="AJ21" s="2413"/>
      <c r="AK21" s="2413"/>
      <c r="AL21" s="2413"/>
      <c r="AM21" s="2416"/>
      <c r="AN21" s="2413"/>
      <c r="AO21" s="2416"/>
      <c r="AP21" s="2416"/>
      <c r="AQ21" s="2416"/>
      <c r="AR21" s="2413"/>
      <c r="AS21" s="2416"/>
      <c r="AT21" s="2413"/>
      <c r="AU21" s="2416"/>
      <c r="AV21" s="2413"/>
      <c r="AW21" s="2416"/>
      <c r="AX21" s="577">
        <v>0</v>
      </c>
      <c r="AY21" s="708">
        <v>0</v>
      </c>
      <c r="AZ21" s="709">
        <v>0</v>
      </c>
      <c r="BA21" s="710"/>
      <c r="BB21" s="577" t="s">
        <v>153</v>
      </c>
      <c r="BC21" s="577" t="s">
        <v>154</v>
      </c>
      <c r="BD21" s="723">
        <v>42736</v>
      </c>
      <c r="BE21" s="577" t="s">
        <v>154</v>
      </c>
      <c r="BF21" s="724">
        <v>43100</v>
      </c>
      <c r="BG21" s="577" t="s">
        <v>154</v>
      </c>
      <c r="BH21" s="190" t="s">
        <v>155</v>
      </c>
    </row>
    <row r="22" spans="1:60" ht="71.25" x14ac:dyDescent="0.2">
      <c r="A22" s="41"/>
      <c r="B22" s="688"/>
      <c r="C22" s="41"/>
      <c r="D22" s="688"/>
      <c r="E22" s="689"/>
      <c r="F22" s="41"/>
      <c r="G22" s="689"/>
      <c r="H22" s="120">
        <v>286</v>
      </c>
      <c r="I22" s="62" t="s">
        <v>190</v>
      </c>
      <c r="J22" s="2419"/>
      <c r="K22" s="590">
        <v>1</v>
      </c>
      <c r="L22" s="121">
        <v>0</v>
      </c>
      <c r="M22" s="2420"/>
      <c r="N22" s="2421"/>
      <c r="O22" s="2423"/>
      <c r="P22" s="189">
        <f>+U22/Q20</f>
        <v>7.2252745493902662E-2</v>
      </c>
      <c r="Q22" s="2426"/>
      <c r="R22" s="2428"/>
      <c r="S22" s="2428"/>
      <c r="T22" s="595" t="s">
        <v>191</v>
      </c>
      <c r="U22" s="704">
        <v>140000000</v>
      </c>
      <c r="V22" s="705">
        <v>0</v>
      </c>
      <c r="W22" s="705">
        <v>0</v>
      </c>
      <c r="X22" s="577">
        <v>20</v>
      </c>
      <c r="Y22" s="706" t="s">
        <v>152</v>
      </c>
      <c r="Z22" s="2413"/>
      <c r="AA22" s="2413"/>
      <c r="AB22" s="2413"/>
      <c r="AC22" s="2413"/>
      <c r="AD22" s="2413"/>
      <c r="AE22" s="2413"/>
      <c r="AF22" s="2413"/>
      <c r="AG22" s="2413"/>
      <c r="AH22" s="2413"/>
      <c r="AI22" s="2413"/>
      <c r="AJ22" s="2413"/>
      <c r="AK22" s="2413"/>
      <c r="AL22" s="2413"/>
      <c r="AM22" s="2416"/>
      <c r="AN22" s="2413"/>
      <c r="AO22" s="2416"/>
      <c r="AP22" s="2416"/>
      <c r="AQ22" s="2416"/>
      <c r="AR22" s="2413"/>
      <c r="AS22" s="2416"/>
      <c r="AT22" s="2413"/>
      <c r="AU22" s="2416"/>
      <c r="AV22" s="2413"/>
      <c r="AW22" s="2416"/>
      <c r="AX22" s="577">
        <v>0</v>
      </c>
      <c r="AY22" s="708">
        <v>0</v>
      </c>
      <c r="AZ22" s="709">
        <v>0</v>
      </c>
      <c r="BA22" s="710"/>
      <c r="BB22" s="577" t="s">
        <v>153</v>
      </c>
      <c r="BC22" s="577" t="s">
        <v>154</v>
      </c>
      <c r="BD22" s="711">
        <v>42736</v>
      </c>
      <c r="BE22" s="577" t="s">
        <v>154</v>
      </c>
      <c r="BF22" s="712">
        <v>43100</v>
      </c>
      <c r="BG22" s="577" t="s">
        <v>154</v>
      </c>
      <c r="BH22" s="725" t="s">
        <v>155</v>
      </c>
    </row>
    <row r="23" spans="1:60" ht="85.5" x14ac:dyDescent="0.2">
      <c r="A23" s="41"/>
      <c r="B23" s="688"/>
      <c r="C23" s="41"/>
      <c r="D23" s="688"/>
      <c r="E23" s="689"/>
      <c r="F23" s="41"/>
      <c r="G23" s="689"/>
      <c r="H23" s="597">
        <v>287</v>
      </c>
      <c r="I23" s="62" t="s">
        <v>192</v>
      </c>
      <c r="J23" s="2419"/>
      <c r="K23" s="718">
        <v>1</v>
      </c>
      <c r="L23" s="577">
        <v>0.16</v>
      </c>
      <c r="M23" s="2420"/>
      <c r="N23" s="2421"/>
      <c r="O23" s="2424"/>
      <c r="P23" s="726">
        <f>+U23/Q20</f>
        <v>2.9748846224735743E-2</v>
      </c>
      <c r="Q23" s="2426"/>
      <c r="R23" s="2428"/>
      <c r="S23" s="2428"/>
      <c r="T23" s="62" t="s">
        <v>193</v>
      </c>
      <c r="U23" s="705">
        <f>57642632.7192573</f>
        <v>57642632.719257303</v>
      </c>
      <c r="V23" s="705">
        <v>25575000</v>
      </c>
      <c r="W23" s="705">
        <v>4650000</v>
      </c>
      <c r="X23" s="577">
        <v>20</v>
      </c>
      <c r="Y23" s="706" t="s">
        <v>152</v>
      </c>
      <c r="Z23" s="2413"/>
      <c r="AA23" s="2413"/>
      <c r="AB23" s="2413"/>
      <c r="AC23" s="2413"/>
      <c r="AD23" s="2413"/>
      <c r="AE23" s="2413"/>
      <c r="AF23" s="2413"/>
      <c r="AG23" s="2413"/>
      <c r="AH23" s="2413"/>
      <c r="AI23" s="2413"/>
      <c r="AJ23" s="2413"/>
      <c r="AK23" s="2413"/>
      <c r="AL23" s="2413"/>
      <c r="AM23" s="2416"/>
      <c r="AN23" s="2413"/>
      <c r="AO23" s="2416"/>
      <c r="AP23" s="2416"/>
      <c r="AQ23" s="2416"/>
      <c r="AR23" s="2413"/>
      <c r="AS23" s="2416"/>
      <c r="AT23" s="2413"/>
      <c r="AU23" s="2416"/>
      <c r="AV23" s="2413"/>
      <c r="AW23" s="2416"/>
      <c r="AX23" s="577">
        <v>3</v>
      </c>
      <c r="AY23" s="708">
        <v>25575000</v>
      </c>
      <c r="AZ23" s="709">
        <v>4650000</v>
      </c>
      <c r="BA23" s="710">
        <f>AZ23/AY23</f>
        <v>0.18181818181818182</v>
      </c>
      <c r="BB23" s="577" t="s">
        <v>153</v>
      </c>
      <c r="BC23" s="722" t="s">
        <v>194</v>
      </c>
      <c r="BD23" s="723">
        <v>42736</v>
      </c>
      <c r="BE23" s="567">
        <v>42769</v>
      </c>
      <c r="BF23" s="724">
        <v>43100</v>
      </c>
      <c r="BG23" s="567">
        <v>42937</v>
      </c>
      <c r="BH23" s="725" t="s">
        <v>155</v>
      </c>
    </row>
    <row r="24" spans="1:60" ht="85.5" x14ac:dyDescent="0.2">
      <c r="A24" s="41"/>
      <c r="B24" s="688"/>
      <c r="C24" s="41"/>
      <c r="D24" s="688"/>
      <c r="E24" s="689"/>
      <c r="F24" s="41"/>
      <c r="G24" s="689"/>
      <c r="H24" s="597">
        <v>287</v>
      </c>
      <c r="I24" s="62" t="s">
        <v>192</v>
      </c>
      <c r="J24" s="2419"/>
      <c r="K24" s="718">
        <v>1</v>
      </c>
      <c r="L24" s="577">
        <v>0.16</v>
      </c>
      <c r="M24" s="2420"/>
      <c r="N24" s="2422"/>
      <c r="O24" s="582"/>
      <c r="P24" s="726">
        <f>+U24/Q20</f>
        <v>5.1609103924216179E-2</v>
      </c>
      <c r="Q24" s="2426"/>
      <c r="R24" s="2428"/>
      <c r="S24" s="2428"/>
      <c r="T24" s="62" t="s">
        <v>193</v>
      </c>
      <c r="U24" s="705">
        <v>100000000</v>
      </c>
      <c r="V24" s="705">
        <v>0</v>
      </c>
      <c r="W24" s="705">
        <v>0</v>
      </c>
      <c r="X24" s="577">
        <v>88</v>
      </c>
      <c r="Y24" s="574" t="s">
        <v>195</v>
      </c>
      <c r="Z24" s="2413"/>
      <c r="AA24" s="2413"/>
      <c r="AB24" s="2413"/>
      <c r="AC24" s="2413"/>
      <c r="AD24" s="2413"/>
      <c r="AE24" s="2413"/>
      <c r="AF24" s="2413"/>
      <c r="AG24" s="2413"/>
      <c r="AH24" s="2413"/>
      <c r="AI24" s="2413"/>
      <c r="AJ24" s="2413"/>
      <c r="AK24" s="2413"/>
      <c r="AL24" s="2413"/>
      <c r="AM24" s="2416"/>
      <c r="AN24" s="2413"/>
      <c r="AO24" s="2416"/>
      <c r="AP24" s="2416"/>
      <c r="AQ24" s="2416"/>
      <c r="AR24" s="2413"/>
      <c r="AS24" s="2416"/>
      <c r="AT24" s="2413"/>
      <c r="AU24" s="2416"/>
      <c r="AV24" s="2413"/>
      <c r="AW24" s="2416"/>
      <c r="AX24" s="577">
        <v>0</v>
      </c>
      <c r="AY24" s="708">
        <v>0</v>
      </c>
      <c r="AZ24" s="709">
        <v>0</v>
      </c>
      <c r="BA24" s="710"/>
      <c r="BB24" s="577" t="s">
        <v>153</v>
      </c>
      <c r="BC24" s="577" t="s">
        <v>154</v>
      </c>
      <c r="BD24" s="723">
        <v>42736</v>
      </c>
      <c r="BE24" s="577" t="s">
        <v>154</v>
      </c>
      <c r="BF24" s="724">
        <v>43100</v>
      </c>
      <c r="BG24" s="577" t="s">
        <v>154</v>
      </c>
      <c r="BH24" s="725" t="s">
        <v>155</v>
      </c>
    </row>
    <row r="25" spans="1:60" ht="85.5" x14ac:dyDescent="0.2">
      <c r="A25" s="727"/>
      <c r="B25" s="728"/>
      <c r="C25" s="727"/>
      <c r="D25" s="728"/>
      <c r="E25" s="729"/>
      <c r="F25" s="727"/>
      <c r="G25" s="729"/>
      <c r="H25" s="597">
        <v>289</v>
      </c>
      <c r="I25" s="62" t="s">
        <v>196</v>
      </c>
      <c r="J25" s="2419"/>
      <c r="K25" s="718">
        <v>1</v>
      </c>
      <c r="L25" s="577">
        <v>0</v>
      </c>
      <c r="M25" s="2420"/>
      <c r="N25" s="2422"/>
      <c r="O25" s="575"/>
      <c r="P25" s="730">
        <f>+U25/Q20</f>
        <v>0.77413655886324273</v>
      </c>
      <c r="Q25" s="2427"/>
      <c r="R25" s="2429"/>
      <c r="S25" s="2429"/>
      <c r="T25" s="62" t="s">
        <v>196</v>
      </c>
      <c r="U25" s="705">
        <v>1500000000</v>
      </c>
      <c r="V25" s="705">
        <v>0</v>
      </c>
      <c r="W25" s="705">
        <v>0</v>
      </c>
      <c r="X25" s="706">
        <v>88</v>
      </c>
      <c r="Y25" s="574" t="s">
        <v>195</v>
      </c>
      <c r="Z25" s="2414"/>
      <c r="AA25" s="2414"/>
      <c r="AB25" s="2414"/>
      <c r="AC25" s="2414"/>
      <c r="AD25" s="2414"/>
      <c r="AE25" s="2414"/>
      <c r="AF25" s="2414"/>
      <c r="AG25" s="2414"/>
      <c r="AH25" s="2414"/>
      <c r="AI25" s="2414"/>
      <c r="AJ25" s="2414"/>
      <c r="AK25" s="2414"/>
      <c r="AL25" s="2414"/>
      <c r="AM25" s="2417"/>
      <c r="AN25" s="2414"/>
      <c r="AO25" s="2417"/>
      <c r="AP25" s="2417"/>
      <c r="AQ25" s="2417"/>
      <c r="AR25" s="2414"/>
      <c r="AS25" s="2417"/>
      <c r="AT25" s="2414"/>
      <c r="AU25" s="2417"/>
      <c r="AV25" s="2414"/>
      <c r="AW25" s="2417"/>
      <c r="AX25" s="577">
        <v>0</v>
      </c>
      <c r="AY25" s="708">
        <v>0</v>
      </c>
      <c r="AZ25" s="709">
        <v>0</v>
      </c>
      <c r="BA25" s="710"/>
      <c r="BB25" s="577" t="s">
        <v>153</v>
      </c>
      <c r="BC25" s="577" t="s">
        <v>154</v>
      </c>
      <c r="BD25" s="711">
        <v>42736</v>
      </c>
      <c r="BE25" s="577" t="s">
        <v>154</v>
      </c>
      <c r="BF25" s="712">
        <v>43100</v>
      </c>
      <c r="BG25" s="577" t="s">
        <v>154</v>
      </c>
      <c r="BH25" s="731" t="s">
        <v>155</v>
      </c>
    </row>
    <row r="26" spans="1:60" s="742" customFormat="1" ht="22.5" customHeight="1" x14ac:dyDescent="0.25">
      <c r="A26" s="732"/>
      <c r="B26" s="733"/>
      <c r="C26" s="733"/>
      <c r="D26" s="733"/>
      <c r="E26" s="733"/>
      <c r="F26" s="733"/>
      <c r="G26" s="733"/>
      <c r="H26" s="733"/>
      <c r="I26" s="733"/>
      <c r="J26" s="733"/>
      <c r="K26" s="734"/>
      <c r="L26" s="733"/>
      <c r="M26" s="733"/>
      <c r="N26" s="2411" t="s">
        <v>140</v>
      </c>
      <c r="O26" s="2411"/>
      <c r="P26" s="735"/>
      <c r="Q26" s="736">
        <f>SUM(Q13:Q25)</f>
        <v>2154647400.7192574</v>
      </c>
      <c r="R26" s="732"/>
      <c r="S26" s="733"/>
      <c r="T26" s="737"/>
      <c r="U26" s="738">
        <f>SUM(U13:U25)</f>
        <v>2154647400.7192574</v>
      </c>
      <c r="V26" s="738">
        <f t="shared" ref="V26:W26" si="0">SUM(V13:V25)</f>
        <v>64295000</v>
      </c>
      <c r="W26" s="738">
        <f t="shared" si="0"/>
        <v>13930000</v>
      </c>
      <c r="X26" s="732"/>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33"/>
      <c r="AU26" s="733"/>
      <c r="AV26" s="733"/>
      <c r="AW26" s="733"/>
      <c r="AX26" s="737"/>
      <c r="AY26" s="739">
        <f>SUM(AY13:AY25)</f>
        <v>64295000</v>
      </c>
      <c r="AZ26" s="740">
        <f>SUM(AZ13:AZ25)</f>
        <v>13930000</v>
      </c>
      <c r="BA26" s="732"/>
      <c r="BB26" s="733"/>
      <c r="BC26" s="733"/>
      <c r="BD26" s="741"/>
      <c r="BE26" s="741"/>
      <c r="BF26" s="741"/>
      <c r="BG26" s="741"/>
      <c r="BH26" s="735"/>
    </row>
    <row r="34" spans="3:5" ht="15" x14ac:dyDescent="0.25">
      <c r="C34" s="2299" t="s">
        <v>2107</v>
      </c>
      <c r="D34" s="2299"/>
      <c r="E34" s="2299"/>
    </row>
    <row r="35" spans="3:5" x14ac:dyDescent="0.2">
      <c r="C35" s="38" t="s">
        <v>142</v>
      </c>
    </row>
  </sheetData>
  <sheetProtection password="CBEB" sheet="1" objects="1" scenarios="1"/>
  <mergeCells count="154">
    <mergeCell ref="A1:BF2"/>
    <mergeCell ref="A3:BF3"/>
    <mergeCell ref="A4:BF4"/>
    <mergeCell ref="A5:L6"/>
    <mergeCell ref="M5:Y6"/>
    <mergeCell ref="Z5:AW6"/>
    <mergeCell ref="BD6:BH6"/>
    <mergeCell ref="T7:T9"/>
    <mergeCell ref="H7:H9"/>
    <mergeCell ref="I7:I9"/>
    <mergeCell ref="J7:J9"/>
    <mergeCell ref="K7:L8"/>
    <mergeCell ref="M7:M9"/>
    <mergeCell ref="N7:N9"/>
    <mergeCell ref="A7:A9"/>
    <mergeCell ref="B7:B9"/>
    <mergeCell ref="C7:C9"/>
    <mergeCell ref="D7:E9"/>
    <mergeCell ref="F7:F9"/>
    <mergeCell ref="G7:G9"/>
    <mergeCell ref="BD7:BE8"/>
    <mergeCell ref="BF7:BG8"/>
    <mergeCell ref="BH7:BH9"/>
    <mergeCell ref="Z8:AA8"/>
    <mergeCell ref="AX7:BC7"/>
    <mergeCell ref="AN8:AO8"/>
    <mergeCell ref="AP8:AQ8"/>
    <mergeCell ref="AR8:AS8"/>
    <mergeCell ref="AT8:AU8"/>
    <mergeCell ref="BC8:BC9"/>
    <mergeCell ref="AV8:AW8"/>
    <mergeCell ref="AX8:AX9"/>
    <mergeCell ref="AY8:AY9"/>
    <mergeCell ref="AZ8:AZ9"/>
    <mergeCell ref="BA8:BA9"/>
    <mergeCell ref="BB8:BB9"/>
    <mergeCell ref="H14:H16"/>
    <mergeCell ref="I14:I16"/>
    <mergeCell ref="J14:J16"/>
    <mergeCell ref="K14:K16"/>
    <mergeCell ref="L14:L16"/>
    <mergeCell ref="M14:M16"/>
    <mergeCell ref="N14:N16"/>
    <mergeCell ref="O14:O16"/>
    <mergeCell ref="P14:P16"/>
    <mergeCell ref="U7:W8"/>
    <mergeCell ref="X7:X9"/>
    <mergeCell ref="Y7:Y9"/>
    <mergeCell ref="O7:O9"/>
    <mergeCell ref="P7:P9"/>
    <mergeCell ref="Q7:Q9"/>
    <mergeCell ref="R7:R9"/>
    <mergeCell ref="S7:S9"/>
    <mergeCell ref="AW14:AW16"/>
    <mergeCell ref="AB8:AC8"/>
    <mergeCell ref="AD8:AE8"/>
    <mergeCell ref="AF8:AG8"/>
    <mergeCell ref="AH8:AI8"/>
    <mergeCell ref="AJ8:AK8"/>
    <mergeCell ref="AL8:AM8"/>
    <mergeCell ref="Z7:AK7"/>
    <mergeCell ref="AL7:AW7"/>
    <mergeCell ref="BH14:BH16"/>
    <mergeCell ref="H17:H18"/>
    <mergeCell ref="I17:I18"/>
    <mergeCell ref="J17:J18"/>
    <mergeCell ref="K17:K18"/>
    <mergeCell ref="L17:L18"/>
    <mergeCell ref="AN14:AN16"/>
    <mergeCell ref="AO14:AO16"/>
    <mergeCell ref="AP14:AP16"/>
    <mergeCell ref="AQ14:AQ16"/>
    <mergeCell ref="AR14:AR16"/>
    <mergeCell ref="AS14:AS16"/>
    <mergeCell ref="AD14:AD16"/>
    <mergeCell ref="AE14:AE16"/>
    <mergeCell ref="AJ14:AJ16"/>
    <mergeCell ref="AK14:AK16"/>
    <mergeCell ref="AL14:AL16"/>
    <mergeCell ref="AM14:AM16"/>
    <mergeCell ref="Q14:Q16"/>
    <mergeCell ref="R14:R16"/>
    <mergeCell ref="Z14:Z16"/>
    <mergeCell ref="AA14:AA16"/>
    <mergeCell ref="AB14:AB16"/>
    <mergeCell ref="M17:M18"/>
    <mergeCell ref="N17:N18"/>
    <mergeCell ref="O17:O18"/>
    <mergeCell ref="P17:P18"/>
    <mergeCell ref="Q17:Q18"/>
    <mergeCell ref="R17:R18"/>
    <mergeCell ref="AT14:AT16"/>
    <mergeCell ref="AU14:AU16"/>
    <mergeCell ref="AV14:AV16"/>
    <mergeCell ref="AC14:AC16"/>
    <mergeCell ref="AD17:AD18"/>
    <mergeCell ref="AE17:AE18"/>
    <mergeCell ref="AF17:AF18"/>
    <mergeCell ref="AG17:AG18"/>
    <mergeCell ref="AH17:AH18"/>
    <mergeCell ref="T17:T18"/>
    <mergeCell ref="U17:U18"/>
    <mergeCell ref="Y17:Y18"/>
    <mergeCell ref="Z17:Z18"/>
    <mergeCell ref="AA17:AA18"/>
    <mergeCell ref="AB17:AB18"/>
    <mergeCell ref="AE20:AE25"/>
    <mergeCell ref="AU17:AU18"/>
    <mergeCell ref="AV17:AV18"/>
    <mergeCell ref="AW17:AW18"/>
    <mergeCell ref="J20:J25"/>
    <mergeCell ref="M20:M25"/>
    <mergeCell ref="N20:N25"/>
    <mergeCell ref="O20:O23"/>
    <mergeCell ref="Q20:Q25"/>
    <mergeCell ref="R20:R25"/>
    <mergeCell ref="S20:S25"/>
    <mergeCell ref="AO17:AO18"/>
    <mergeCell ref="AP17:AP18"/>
    <mergeCell ref="AQ17:AQ18"/>
    <mergeCell ref="AR17:AR18"/>
    <mergeCell ref="AS17:AS18"/>
    <mergeCell ref="AT17:AT18"/>
    <mergeCell ref="AI17:AI18"/>
    <mergeCell ref="AJ17:AJ18"/>
    <mergeCell ref="AK17:AK18"/>
    <mergeCell ref="AL17:AL18"/>
    <mergeCell ref="AM17:AM18"/>
    <mergeCell ref="AN17:AN18"/>
    <mergeCell ref="AC17:AC18"/>
    <mergeCell ref="N26:O26"/>
    <mergeCell ref="AR20:AR25"/>
    <mergeCell ref="AS20:AS25"/>
    <mergeCell ref="AT20:AT25"/>
    <mergeCell ref="AU20:AU25"/>
    <mergeCell ref="AV20:AV25"/>
    <mergeCell ref="AW20:AW25"/>
    <mergeCell ref="AL20:AL25"/>
    <mergeCell ref="AM20:AM25"/>
    <mergeCell ref="AN20:AN25"/>
    <mergeCell ref="AO20:AO25"/>
    <mergeCell ref="AP20:AP25"/>
    <mergeCell ref="AQ20:AQ25"/>
    <mergeCell ref="AF20:AF25"/>
    <mergeCell ref="AG20:AG25"/>
    <mergeCell ref="AH20:AH25"/>
    <mergeCell ref="AI20:AI25"/>
    <mergeCell ref="AJ20:AJ25"/>
    <mergeCell ref="AK20:AK25"/>
    <mergeCell ref="Z20:Z25"/>
    <mergeCell ref="AA20:AA25"/>
    <mergeCell ref="AB20:AB25"/>
    <mergeCell ref="AC20:AC25"/>
    <mergeCell ref="AD20:AD25"/>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CM119"/>
  <sheetViews>
    <sheetView showGridLines="0" tabSelected="1" zoomScale="60" zoomScaleNormal="60" workbookViewId="0">
      <selection activeCell="L13" sqref="L13:L15"/>
    </sheetView>
  </sheetViews>
  <sheetFormatPr baseColWidth="10" defaultColWidth="11.42578125" defaultRowHeight="27" customHeight="1" x14ac:dyDescent="0.2"/>
  <cols>
    <col min="1" max="1" width="6.42578125" style="5" customWidth="1"/>
    <col min="2" max="2" width="1.140625" style="1" customWidth="1"/>
    <col min="3" max="3" width="8.7109375" style="1" customWidth="1"/>
    <col min="4" max="4" width="5.5703125" style="1" customWidth="1"/>
    <col min="5" max="5" width="8" style="1" customWidth="1"/>
    <col min="6" max="6" width="6.28515625" style="1" hidden="1" customWidth="1"/>
    <col min="7" max="7" width="5.5703125" style="1" customWidth="1"/>
    <col min="8" max="8" width="11.42578125" style="1" customWidth="1"/>
    <col min="9" max="9" width="2.42578125" style="1" customWidth="1"/>
    <col min="10" max="10" width="11" style="495" customWidth="1"/>
    <col min="11" max="11" width="24.5703125" style="29" customWidth="1"/>
    <col min="12" max="12" width="10.7109375" style="12" customWidth="1"/>
    <col min="13" max="13" width="9.5703125" style="446" customWidth="1"/>
    <col min="14" max="14" width="9" style="446" customWidth="1"/>
    <col min="15" max="15" width="25.5703125" style="397" customWidth="1"/>
    <col min="16" max="16" width="6.7109375" style="30" customWidth="1"/>
    <col min="17" max="17" width="23.85546875" style="29" customWidth="1"/>
    <col min="18" max="18" width="12.42578125" style="447" customWidth="1"/>
    <col min="19" max="19" width="25" style="36" customWidth="1"/>
    <col min="20" max="20" width="23.5703125" style="29" customWidth="1"/>
    <col min="21" max="21" width="24" style="29" customWidth="1"/>
    <col min="22" max="22" width="24.42578125" style="29" customWidth="1"/>
    <col min="23" max="25" width="24.7109375" style="20" customWidth="1"/>
    <col min="26" max="26" width="12.7109375" style="35" bestFit="1" customWidth="1"/>
    <col min="27" max="27" width="29.85546875" style="31" bestFit="1" customWidth="1"/>
    <col min="28" max="28" width="8.5703125" style="1" customWidth="1"/>
    <col min="29" max="29" width="7.28515625" style="1" customWidth="1"/>
    <col min="30" max="30" width="7.140625" style="1" customWidth="1"/>
    <col min="31" max="31" width="7.5703125" style="1" customWidth="1"/>
    <col min="32" max="32" width="7.140625" style="1" customWidth="1"/>
    <col min="33" max="33" width="6.85546875" style="1" customWidth="1"/>
    <col min="34" max="34" width="7.28515625" style="1" customWidth="1"/>
    <col min="35" max="35" width="7.42578125" style="1" customWidth="1"/>
    <col min="36" max="36" width="9.28515625" style="1" customWidth="1"/>
    <col min="37" max="37" width="10" style="1" customWidth="1"/>
    <col min="38" max="38" width="11" style="1" customWidth="1"/>
    <col min="39" max="39" width="5.7109375" style="1" customWidth="1"/>
    <col min="40" max="40" width="10.85546875" style="1" customWidth="1"/>
    <col min="41" max="41" width="8.5703125" style="1" customWidth="1"/>
    <col min="42" max="42" width="6.7109375" style="1" customWidth="1"/>
    <col min="43" max="43" width="7.42578125" style="1" customWidth="1"/>
    <col min="44" max="44" width="7.5703125" style="1" customWidth="1"/>
    <col min="45" max="45" width="10.5703125" style="1" customWidth="1"/>
    <col min="46" max="47" width="12.42578125" style="1" customWidth="1"/>
    <col min="48" max="48" width="12.5703125" style="1" customWidth="1"/>
    <col min="49" max="49" width="11" style="1" customWidth="1"/>
    <col min="50" max="50" width="7.28515625" style="1" customWidth="1"/>
    <col min="51" max="51" width="11" style="1" customWidth="1"/>
    <col min="52" max="52" width="18.28515625" style="1" customWidth="1"/>
    <col min="53" max="54" width="21.5703125" style="1" customWidth="1"/>
    <col min="55" max="55" width="15" style="1" customWidth="1"/>
    <col min="56" max="56" width="31.5703125" style="1" bestFit="1" customWidth="1"/>
    <col min="57" max="57" width="19.7109375" style="1" customWidth="1"/>
    <col min="58" max="59" width="22.7109375" style="32" customWidth="1"/>
    <col min="60" max="61" width="22.7109375" style="33" customWidth="1"/>
    <col min="62" max="62" width="28.7109375" style="34" customWidth="1"/>
    <col min="63" max="94" width="11.42578125" style="1" customWidth="1"/>
    <col min="95" max="16384" width="11.42578125" style="1"/>
  </cols>
  <sheetData>
    <row r="1" spans="1:62" ht="24.75" customHeight="1" x14ac:dyDescent="0.2">
      <c r="A1" s="3959" t="s">
        <v>1688</v>
      </c>
      <c r="B1" s="3960"/>
      <c r="C1" s="3960"/>
      <c r="D1" s="3960"/>
      <c r="E1" s="3960"/>
      <c r="F1" s="3960"/>
      <c r="G1" s="3960"/>
      <c r="H1" s="3960"/>
      <c r="I1" s="3960"/>
      <c r="J1" s="3960"/>
      <c r="K1" s="3960"/>
      <c r="L1" s="3960"/>
      <c r="M1" s="3960"/>
      <c r="N1" s="3960"/>
      <c r="O1" s="3960"/>
      <c r="P1" s="3960"/>
      <c r="Q1" s="3960"/>
      <c r="R1" s="3960"/>
      <c r="S1" s="3960"/>
      <c r="T1" s="3960"/>
      <c r="U1" s="3960"/>
      <c r="V1" s="3960"/>
      <c r="W1" s="3960"/>
      <c r="X1" s="3960"/>
      <c r="Y1" s="3960"/>
      <c r="Z1" s="3960"/>
      <c r="AA1" s="3960"/>
      <c r="AB1" s="3960"/>
      <c r="AC1" s="3960"/>
      <c r="AD1" s="3960"/>
      <c r="AE1" s="3960"/>
      <c r="AF1" s="3960"/>
      <c r="AG1" s="3960"/>
      <c r="AH1" s="3960"/>
      <c r="AI1" s="3960"/>
      <c r="AJ1" s="3960"/>
      <c r="AK1" s="3960"/>
      <c r="AL1" s="3960"/>
      <c r="AM1" s="3960"/>
      <c r="AN1" s="3960"/>
      <c r="AO1" s="3960"/>
      <c r="AP1" s="3960"/>
      <c r="AQ1" s="3960"/>
      <c r="AR1" s="3960"/>
      <c r="AS1" s="3960"/>
      <c r="AT1" s="3960"/>
      <c r="AU1" s="3960"/>
      <c r="AV1" s="3960"/>
      <c r="AW1" s="3960"/>
      <c r="AX1" s="3960"/>
      <c r="AY1" s="3960"/>
      <c r="AZ1" s="3960"/>
      <c r="BA1" s="3960"/>
      <c r="BB1" s="3960"/>
      <c r="BC1" s="3960"/>
      <c r="BD1" s="3960"/>
      <c r="BE1" s="3960"/>
      <c r="BF1" s="3960"/>
      <c r="BG1" s="3960"/>
      <c r="BH1" s="3961"/>
      <c r="BI1" s="331" t="s">
        <v>0</v>
      </c>
      <c r="BJ1" s="332" t="s">
        <v>1</v>
      </c>
    </row>
    <row r="2" spans="1:62" ht="24.75" customHeight="1" x14ac:dyDescent="0.2">
      <c r="A2" s="3962"/>
      <c r="B2" s="3963"/>
      <c r="C2" s="3963"/>
      <c r="D2" s="3963"/>
      <c r="E2" s="3963"/>
      <c r="F2" s="3963"/>
      <c r="G2" s="3963"/>
      <c r="H2" s="3963"/>
      <c r="I2" s="3963"/>
      <c r="J2" s="3963"/>
      <c r="K2" s="3963"/>
      <c r="L2" s="3963"/>
      <c r="M2" s="3963"/>
      <c r="N2" s="3963"/>
      <c r="O2" s="3963"/>
      <c r="P2" s="3963"/>
      <c r="Q2" s="3963"/>
      <c r="R2" s="3963"/>
      <c r="S2" s="3963"/>
      <c r="T2" s="3963"/>
      <c r="U2" s="3963"/>
      <c r="V2" s="3963"/>
      <c r="W2" s="3963"/>
      <c r="X2" s="3963"/>
      <c r="Y2" s="3963"/>
      <c r="Z2" s="3963"/>
      <c r="AA2" s="3963"/>
      <c r="AB2" s="3963"/>
      <c r="AC2" s="3963"/>
      <c r="AD2" s="3963"/>
      <c r="AE2" s="3963"/>
      <c r="AF2" s="3963"/>
      <c r="AG2" s="3963"/>
      <c r="AH2" s="3963"/>
      <c r="AI2" s="3963"/>
      <c r="AJ2" s="3963"/>
      <c r="AK2" s="3963"/>
      <c r="AL2" s="3963"/>
      <c r="AM2" s="3963"/>
      <c r="AN2" s="3963"/>
      <c r="AO2" s="3963"/>
      <c r="AP2" s="3963"/>
      <c r="AQ2" s="3963"/>
      <c r="AR2" s="3963"/>
      <c r="AS2" s="3963"/>
      <c r="AT2" s="3963"/>
      <c r="AU2" s="3963"/>
      <c r="AV2" s="3963"/>
      <c r="AW2" s="3963"/>
      <c r="AX2" s="3963"/>
      <c r="AY2" s="3963"/>
      <c r="AZ2" s="3963"/>
      <c r="BA2" s="3963"/>
      <c r="BB2" s="3963"/>
      <c r="BC2" s="3963"/>
      <c r="BD2" s="3963"/>
      <c r="BE2" s="3963"/>
      <c r="BF2" s="3963"/>
      <c r="BG2" s="3963"/>
      <c r="BH2" s="3964"/>
      <c r="BI2" s="333" t="s">
        <v>2</v>
      </c>
      <c r="BJ2" s="332" t="s">
        <v>475</v>
      </c>
    </row>
    <row r="3" spans="1:62" ht="24.75" customHeight="1" x14ac:dyDescent="0.2">
      <c r="A3" s="3962"/>
      <c r="B3" s="3963"/>
      <c r="C3" s="3963"/>
      <c r="D3" s="3963"/>
      <c r="E3" s="3963"/>
      <c r="F3" s="3963"/>
      <c r="G3" s="3963"/>
      <c r="H3" s="3963"/>
      <c r="I3" s="3963"/>
      <c r="J3" s="3963"/>
      <c r="K3" s="3963"/>
      <c r="L3" s="3963"/>
      <c r="M3" s="3963"/>
      <c r="N3" s="3963"/>
      <c r="O3" s="3963"/>
      <c r="P3" s="3963"/>
      <c r="Q3" s="3963"/>
      <c r="R3" s="3963"/>
      <c r="S3" s="3963"/>
      <c r="T3" s="3963"/>
      <c r="U3" s="3963"/>
      <c r="V3" s="3963"/>
      <c r="W3" s="3963"/>
      <c r="X3" s="3963"/>
      <c r="Y3" s="3963"/>
      <c r="Z3" s="3963"/>
      <c r="AA3" s="3963"/>
      <c r="AB3" s="3963"/>
      <c r="AC3" s="3963"/>
      <c r="AD3" s="3963"/>
      <c r="AE3" s="3963"/>
      <c r="AF3" s="3963"/>
      <c r="AG3" s="3963"/>
      <c r="AH3" s="3963"/>
      <c r="AI3" s="3963"/>
      <c r="AJ3" s="3963"/>
      <c r="AK3" s="3963"/>
      <c r="AL3" s="3963"/>
      <c r="AM3" s="3963"/>
      <c r="AN3" s="3963"/>
      <c r="AO3" s="3963"/>
      <c r="AP3" s="3963"/>
      <c r="AQ3" s="3963"/>
      <c r="AR3" s="3963"/>
      <c r="AS3" s="3963"/>
      <c r="AT3" s="3963"/>
      <c r="AU3" s="3963"/>
      <c r="AV3" s="3963"/>
      <c r="AW3" s="3963"/>
      <c r="AX3" s="3963"/>
      <c r="AY3" s="3963"/>
      <c r="AZ3" s="3963"/>
      <c r="BA3" s="3963"/>
      <c r="BB3" s="3963"/>
      <c r="BC3" s="3963"/>
      <c r="BD3" s="3963"/>
      <c r="BE3" s="3963"/>
      <c r="BF3" s="3963"/>
      <c r="BG3" s="3963"/>
      <c r="BH3" s="3964"/>
      <c r="BI3" s="331" t="s">
        <v>3</v>
      </c>
      <c r="BJ3" s="332" t="s">
        <v>4</v>
      </c>
    </row>
    <row r="4" spans="1:62" ht="24.75" customHeight="1" x14ac:dyDescent="0.2">
      <c r="A4" s="3965"/>
      <c r="B4" s="3966"/>
      <c r="C4" s="3966"/>
      <c r="D4" s="3966"/>
      <c r="E4" s="3966"/>
      <c r="F4" s="3966"/>
      <c r="G4" s="3966"/>
      <c r="H4" s="3966"/>
      <c r="I4" s="3966"/>
      <c r="J4" s="3966"/>
      <c r="K4" s="3966"/>
      <c r="L4" s="3966"/>
      <c r="M4" s="3966"/>
      <c r="N4" s="3966"/>
      <c r="O4" s="3966"/>
      <c r="P4" s="3966"/>
      <c r="Q4" s="3966"/>
      <c r="R4" s="3966"/>
      <c r="S4" s="3966"/>
      <c r="T4" s="3966"/>
      <c r="U4" s="3966"/>
      <c r="V4" s="3966"/>
      <c r="W4" s="3966"/>
      <c r="X4" s="3966"/>
      <c r="Y4" s="3966"/>
      <c r="Z4" s="3966"/>
      <c r="AA4" s="3966"/>
      <c r="AB4" s="3966"/>
      <c r="AC4" s="3966"/>
      <c r="AD4" s="3966"/>
      <c r="AE4" s="3966"/>
      <c r="AF4" s="3966"/>
      <c r="AG4" s="3966"/>
      <c r="AH4" s="3966"/>
      <c r="AI4" s="3966"/>
      <c r="AJ4" s="3966"/>
      <c r="AK4" s="3966"/>
      <c r="AL4" s="3966"/>
      <c r="AM4" s="3966"/>
      <c r="AN4" s="3966"/>
      <c r="AO4" s="3966"/>
      <c r="AP4" s="3966"/>
      <c r="AQ4" s="3966"/>
      <c r="AR4" s="3966"/>
      <c r="AS4" s="3966"/>
      <c r="AT4" s="3966"/>
      <c r="AU4" s="3966"/>
      <c r="AV4" s="3966"/>
      <c r="AW4" s="3966"/>
      <c r="AX4" s="3966"/>
      <c r="AY4" s="3966"/>
      <c r="AZ4" s="3966"/>
      <c r="BA4" s="3966"/>
      <c r="BB4" s="3966"/>
      <c r="BC4" s="3966"/>
      <c r="BD4" s="3966"/>
      <c r="BE4" s="3966"/>
      <c r="BF4" s="3966"/>
      <c r="BG4" s="3966"/>
      <c r="BH4" s="3967"/>
      <c r="BI4" s="331" t="s">
        <v>5</v>
      </c>
      <c r="BJ4" s="334" t="s">
        <v>476</v>
      </c>
    </row>
    <row r="5" spans="1:62" ht="24.75" customHeight="1" x14ac:dyDescent="0.2">
      <c r="A5" s="3968" t="s">
        <v>7</v>
      </c>
      <c r="B5" s="3968"/>
      <c r="C5" s="3968"/>
      <c r="D5" s="3968"/>
      <c r="E5" s="3968"/>
      <c r="F5" s="3968"/>
      <c r="G5" s="3968"/>
      <c r="H5" s="3968"/>
      <c r="I5" s="3968"/>
      <c r="J5" s="3968"/>
      <c r="K5" s="3968"/>
      <c r="L5" s="3968"/>
      <c r="M5" s="3968"/>
      <c r="N5" s="335"/>
      <c r="O5" s="3970" t="s">
        <v>8</v>
      </c>
      <c r="P5" s="3971"/>
      <c r="Q5" s="3971"/>
      <c r="R5" s="3971"/>
      <c r="S5" s="3971"/>
      <c r="T5" s="3971"/>
      <c r="U5" s="3971"/>
      <c r="V5" s="3971"/>
      <c r="W5" s="3971"/>
      <c r="X5" s="3971"/>
      <c r="Y5" s="3971"/>
      <c r="Z5" s="3971"/>
      <c r="AA5" s="3972"/>
      <c r="AB5" s="3970" t="s">
        <v>9</v>
      </c>
      <c r="AC5" s="3971"/>
      <c r="AD5" s="3971"/>
      <c r="AE5" s="3971"/>
      <c r="AF5" s="3971"/>
      <c r="AG5" s="3971"/>
      <c r="AH5" s="3971"/>
      <c r="AI5" s="3971"/>
      <c r="AJ5" s="3971"/>
      <c r="AK5" s="3971"/>
      <c r="AL5" s="3971"/>
      <c r="AM5" s="3971"/>
      <c r="AN5" s="3971"/>
      <c r="AO5" s="3971"/>
      <c r="AP5" s="3971"/>
      <c r="AQ5" s="3971"/>
      <c r="AR5" s="3971"/>
      <c r="AS5" s="3971"/>
      <c r="AT5" s="3971"/>
      <c r="AU5" s="3971"/>
      <c r="AV5" s="3971"/>
      <c r="AW5" s="3971"/>
      <c r="AX5" s="3971"/>
      <c r="AY5" s="3971"/>
      <c r="AZ5" s="3971"/>
      <c r="BA5" s="3971"/>
      <c r="BB5" s="3971"/>
      <c r="BC5" s="3971"/>
      <c r="BD5" s="3971"/>
      <c r="BE5" s="3971"/>
      <c r="BF5" s="3971"/>
      <c r="BG5" s="3971"/>
      <c r="BH5" s="3971"/>
      <c r="BI5" s="3971"/>
      <c r="BJ5" s="3972"/>
    </row>
    <row r="6" spans="1:62" ht="24.75" customHeight="1" x14ac:dyDescent="0.2">
      <c r="A6" s="3969"/>
      <c r="B6" s="3969"/>
      <c r="C6" s="3969"/>
      <c r="D6" s="3969"/>
      <c r="E6" s="3969"/>
      <c r="F6" s="3969"/>
      <c r="G6" s="3969"/>
      <c r="H6" s="3969"/>
      <c r="I6" s="3969"/>
      <c r="J6" s="3969"/>
      <c r="K6" s="3969"/>
      <c r="L6" s="3969"/>
      <c r="M6" s="3969"/>
      <c r="N6" s="336"/>
      <c r="O6" s="3973"/>
      <c r="P6" s="3969"/>
      <c r="Q6" s="3969"/>
      <c r="R6" s="3969"/>
      <c r="S6" s="3969"/>
      <c r="T6" s="3969"/>
      <c r="U6" s="3969"/>
      <c r="V6" s="3969"/>
      <c r="W6" s="3969"/>
      <c r="X6" s="3969"/>
      <c r="Y6" s="3969"/>
      <c r="Z6" s="3969"/>
      <c r="AA6" s="3974"/>
      <c r="AB6" s="3973"/>
      <c r="AC6" s="3969"/>
      <c r="AD6" s="3969"/>
      <c r="AE6" s="3969"/>
      <c r="AF6" s="3969"/>
      <c r="AG6" s="3969"/>
      <c r="AH6" s="3969"/>
      <c r="AI6" s="3969"/>
      <c r="AJ6" s="3969"/>
      <c r="AK6" s="3969"/>
      <c r="AL6" s="3969"/>
      <c r="AM6" s="3969"/>
      <c r="AN6" s="3969"/>
      <c r="AO6" s="3969"/>
      <c r="AP6" s="3969"/>
      <c r="AQ6" s="3969"/>
      <c r="AR6" s="3969"/>
      <c r="AS6" s="3969"/>
      <c r="AT6" s="3969"/>
      <c r="AU6" s="3969"/>
      <c r="AV6" s="3969"/>
      <c r="AW6" s="3969"/>
      <c r="AX6" s="3969"/>
      <c r="AY6" s="3969"/>
      <c r="AZ6" s="3969"/>
      <c r="BA6" s="3969"/>
      <c r="BB6" s="3969"/>
      <c r="BC6" s="3969"/>
      <c r="BD6" s="3969"/>
      <c r="BE6" s="3969"/>
      <c r="BF6" s="3969"/>
      <c r="BG6" s="3969"/>
      <c r="BH6" s="3969"/>
      <c r="BI6" s="3969"/>
      <c r="BJ6" s="3974"/>
    </row>
    <row r="7" spans="1:62" ht="22.5" customHeight="1" x14ac:dyDescent="0.2">
      <c r="A7" s="3975" t="s">
        <v>10</v>
      </c>
      <c r="B7" s="3978" t="s">
        <v>11</v>
      </c>
      <c r="C7" s="3979"/>
      <c r="D7" s="3938" t="s">
        <v>10</v>
      </c>
      <c r="E7" s="3978" t="s">
        <v>12</v>
      </c>
      <c r="F7" s="3979"/>
      <c r="G7" s="3938" t="s">
        <v>10</v>
      </c>
      <c r="H7" s="3978" t="s">
        <v>13</v>
      </c>
      <c r="I7" s="3979"/>
      <c r="J7" s="3938" t="s">
        <v>10</v>
      </c>
      <c r="K7" s="3940" t="s">
        <v>14</v>
      </c>
      <c r="L7" s="3938" t="s">
        <v>15</v>
      </c>
      <c r="M7" s="3978" t="s">
        <v>16</v>
      </c>
      <c r="N7" s="3979"/>
      <c r="O7" s="3940" t="s">
        <v>17</v>
      </c>
      <c r="P7" s="3938" t="s">
        <v>294</v>
      </c>
      <c r="Q7" s="3940" t="s">
        <v>8</v>
      </c>
      <c r="R7" s="3953" t="s">
        <v>19</v>
      </c>
      <c r="S7" s="3956" t="s">
        <v>20</v>
      </c>
      <c r="T7" s="3938" t="s">
        <v>21</v>
      </c>
      <c r="U7" s="3940" t="s">
        <v>22</v>
      </c>
      <c r="V7" s="3940" t="s">
        <v>23</v>
      </c>
      <c r="W7" s="3943" t="s">
        <v>20</v>
      </c>
      <c r="X7" s="3944"/>
      <c r="Y7" s="3945"/>
      <c r="Z7" s="3949" t="s">
        <v>10</v>
      </c>
      <c r="AA7" s="3938" t="s">
        <v>24</v>
      </c>
      <c r="AB7" s="3993" t="s">
        <v>25</v>
      </c>
      <c r="AC7" s="3995"/>
      <c r="AD7" s="3995"/>
      <c r="AE7" s="3995"/>
      <c r="AF7" s="3995"/>
      <c r="AG7" s="3995"/>
      <c r="AH7" s="3995"/>
      <c r="AI7" s="3995"/>
      <c r="AJ7" s="3995"/>
      <c r="AK7" s="3995"/>
      <c r="AL7" s="3995"/>
      <c r="AM7" s="3994"/>
      <c r="AN7" s="3993" t="s">
        <v>26</v>
      </c>
      <c r="AO7" s="3995"/>
      <c r="AP7" s="3995"/>
      <c r="AQ7" s="3995"/>
      <c r="AR7" s="3995"/>
      <c r="AS7" s="3995"/>
      <c r="AT7" s="3995"/>
      <c r="AU7" s="3995"/>
      <c r="AV7" s="3995"/>
      <c r="AW7" s="3995"/>
      <c r="AX7" s="3995"/>
      <c r="AY7" s="3994"/>
      <c r="AZ7" s="3936" t="s">
        <v>27</v>
      </c>
      <c r="BA7" s="3984"/>
      <c r="BB7" s="3984"/>
      <c r="BC7" s="3984"/>
      <c r="BD7" s="3984"/>
      <c r="BE7" s="3984"/>
      <c r="BF7" s="3985"/>
      <c r="BG7" s="3986"/>
      <c r="BH7" s="3986"/>
      <c r="BI7" s="3987"/>
      <c r="BJ7" s="3988" t="s">
        <v>30</v>
      </c>
    </row>
    <row r="8" spans="1:62" ht="31.5" customHeight="1" x14ac:dyDescent="0.2">
      <c r="A8" s="3976"/>
      <c r="B8" s="3980"/>
      <c r="C8" s="3981"/>
      <c r="D8" s="3952"/>
      <c r="E8" s="3980"/>
      <c r="F8" s="3981"/>
      <c r="G8" s="3952"/>
      <c r="H8" s="3980"/>
      <c r="I8" s="3981"/>
      <c r="J8" s="3952"/>
      <c r="K8" s="3941"/>
      <c r="L8" s="3952"/>
      <c r="M8" s="3982"/>
      <c r="N8" s="3983"/>
      <c r="O8" s="3941"/>
      <c r="P8" s="3952"/>
      <c r="Q8" s="3941"/>
      <c r="R8" s="3954"/>
      <c r="S8" s="3957"/>
      <c r="T8" s="3952"/>
      <c r="U8" s="3941"/>
      <c r="V8" s="3941"/>
      <c r="W8" s="3946"/>
      <c r="X8" s="3947"/>
      <c r="Y8" s="3948"/>
      <c r="Z8" s="3950"/>
      <c r="AA8" s="3952"/>
      <c r="AB8" s="3936" t="s">
        <v>31</v>
      </c>
      <c r="AC8" s="3937"/>
      <c r="AD8" s="3991" t="s">
        <v>32</v>
      </c>
      <c r="AE8" s="3992"/>
      <c r="AF8" s="3936" t="s">
        <v>33</v>
      </c>
      <c r="AG8" s="3937"/>
      <c r="AH8" s="3993" t="s">
        <v>34</v>
      </c>
      <c r="AI8" s="3994"/>
      <c r="AJ8" s="3936" t="s">
        <v>35</v>
      </c>
      <c r="AK8" s="3937"/>
      <c r="AL8" s="3936" t="s">
        <v>36</v>
      </c>
      <c r="AM8" s="3937"/>
      <c r="AN8" s="3993" t="s">
        <v>37</v>
      </c>
      <c r="AO8" s="3994"/>
      <c r="AP8" s="3993" t="s">
        <v>38</v>
      </c>
      <c r="AQ8" s="3994"/>
      <c r="AR8" s="3993" t="s">
        <v>39</v>
      </c>
      <c r="AS8" s="3994"/>
      <c r="AT8" s="3993" t="s">
        <v>40</v>
      </c>
      <c r="AU8" s="3994"/>
      <c r="AV8" s="3936" t="s">
        <v>41</v>
      </c>
      <c r="AW8" s="3937"/>
      <c r="AX8" s="3936" t="s">
        <v>42</v>
      </c>
      <c r="AY8" s="3937"/>
      <c r="AZ8" s="3938" t="s">
        <v>43</v>
      </c>
      <c r="BA8" s="3938" t="s">
        <v>44</v>
      </c>
      <c r="BB8" s="3938" t="s">
        <v>45</v>
      </c>
      <c r="BC8" s="3938" t="s">
        <v>46</v>
      </c>
      <c r="BD8" s="3938" t="s">
        <v>47</v>
      </c>
      <c r="BE8" s="3938" t="s">
        <v>48</v>
      </c>
      <c r="BF8" s="3985" t="s">
        <v>28</v>
      </c>
      <c r="BG8" s="3987"/>
      <c r="BH8" s="3985" t="s">
        <v>29</v>
      </c>
      <c r="BI8" s="3987"/>
      <c r="BJ8" s="3989"/>
    </row>
    <row r="9" spans="1:62" ht="34.5" customHeight="1" x14ac:dyDescent="0.2">
      <c r="A9" s="3977"/>
      <c r="B9" s="3982"/>
      <c r="C9" s="3983"/>
      <c r="D9" s="3939"/>
      <c r="E9" s="3982"/>
      <c r="F9" s="3983"/>
      <c r="G9" s="3939"/>
      <c r="H9" s="3982"/>
      <c r="I9" s="3983"/>
      <c r="J9" s="3939"/>
      <c r="K9" s="3942"/>
      <c r="L9" s="3939"/>
      <c r="M9" s="337" t="s">
        <v>49</v>
      </c>
      <c r="N9" s="337" t="s">
        <v>50</v>
      </c>
      <c r="O9" s="3942"/>
      <c r="P9" s="3939"/>
      <c r="Q9" s="3942"/>
      <c r="R9" s="3955"/>
      <c r="S9" s="3958"/>
      <c r="T9" s="3939"/>
      <c r="U9" s="3942"/>
      <c r="V9" s="3942"/>
      <c r="W9" s="338" t="s">
        <v>51</v>
      </c>
      <c r="X9" s="339" t="s">
        <v>1689</v>
      </c>
      <c r="Y9" s="339" t="s">
        <v>1690</v>
      </c>
      <c r="Z9" s="3951"/>
      <c r="AA9" s="3939"/>
      <c r="AB9" s="493" t="s">
        <v>49</v>
      </c>
      <c r="AC9" s="493" t="s">
        <v>50</v>
      </c>
      <c r="AD9" s="340" t="s">
        <v>49</v>
      </c>
      <c r="AE9" s="340" t="s">
        <v>50</v>
      </c>
      <c r="AF9" s="459" t="s">
        <v>49</v>
      </c>
      <c r="AG9" s="459" t="s">
        <v>50</v>
      </c>
      <c r="AH9" s="459" t="s">
        <v>49</v>
      </c>
      <c r="AI9" s="459" t="s">
        <v>50</v>
      </c>
      <c r="AJ9" s="341" t="s">
        <v>49</v>
      </c>
      <c r="AK9" s="462" t="s">
        <v>50</v>
      </c>
      <c r="AL9" s="493" t="s">
        <v>49</v>
      </c>
      <c r="AM9" s="493" t="s">
        <v>50</v>
      </c>
      <c r="AN9" s="459" t="s">
        <v>49</v>
      </c>
      <c r="AO9" s="505" t="s">
        <v>50</v>
      </c>
      <c r="AP9" s="2" t="s">
        <v>49</v>
      </c>
      <c r="AQ9" s="2" t="s">
        <v>50</v>
      </c>
      <c r="AR9" s="493" t="s">
        <v>49</v>
      </c>
      <c r="AS9" s="493" t="s">
        <v>50</v>
      </c>
      <c r="AT9" s="459" t="s">
        <v>49</v>
      </c>
      <c r="AU9" s="459" t="s">
        <v>50</v>
      </c>
      <c r="AV9" s="459" t="s">
        <v>49</v>
      </c>
      <c r="AW9" s="459" t="s">
        <v>50</v>
      </c>
      <c r="AX9" s="493" t="s">
        <v>49</v>
      </c>
      <c r="AY9" s="493" t="s">
        <v>50</v>
      </c>
      <c r="AZ9" s="3939"/>
      <c r="BA9" s="3939"/>
      <c r="BB9" s="3939"/>
      <c r="BC9" s="3939"/>
      <c r="BD9" s="3939"/>
      <c r="BE9" s="3939"/>
      <c r="BF9" s="1597" t="s">
        <v>49</v>
      </c>
      <c r="BG9" s="1597" t="s">
        <v>50</v>
      </c>
      <c r="BH9" s="1597" t="s">
        <v>49</v>
      </c>
      <c r="BI9" s="1597" t="s">
        <v>50</v>
      </c>
      <c r="BJ9" s="3990"/>
    </row>
    <row r="10" spans="1:62" s="351" customFormat="1" ht="17.25" customHeight="1" x14ac:dyDescent="0.2">
      <c r="A10" s="342">
        <v>3</v>
      </c>
      <c r="B10" s="6"/>
      <c r="C10" s="6" t="s">
        <v>585</v>
      </c>
      <c r="D10" s="6"/>
      <c r="E10" s="6"/>
      <c r="F10" s="6"/>
      <c r="G10" s="6"/>
      <c r="H10" s="6"/>
      <c r="I10" s="6"/>
      <c r="J10" s="7"/>
      <c r="K10" s="8"/>
      <c r="L10" s="6"/>
      <c r="M10" s="343"/>
      <c r="N10" s="343"/>
      <c r="O10" s="8"/>
      <c r="P10" s="6"/>
      <c r="Q10" s="8"/>
      <c r="R10" s="344"/>
      <c r="S10" s="345"/>
      <c r="T10" s="6"/>
      <c r="U10" s="8"/>
      <c r="V10" s="8"/>
      <c r="W10" s="345"/>
      <c r="X10" s="345"/>
      <c r="Y10" s="345"/>
      <c r="Z10" s="346"/>
      <c r="AA10" s="6"/>
      <c r="AB10" s="6"/>
      <c r="AC10" s="6"/>
      <c r="AD10" s="6"/>
      <c r="AE10" s="6"/>
      <c r="AF10" s="6"/>
      <c r="AG10" s="6"/>
      <c r="AH10" s="6"/>
      <c r="AI10" s="6"/>
      <c r="AJ10" s="6"/>
      <c r="AK10" s="6"/>
      <c r="AL10" s="6"/>
      <c r="AM10" s="6"/>
      <c r="AN10" s="6"/>
      <c r="AO10" s="6"/>
      <c r="AP10" s="347"/>
      <c r="AQ10" s="347"/>
      <c r="AR10" s="6"/>
      <c r="AS10" s="6"/>
      <c r="AT10" s="6"/>
      <c r="AU10" s="6"/>
      <c r="AV10" s="6"/>
      <c r="AW10" s="6"/>
      <c r="AX10" s="6"/>
      <c r="AY10" s="6"/>
      <c r="AZ10" s="348"/>
      <c r="BA10" s="6"/>
      <c r="BB10" s="6"/>
      <c r="BC10" s="6"/>
      <c r="BD10" s="6"/>
      <c r="BE10" s="348"/>
      <c r="BF10" s="349"/>
      <c r="BG10" s="349"/>
      <c r="BH10" s="349"/>
      <c r="BI10" s="349"/>
      <c r="BJ10" s="350"/>
    </row>
    <row r="11" spans="1:62" s="191" customFormat="1" ht="18" customHeight="1" x14ac:dyDescent="0.2">
      <c r="A11" s="352"/>
      <c r="B11" s="353"/>
      <c r="C11" s="353"/>
      <c r="D11" s="354">
        <v>5</v>
      </c>
      <c r="E11" s="543" t="s">
        <v>1691</v>
      </c>
      <c r="F11" s="355"/>
      <c r="G11" s="355"/>
      <c r="H11" s="355"/>
      <c r="I11" s="355"/>
      <c r="J11" s="16"/>
      <c r="K11" s="15"/>
      <c r="L11" s="355"/>
      <c r="M11" s="356"/>
      <c r="N11" s="356"/>
      <c r="O11" s="15"/>
      <c r="P11" s="355"/>
      <c r="Q11" s="15"/>
      <c r="R11" s="357"/>
      <c r="S11" s="358"/>
      <c r="T11" s="355"/>
      <c r="U11" s="15"/>
      <c r="V11" s="15"/>
      <c r="W11" s="358"/>
      <c r="X11" s="358"/>
      <c r="Y11" s="358"/>
      <c r="Z11" s="359"/>
      <c r="AA11" s="355"/>
      <c r="AB11" s="355"/>
      <c r="AC11" s="355"/>
      <c r="AD11" s="355"/>
      <c r="AE11" s="355"/>
      <c r="AF11" s="355"/>
      <c r="AG11" s="355"/>
      <c r="AH11" s="355"/>
      <c r="AI11" s="355"/>
      <c r="AJ11" s="355"/>
      <c r="AK11" s="355"/>
      <c r="AL11" s="355"/>
      <c r="AM11" s="355"/>
      <c r="AN11" s="355"/>
      <c r="AO11" s="355"/>
      <c r="AP11" s="355"/>
      <c r="AQ11" s="355"/>
      <c r="AR11" s="355"/>
      <c r="AS11" s="355"/>
      <c r="AT11" s="355"/>
      <c r="AU11" s="355"/>
      <c r="AV11" s="355"/>
      <c r="AW11" s="355"/>
      <c r="AX11" s="355"/>
      <c r="AY11" s="355"/>
      <c r="AZ11" s="360"/>
      <c r="BA11" s="355"/>
      <c r="BB11" s="355"/>
      <c r="BC11" s="355"/>
      <c r="BD11" s="355"/>
      <c r="BE11" s="360"/>
      <c r="BF11" s="361"/>
      <c r="BG11" s="361"/>
      <c r="BH11" s="361"/>
      <c r="BI11" s="361"/>
      <c r="BJ11" s="25"/>
    </row>
    <row r="12" spans="1:62" s="191" customFormat="1" ht="22.5" customHeight="1" x14ac:dyDescent="0.2">
      <c r="A12" s="352"/>
      <c r="B12" s="353"/>
      <c r="C12" s="353"/>
      <c r="D12" s="362"/>
      <c r="E12" s="353"/>
      <c r="F12" s="353"/>
      <c r="G12" s="363">
        <v>16</v>
      </c>
      <c r="H12" s="538" t="s">
        <v>1692</v>
      </c>
      <c r="I12" s="538"/>
      <c r="J12" s="494"/>
      <c r="K12" s="564"/>
      <c r="L12" s="538"/>
      <c r="M12" s="364"/>
      <c r="N12" s="364"/>
      <c r="O12" s="564"/>
      <c r="P12" s="538"/>
      <c r="Q12" s="564"/>
      <c r="R12" s="365"/>
      <c r="S12" s="366"/>
      <c r="T12" s="538"/>
      <c r="U12" s="564"/>
      <c r="V12" s="564"/>
      <c r="W12" s="23">
        <f>SUM(W13:W21)</f>
        <v>16187350279</v>
      </c>
      <c r="X12" s="23"/>
      <c r="Y12" s="23"/>
      <c r="Z12" s="367"/>
      <c r="AA12" s="538"/>
      <c r="AB12" s="538"/>
      <c r="AC12" s="538"/>
      <c r="AD12" s="538"/>
      <c r="AE12" s="538"/>
      <c r="AF12" s="538"/>
      <c r="AG12" s="538"/>
      <c r="AH12" s="538"/>
      <c r="AI12" s="538"/>
      <c r="AJ12" s="538"/>
      <c r="AK12" s="538"/>
      <c r="AL12" s="538"/>
      <c r="AM12" s="538"/>
      <c r="AN12" s="538"/>
      <c r="AO12" s="538"/>
      <c r="AP12" s="538"/>
      <c r="AQ12" s="538"/>
      <c r="AR12" s="538"/>
      <c r="AS12" s="538"/>
      <c r="AT12" s="538"/>
      <c r="AU12" s="538"/>
      <c r="AV12" s="538"/>
      <c r="AW12" s="538"/>
      <c r="AX12" s="538"/>
      <c r="AY12" s="538"/>
      <c r="AZ12" s="10"/>
      <c r="BA12" s="366">
        <f>SUM(BA13:BA21)</f>
        <v>9876526300</v>
      </c>
      <c r="BB12" s="366">
        <f>SUM(BB13:BB21)</f>
        <v>632909237</v>
      </c>
      <c r="BC12" s="314">
        <f>+BA12/W12</f>
        <v>0.61013854211908358</v>
      </c>
      <c r="BD12" s="9"/>
      <c r="BE12" s="10"/>
      <c r="BF12" s="368"/>
      <c r="BG12" s="368"/>
      <c r="BH12" s="368"/>
      <c r="BI12" s="368"/>
      <c r="BJ12" s="24"/>
    </row>
    <row r="13" spans="1:62" s="370" customFormat="1" ht="30.75" customHeight="1" x14ac:dyDescent="0.2">
      <c r="A13" s="528"/>
      <c r="B13" s="3898"/>
      <c r="C13" s="3899"/>
      <c r="D13" s="529"/>
      <c r="E13" s="3898"/>
      <c r="F13" s="3899"/>
      <c r="G13" s="529"/>
      <c r="H13" s="3898"/>
      <c r="I13" s="3899"/>
      <c r="J13" s="3726">
        <v>65</v>
      </c>
      <c r="K13" s="3724" t="s">
        <v>1693</v>
      </c>
      <c r="L13" s="3724" t="s">
        <v>1694</v>
      </c>
      <c r="M13" s="3748">
        <v>1</v>
      </c>
      <c r="N13" s="3758">
        <v>1</v>
      </c>
      <c r="O13" s="3817" t="s">
        <v>1695</v>
      </c>
      <c r="P13" s="3726">
        <v>84</v>
      </c>
      <c r="Q13" s="3724" t="s">
        <v>1696</v>
      </c>
      <c r="R13" s="3754">
        <f>+W13:W15/S13*100</f>
        <v>10.639711535953722</v>
      </c>
      <c r="S13" s="3702">
        <f>SUM(W13:W21)</f>
        <v>16187350279</v>
      </c>
      <c r="T13" s="3724" t="s">
        <v>1697</v>
      </c>
      <c r="U13" s="3930" t="s">
        <v>1698</v>
      </c>
      <c r="V13" s="3933" t="s">
        <v>1699</v>
      </c>
      <c r="W13" s="369">
        <v>1722287375</v>
      </c>
      <c r="X13" s="470">
        <v>651601815</v>
      </c>
      <c r="Y13" s="470"/>
      <c r="Z13" s="489">
        <v>35</v>
      </c>
      <c r="AA13" s="479" t="s">
        <v>1700</v>
      </c>
      <c r="AB13" s="3912">
        <v>2732</v>
      </c>
      <c r="AC13" s="3756">
        <v>2732</v>
      </c>
      <c r="AD13" s="3912">
        <v>17360</v>
      </c>
      <c r="AE13" s="3756">
        <v>17360</v>
      </c>
      <c r="AF13" s="3912"/>
      <c r="AG13" s="517"/>
      <c r="AH13" s="3756">
        <v>21116</v>
      </c>
      <c r="AI13" s="3756">
        <v>21116</v>
      </c>
      <c r="AJ13" s="3912">
        <v>4451</v>
      </c>
      <c r="AK13" s="3756">
        <v>4451</v>
      </c>
      <c r="AL13" s="3912">
        <v>56</v>
      </c>
      <c r="AM13" s="517"/>
      <c r="AN13" s="3910"/>
      <c r="AO13" s="520"/>
      <c r="AP13" s="3910"/>
      <c r="AQ13" s="520"/>
      <c r="AR13" s="3910"/>
      <c r="AS13" s="520"/>
      <c r="AT13" s="3910"/>
      <c r="AU13" s="520"/>
      <c r="AV13" s="3910"/>
      <c r="AW13" s="520"/>
      <c r="AX13" s="3910"/>
      <c r="AY13" s="520"/>
      <c r="AZ13" s="3920">
        <v>1</v>
      </c>
      <c r="BA13" s="3883">
        <f>SUM(X13:X15)</f>
        <v>1976970742</v>
      </c>
      <c r="BB13" s="3883">
        <f>SUM(Y13:Y15)</f>
        <v>632909237</v>
      </c>
      <c r="BC13" s="3921">
        <f>BB13/BA13</f>
        <v>0.32014092244972636</v>
      </c>
      <c r="BD13" s="477" t="s">
        <v>1700</v>
      </c>
      <c r="BE13" s="3924" t="s">
        <v>1701</v>
      </c>
      <c r="BF13" s="3918">
        <v>42737</v>
      </c>
      <c r="BG13" s="3915" t="s">
        <v>1702</v>
      </c>
      <c r="BH13" s="3918">
        <v>43069</v>
      </c>
      <c r="BI13" s="3915" t="s">
        <v>1703</v>
      </c>
      <c r="BJ13" s="3919" t="s">
        <v>1704</v>
      </c>
    </row>
    <row r="14" spans="1:62" s="370" customFormat="1" ht="30" customHeight="1" x14ac:dyDescent="0.2">
      <c r="A14" s="528"/>
      <c r="B14" s="512"/>
      <c r="C14" s="513"/>
      <c r="D14" s="529"/>
      <c r="E14" s="512"/>
      <c r="F14" s="513"/>
      <c r="G14" s="529"/>
      <c r="H14" s="512"/>
      <c r="I14" s="513"/>
      <c r="J14" s="3729"/>
      <c r="K14" s="3728"/>
      <c r="L14" s="3728"/>
      <c r="M14" s="3775"/>
      <c r="N14" s="3760"/>
      <c r="O14" s="3819"/>
      <c r="P14" s="3729"/>
      <c r="Q14" s="3728"/>
      <c r="R14" s="3881"/>
      <c r="S14" s="3703"/>
      <c r="T14" s="3728"/>
      <c r="U14" s="3931"/>
      <c r="V14" s="3934"/>
      <c r="W14" s="468">
        <v>3655700205</v>
      </c>
      <c r="X14" s="369">
        <f>1175393927+149975000</f>
        <v>1325368927</v>
      </c>
      <c r="Y14" s="369">
        <v>632909237</v>
      </c>
      <c r="Z14" s="489">
        <v>20</v>
      </c>
      <c r="AA14" s="479" t="s">
        <v>208</v>
      </c>
      <c r="AB14" s="3913"/>
      <c r="AC14" s="3779"/>
      <c r="AD14" s="3913"/>
      <c r="AE14" s="3779"/>
      <c r="AF14" s="3913"/>
      <c r="AG14" s="518"/>
      <c r="AH14" s="3779"/>
      <c r="AI14" s="3779"/>
      <c r="AJ14" s="3913"/>
      <c r="AK14" s="3779"/>
      <c r="AL14" s="3913"/>
      <c r="AM14" s="518"/>
      <c r="AN14" s="3911"/>
      <c r="AO14" s="521"/>
      <c r="AP14" s="3911"/>
      <c r="AQ14" s="521"/>
      <c r="AR14" s="3911"/>
      <c r="AS14" s="521"/>
      <c r="AT14" s="3911"/>
      <c r="AU14" s="521"/>
      <c r="AV14" s="3911"/>
      <c r="AW14" s="521"/>
      <c r="AX14" s="3911"/>
      <c r="AY14" s="521"/>
      <c r="AZ14" s="3920"/>
      <c r="BA14" s="3884"/>
      <c r="BB14" s="3884"/>
      <c r="BC14" s="3922"/>
      <c r="BD14" s="478" t="s">
        <v>208</v>
      </c>
      <c r="BE14" s="3925"/>
      <c r="BF14" s="3916"/>
      <c r="BG14" s="3916"/>
      <c r="BH14" s="3916"/>
      <c r="BI14" s="3916"/>
      <c r="BJ14" s="3919"/>
    </row>
    <row r="15" spans="1:62" s="370" customFormat="1" ht="31.5" customHeight="1" x14ac:dyDescent="0.2">
      <c r="A15" s="528"/>
      <c r="B15" s="512"/>
      <c r="C15" s="513"/>
      <c r="D15" s="529"/>
      <c r="E15" s="512"/>
      <c r="F15" s="513"/>
      <c r="G15" s="529"/>
      <c r="H15" s="512"/>
      <c r="I15" s="513"/>
      <c r="J15" s="3727"/>
      <c r="K15" s="3725"/>
      <c r="L15" s="3725"/>
      <c r="M15" s="3749"/>
      <c r="N15" s="3759"/>
      <c r="O15" s="3807"/>
      <c r="P15" s="3729"/>
      <c r="Q15" s="3728"/>
      <c r="R15" s="3755"/>
      <c r="S15" s="3703"/>
      <c r="T15" s="3728"/>
      <c r="U15" s="3932"/>
      <c r="V15" s="3935"/>
      <c r="W15" s="468">
        <v>6091354</v>
      </c>
      <c r="X15" s="371">
        <v>0</v>
      </c>
      <c r="Y15" s="369">
        <v>0</v>
      </c>
      <c r="Z15" s="489">
        <v>134</v>
      </c>
      <c r="AA15" s="479" t="s">
        <v>1705</v>
      </c>
      <c r="AB15" s="3913"/>
      <c r="AC15" s="3779"/>
      <c r="AD15" s="3913"/>
      <c r="AE15" s="3779"/>
      <c r="AF15" s="3913"/>
      <c r="AG15" s="518"/>
      <c r="AH15" s="3779"/>
      <c r="AI15" s="3779"/>
      <c r="AJ15" s="3913"/>
      <c r="AK15" s="3779"/>
      <c r="AL15" s="3913"/>
      <c r="AM15" s="518"/>
      <c r="AN15" s="3911"/>
      <c r="AO15" s="521"/>
      <c r="AP15" s="3911"/>
      <c r="AQ15" s="521"/>
      <c r="AR15" s="3911"/>
      <c r="AS15" s="521"/>
      <c r="AT15" s="3911"/>
      <c r="AU15" s="521"/>
      <c r="AV15" s="3911"/>
      <c r="AW15" s="521"/>
      <c r="AX15" s="3911"/>
      <c r="AY15" s="521"/>
      <c r="AZ15" s="3920"/>
      <c r="BA15" s="3885"/>
      <c r="BB15" s="3885"/>
      <c r="BC15" s="3923"/>
      <c r="BD15" s="478" t="s">
        <v>1705</v>
      </c>
      <c r="BE15" s="3926"/>
      <c r="BF15" s="3917"/>
      <c r="BG15" s="3917"/>
      <c r="BH15" s="3917"/>
      <c r="BI15" s="3917"/>
      <c r="BJ15" s="3919"/>
    </row>
    <row r="16" spans="1:62" s="370" customFormat="1" ht="15.75" customHeight="1" x14ac:dyDescent="0.2">
      <c r="A16" s="528"/>
      <c r="B16" s="512"/>
      <c r="C16" s="513"/>
      <c r="D16" s="529"/>
      <c r="E16" s="512"/>
      <c r="F16" s="513"/>
      <c r="G16" s="529"/>
      <c r="H16" s="512"/>
      <c r="I16" s="513"/>
      <c r="J16" s="3726">
        <v>66</v>
      </c>
      <c r="K16" s="3724" t="s">
        <v>1706</v>
      </c>
      <c r="L16" s="3724" t="s">
        <v>1694</v>
      </c>
      <c r="M16" s="3748">
        <v>1</v>
      </c>
      <c r="N16" s="3748">
        <v>1</v>
      </c>
      <c r="O16" s="3817" t="s">
        <v>1707</v>
      </c>
      <c r="P16" s="3729"/>
      <c r="Q16" s="3728"/>
      <c r="R16" s="3735">
        <f>+W16:W20/S13*100</f>
        <v>15.082423107673829</v>
      </c>
      <c r="S16" s="3703"/>
      <c r="T16" s="3728"/>
      <c r="U16" s="3930" t="s">
        <v>1708</v>
      </c>
      <c r="V16" s="4000" t="s">
        <v>1709</v>
      </c>
      <c r="W16" s="468">
        <v>2441444659</v>
      </c>
      <c r="X16" s="468">
        <v>442273937</v>
      </c>
      <c r="Y16" s="468"/>
      <c r="Z16" s="464">
        <v>35</v>
      </c>
      <c r="AA16" s="479" t="s">
        <v>1700</v>
      </c>
      <c r="AB16" s="3913"/>
      <c r="AC16" s="3779"/>
      <c r="AD16" s="3913"/>
      <c r="AE16" s="3779"/>
      <c r="AF16" s="3913"/>
      <c r="AG16" s="518"/>
      <c r="AH16" s="3779"/>
      <c r="AI16" s="3779"/>
      <c r="AJ16" s="3913"/>
      <c r="AK16" s="3779"/>
      <c r="AL16" s="3913"/>
      <c r="AM16" s="518"/>
      <c r="AN16" s="3911"/>
      <c r="AO16" s="521"/>
      <c r="AP16" s="3911"/>
      <c r="AQ16" s="521"/>
      <c r="AR16" s="3911"/>
      <c r="AS16" s="521"/>
      <c r="AT16" s="3911"/>
      <c r="AU16" s="521"/>
      <c r="AV16" s="3911"/>
      <c r="AW16" s="521"/>
      <c r="AX16" s="3911"/>
      <c r="AY16" s="521"/>
      <c r="AZ16" s="3920">
        <v>7</v>
      </c>
      <c r="BA16" s="3883">
        <f>SUM(X16:X20)</f>
        <v>6904635359</v>
      </c>
      <c r="BB16" s="3927">
        <f>SUM(Y16:Y20)</f>
        <v>0</v>
      </c>
      <c r="BC16" s="3928">
        <f>BB16/BA16</f>
        <v>0</v>
      </c>
      <c r="BD16" s="477" t="s">
        <v>1700</v>
      </c>
      <c r="BE16" s="3924" t="s">
        <v>1701</v>
      </c>
      <c r="BF16" s="3903">
        <v>42737</v>
      </c>
      <c r="BG16" s="3903">
        <v>42768</v>
      </c>
      <c r="BH16" s="3906">
        <v>43069</v>
      </c>
      <c r="BI16" s="3906">
        <v>43050</v>
      </c>
      <c r="BJ16" s="3919"/>
    </row>
    <row r="17" spans="1:91" s="370" customFormat="1" ht="35.25" customHeight="1" x14ac:dyDescent="0.2">
      <c r="A17" s="528"/>
      <c r="B17" s="512"/>
      <c r="C17" s="513"/>
      <c r="D17" s="529"/>
      <c r="E17" s="512"/>
      <c r="F17" s="513"/>
      <c r="G17" s="529"/>
      <c r="H17" s="512"/>
      <c r="I17" s="513"/>
      <c r="J17" s="3729"/>
      <c r="K17" s="3728"/>
      <c r="L17" s="3728"/>
      <c r="M17" s="3775"/>
      <c r="N17" s="3775"/>
      <c r="O17" s="3929"/>
      <c r="P17" s="3729"/>
      <c r="Q17" s="3728"/>
      <c r="R17" s="3735"/>
      <c r="S17" s="3703"/>
      <c r="T17" s="3728"/>
      <c r="U17" s="3931"/>
      <c r="V17" s="4001"/>
      <c r="W17" s="468">
        <v>6739972766</v>
      </c>
      <c r="X17" s="468">
        <v>6291107502</v>
      </c>
      <c r="Y17" s="468">
        <v>0</v>
      </c>
      <c r="Z17" s="464">
        <v>81</v>
      </c>
      <c r="AA17" s="463" t="s">
        <v>1710</v>
      </c>
      <c r="AB17" s="3913"/>
      <c r="AC17" s="3779"/>
      <c r="AD17" s="3913"/>
      <c r="AE17" s="3779"/>
      <c r="AF17" s="3913"/>
      <c r="AG17" s="518"/>
      <c r="AH17" s="3779"/>
      <c r="AI17" s="3779"/>
      <c r="AJ17" s="3913"/>
      <c r="AK17" s="3779"/>
      <c r="AL17" s="3913"/>
      <c r="AM17" s="518"/>
      <c r="AN17" s="3911"/>
      <c r="AO17" s="521"/>
      <c r="AP17" s="3911"/>
      <c r="AQ17" s="521"/>
      <c r="AR17" s="3911"/>
      <c r="AS17" s="521"/>
      <c r="AT17" s="3911"/>
      <c r="AU17" s="521"/>
      <c r="AV17" s="3911"/>
      <c r="AW17" s="521"/>
      <c r="AX17" s="3911"/>
      <c r="AY17" s="521"/>
      <c r="AZ17" s="3920"/>
      <c r="BA17" s="3884"/>
      <c r="BB17" s="3927"/>
      <c r="BC17" s="3928"/>
      <c r="BD17" s="478" t="s">
        <v>1710</v>
      </c>
      <c r="BE17" s="3925"/>
      <c r="BF17" s="3904"/>
      <c r="BG17" s="3904"/>
      <c r="BH17" s="3907"/>
      <c r="BI17" s="3907"/>
      <c r="BJ17" s="3919"/>
    </row>
    <row r="18" spans="1:91" s="370" customFormat="1" ht="22.5" customHeight="1" x14ac:dyDescent="0.2">
      <c r="A18" s="528"/>
      <c r="B18" s="512"/>
      <c r="C18" s="513"/>
      <c r="D18" s="529"/>
      <c r="E18" s="512"/>
      <c r="F18" s="513"/>
      <c r="G18" s="529"/>
      <c r="H18" s="512"/>
      <c r="I18" s="513"/>
      <c r="J18" s="3729"/>
      <c r="K18" s="3728"/>
      <c r="L18" s="3728"/>
      <c r="M18" s="3775"/>
      <c r="N18" s="3775"/>
      <c r="O18" s="3929"/>
      <c r="P18" s="3729"/>
      <c r="Q18" s="3728"/>
      <c r="R18" s="3735"/>
      <c r="S18" s="3703"/>
      <c r="T18" s="3728"/>
      <c r="U18" s="3931"/>
      <c r="V18" s="4001"/>
      <c r="W18" s="468">
        <v>171253920</v>
      </c>
      <c r="X18" s="468">
        <v>171253920</v>
      </c>
      <c r="Y18" s="468">
        <v>0</v>
      </c>
      <c r="Z18" s="487"/>
      <c r="AA18" s="477" t="s">
        <v>1711</v>
      </c>
      <c r="AB18" s="3913"/>
      <c r="AC18" s="3779"/>
      <c r="AD18" s="3913"/>
      <c r="AE18" s="3779"/>
      <c r="AF18" s="3913"/>
      <c r="AG18" s="518"/>
      <c r="AH18" s="3779"/>
      <c r="AI18" s="3779"/>
      <c r="AJ18" s="3913"/>
      <c r="AK18" s="3779"/>
      <c r="AL18" s="3913"/>
      <c r="AM18" s="518"/>
      <c r="AN18" s="3911"/>
      <c r="AO18" s="521"/>
      <c r="AP18" s="3911"/>
      <c r="AQ18" s="521"/>
      <c r="AR18" s="3911"/>
      <c r="AS18" s="521"/>
      <c r="AT18" s="3911"/>
      <c r="AU18" s="521"/>
      <c r="AV18" s="3911"/>
      <c r="AW18" s="521"/>
      <c r="AX18" s="3911"/>
      <c r="AY18" s="521"/>
      <c r="AZ18" s="3920"/>
      <c r="BA18" s="3884"/>
      <c r="BB18" s="3927"/>
      <c r="BC18" s="3928"/>
      <c r="BD18" s="478" t="s">
        <v>1711</v>
      </c>
      <c r="BE18" s="3925"/>
      <c r="BF18" s="3904"/>
      <c r="BG18" s="3904"/>
      <c r="BH18" s="3907"/>
      <c r="BI18" s="3907"/>
      <c r="BJ18" s="3919"/>
    </row>
    <row r="19" spans="1:91" s="370" customFormat="1" ht="25.5" customHeight="1" x14ac:dyDescent="0.2">
      <c r="A19" s="528"/>
      <c r="B19" s="512"/>
      <c r="C19" s="513"/>
      <c r="D19" s="529"/>
      <c r="E19" s="512"/>
      <c r="F19" s="513"/>
      <c r="G19" s="529"/>
      <c r="H19" s="512"/>
      <c r="I19" s="513"/>
      <c r="J19" s="3729"/>
      <c r="K19" s="3728"/>
      <c r="L19" s="3728"/>
      <c r="M19" s="3775"/>
      <c r="N19" s="3775"/>
      <c r="O19" s="3929"/>
      <c r="P19" s="3729"/>
      <c r="Q19" s="3728"/>
      <c r="R19" s="3735"/>
      <c r="S19" s="3703"/>
      <c r="T19" s="3728"/>
      <c r="U19" s="3931"/>
      <c r="V19" s="4002"/>
      <c r="W19" s="468">
        <v>156361000</v>
      </c>
      <c r="X19" s="3908"/>
      <c r="Y19" s="3800">
        <v>0</v>
      </c>
      <c r="Z19" s="3811" t="s">
        <v>1712</v>
      </c>
      <c r="AA19" s="3804" t="s">
        <v>208</v>
      </c>
      <c r="AB19" s="3913"/>
      <c r="AC19" s="3779"/>
      <c r="AD19" s="3913"/>
      <c r="AE19" s="3779"/>
      <c r="AF19" s="3913"/>
      <c r="AG19" s="518"/>
      <c r="AH19" s="3779"/>
      <c r="AI19" s="3779"/>
      <c r="AJ19" s="3913"/>
      <c r="AK19" s="3779"/>
      <c r="AL19" s="3913"/>
      <c r="AM19" s="518"/>
      <c r="AN19" s="3911"/>
      <c r="AO19" s="521"/>
      <c r="AP19" s="3911"/>
      <c r="AQ19" s="521"/>
      <c r="AR19" s="3911"/>
      <c r="AS19" s="521"/>
      <c r="AT19" s="3911"/>
      <c r="AU19" s="521"/>
      <c r="AV19" s="3911"/>
      <c r="AW19" s="521"/>
      <c r="AX19" s="3911"/>
      <c r="AY19" s="521"/>
      <c r="AZ19" s="3920"/>
      <c r="BA19" s="3884"/>
      <c r="BB19" s="3927"/>
      <c r="BC19" s="3928"/>
      <c r="BD19" s="3820" t="s">
        <v>208</v>
      </c>
      <c r="BE19" s="3925"/>
      <c r="BF19" s="3904"/>
      <c r="BG19" s="3904"/>
      <c r="BH19" s="3907"/>
      <c r="BI19" s="3907"/>
      <c r="BJ19" s="3919"/>
    </row>
    <row r="20" spans="1:91" s="370" customFormat="1" ht="36" customHeight="1" x14ac:dyDescent="0.2">
      <c r="A20" s="528"/>
      <c r="B20" s="512"/>
      <c r="C20" s="513"/>
      <c r="D20" s="529"/>
      <c r="E20" s="512"/>
      <c r="F20" s="513"/>
      <c r="G20" s="529"/>
      <c r="H20" s="512"/>
      <c r="I20" s="513"/>
      <c r="J20" s="3729"/>
      <c r="K20" s="3725"/>
      <c r="L20" s="3725"/>
      <c r="M20" s="3775"/>
      <c r="N20" s="3749"/>
      <c r="O20" s="3929"/>
      <c r="P20" s="3729"/>
      <c r="Q20" s="3728"/>
      <c r="R20" s="3735"/>
      <c r="S20" s="3703"/>
      <c r="T20" s="3728"/>
      <c r="U20" s="3932"/>
      <c r="V20" s="506" t="s">
        <v>1713</v>
      </c>
      <c r="W20" s="369">
        <v>243639000</v>
      </c>
      <c r="X20" s="3909"/>
      <c r="Y20" s="3801"/>
      <c r="Z20" s="3812"/>
      <c r="AA20" s="3805"/>
      <c r="AB20" s="3913"/>
      <c r="AC20" s="3779"/>
      <c r="AD20" s="3913"/>
      <c r="AE20" s="3779"/>
      <c r="AF20" s="3913"/>
      <c r="AG20" s="518"/>
      <c r="AH20" s="3779"/>
      <c r="AI20" s="3779"/>
      <c r="AJ20" s="3913"/>
      <c r="AK20" s="3779"/>
      <c r="AL20" s="3913"/>
      <c r="AM20" s="518"/>
      <c r="AN20" s="3911"/>
      <c r="AO20" s="521"/>
      <c r="AP20" s="3911"/>
      <c r="AQ20" s="521"/>
      <c r="AR20" s="3911"/>
      <c r="AS20" s="521"/>
      <c r="AT20" s="3911"/>
      <c r="AU20" s="521"/>
      <c r="AV20" s="3911"/>
      <c r="AW20" s="521"/>
      <c r="AX20" s="3911"/>
      <c r="AY20" s="521"/>
      <c r="AZ20" s="3920"/>
      <c r="BA20" s="3885"/>
      <c r="BB20" s="3927"/>
      <c r="BC20" s="3928"/>
      <c r="BD20" s="3805"/>
      <c r="BE20" s="3926"/>
      <c r="BF20" s="3905"/>
      <c r="BG20" s="3905"/>
      <c r="BH20" s="3907"/>
      <c r="BI20" s="3907"/>
      <c r="BJ20" s="3919"/>
    </row>
    <row r="21" spans="1:91" s="370" customFormat="1" ht="167.25" customHeight="1" x14ac:dyDescent="0.2">
      <c r="A21" s="528"/>
      <c r="B21" s="512"/>
      <c r="C21" s="513"/>
      <c r="D21" s="529"/>
      <c r="E21" s="512"/>
      <c r="F21" s="513"/>
      <c r="G21" s="529"/>
      <c r="H21" s="512"/>
      <c r="I21" s="513"/>
      <c r="J21" s="472">
        <v>67</v>
      </c>
      <c r="K21" s="507" t="s">
        <v>1714</v>
      </c>
      <c r="L21" s="508" t="s">
        <v>1694</v>
      </c>
      <c r="M21" s="514">
        <v>1</v>
      </c>
      <c r="N21" s="514">
        <v>1</v>
      </c>
      <c r="O21" s="507" t="s">
        <v>1715</v>
      </c>
      <c r="P21" s="3729"/>
      <c r="Q21" s="3725"/>
      <c r="R21" s="510">
        <f>+W21/S13*100</f>
        <v>6.4902530796714348</v>
      </c>
      <c r="S21" s="3703"/>
      <c r="T21" s="3728"/>
      <c r="U21" s="372" t="s">
        <v>1716</v>
      </c>
      <c r="V21" s="516" t="s">
        <v>1717</v>
      </c>
      <c r="W21" s="469">
        <v>1050600000</v>
      </c>
      <c r="X21" s="469">
        <v>994920199</v>
      </c>
      <c r="Y21" s="469"/>
      <c r="Z21" s="488">
        <v>35</v>
      </c>
      <c r="AA21" s="478" t="s">
        <v>1700</v>
      </c>
      <c r="AB21" s="3913"/>
      <c r="AC21" s="3757"/>
      <c r="AD21" s="3913"/>
      <c r="AE21" s="3757"/>
      <c r="AF21" s="3914"/>
      <c r="AG21" s="518"/>
      <c r="AH21" s="3757"/>
      <c r="AI21" s="3757"/>
      <c r="AJ21" s="3914"/>
      <c r="AK21" s="3757"/>
      <c r="AL21" s="3914"/>
      <c r="AM21" s="518"/>
      <c r="AN21" s="3911"/>
      <c r="AO21" s="521"/>
      <c r="AP21" s="3911"/>
      <c r="AQ21" s="521"/>
      <c r="AR21" s="3911"/>
      <c r="AS21" s="521"/>
      <c r="AT21" s="3911"/>
      <c r="AU21" s="521"/>
      <c r="AV21" s="3911"/>
      <c r="AW21" s="521"/>
      <c r="AX21" s="3911"/>
      <c r="AY21" s="521"/>
      <c r="AZ21" s="484">
        <v>11</v>
      </c>
      <c r="BA21" s="524">
        <f>+X21</f>
        <v>994920199</v>
      </c>
      <c r="BB21" s="524">
        <f>+Y21</f>
        <v>0</v>
      </c>
      <c r="BC21" s="373">
        <f>BB21/BA21</f>
        <v>0</v>
      </c>
      <c r="BD21" s="478" t="s">
        <v>1700</v>
      </c>
      <c r="BE21" s="461" t="s">
        <v>1701</v>
      </c>
      <c r="BF21" s="481">
        <v>42737</v>
      </c>
      <c r="BG21" s="481" t="s">
        <v>1718</v>
      </c>
      <c r="BH21" s="374">
        <v>43069</v>
      </c>
      <c r="BI21" s="374">
        <v>43089</v>
      </c>
      <c r="BJ21" s="3919"/>
    </row>
    <row r="22" spans="1:91" s="378" customFormat="1" ht="12.75" x14ac:dyDescent="0.2">
      <c r="A22" s="3861"/>
      <c r="B22" s="3862"/>
      <c r="C22" s="3862"/>
      <c r="D22" s="3862"/>
      <c r="E22" s="3862"/>
      <c r="F22" s="3863"/>
      <c r="G22" s="375">
        <v>17</v>
      </c>
      <c r="H22" s="3886" t="s">
        <v>1719</v>
      </c>
      <c r="I22" s="3887"/>
      <c r="J22" s="3887"/>
      <c r="K22" s="3887"/>
      <c r="L22" s="3887"/>
      <c r="M22" s="3887"/>
      <c r="N22" s="364"/>
      <c r="O22" s="564"/>
      <c r="P22" s="17"/>
      <c r="Q22" s="564"/>
      <c r="R22" s="17"/>
      <c r="S22" s="17"/>
      <c r="T22" s="564"/>
      <c r="U22" s="564"/>
      <c r="V22" s="564"/>
      <c r="W22" s="312">
        <f>SUM(W23:W33)</f>
        <v>1236000000</v>
      </c>
      <c r="X22" s="312"/>
      <c r="Y22" s="312"/>
      <c r="Z22" s="17"/>
      <c r="AA22" s="17"/>
      <c r="AB22" s="17"/>
      <c r="AC22" s="17"/>
      <c r="AD22" s="17"/>
      <c r="AE22" s="17"/>
      <c r="AF22" s="17"/>
      <c r="AG22" s="17"/>
      <c r="AH22" s="17"/>
      <c r="AI22" s="17"/>
      <c r="AJ22" s="17"/>
      <c r="AK22" s="17"/>
      <c r="AL22" s="17"/>
      <c r="AM22" s="26"/>
      <c r="AN22" s="26"/>
      <c r="AO22" s="26"/>
      <c r="AP22" s="26"/>
      <c r="AQ22" s="26"/>
      <c r="AR22" s="26"/>
      <c r="AS22" s="26"/>
      <c r="AT22" s="26"/>
      <c r="AU22" s="26"/>
      <c r="AV22" s="26"/>
      <c r="AW22" s="26"/>
      <c r="AX22" s="26"/>
      <c r="AY22" s="26"/>
      <c r="AZ22" s="376">
        <f>SUM(AZ13:AZ21)</f>
        <v>19</v>
      </c>
      <c r="BA22" s="312">
        <f t="shared" ref="BA22:BB22" si="0">SUM(BA23:BA33)</f>
        <v>37232000</v>
      </c>
      <c r="BB22" s="312">
        <f t="shared" si="0"/>
        <v>25715000</v>
      </c>
      <c r="BC22" s="377">
        <f>+BA22/W22</f>
        <v>3.0122977346278317E-2</v>
      </c>
      <c r="BD22" s="17"/>
      <c r="BE22" s="1598"/>
      <c r="BF22" s="17"/>
      <c r="BG22" s="17"/>
      <c r="BH22" s="17"/>
      <c r="BI22" s="17"/>
      <c r="BJ22" s="18"/>
    </row>
    <row r="23" spans="1:91" s="381" customFormat="1" ht="82.5" customHeight="1" x14ac:dyDescent="0.2">
      <c r="A23" s="3865"/>
      <c r="B23" s="3866"/>
      <c r="C23" s="3867"/>
      <c r="D23" s="3894"/>
      <c r="E23" s="3895"/>
      <c r="F23" s="3896"/>
      <c r="G23" s="3894"/>
      <c r="H23" s="3898"/>
      <c r="I23" s="3899"/>
      <c r="J23" s="473">
        <v>68</v>
      </c>
      <c r="K23" s="509" t="s">
        <v>1720</v>
      </c>
      <c r="L23" s="509" t="s">
        <v>1694</v>
      </c>
      <c r="M23" s="559">
        <v>4500</v>
      </c>
      <c r="N23" s="559">
        <v>4089</v>
      </c>
      <c r="O23" s="3852" t="s">
        <v>1721</v>
      </c>
      <c r="P23" s="3729">
        <v>86</v>
      </c>
      <c r="Q23" s="3724" t="s">
        <v>1722</v>
      </c>
      <c r="R23" s="510">
        <f>+W23/S23*100</f>
        <v>0.8090614886731391</v>
      </c>
      <c r="S23" s="3702">
        <f>SUM(W23:W33)</f>
        <v>1236000000</v>
      </c>
      <c r="T23" s="3879"/>
      <c r="U23" s="509" t="s">
        <v>1723</v>
      </c>
      <c r="V23" s="527" t="s">
        <v>1724</v>
      </c>
      <c r="W23" s="470">
        <v>10000000</v>
      </c>
      <c r="X23" s="470"/>
      <c r="Y23" s="470"/>
      <c r="Z23" s="489">
        <v>20</v>
      </c>
      <c r="AA23" s="463" t="s">
        <v>208</v>
      </c>
      <c r="AB23" s="3874">
        <v>2732</v>
      </c>
      <c r="AC23" s="535"/>
      <c r="AD23" s="3874">
        <v>17360</v>
      </c>
      <c r="AE23" s="535"/>
      <c r="AF23" s="3874"/>
      <c r="AG23" s="535"/>
      <c r="AH23" s="3874">
        <v>21116</v>
      </c>
      <c r="AI23" s="535"/>
      <c r="AJ23" s="3874">
        <v>4451</v>
      </c>
      <c r="AK23" s="535"/>
      <c r="AL23" s="3874">
        <v>56</v>
      </c>
      <c r="AM23" s="3874">
        <v>56</v>
      </c>
      <c r="AN23" s="3756"/>
      <c r="AO23" s="3756"/>
      <c r="AP23" s="3756"/>
      <c r="AQ23" s="3756"/>
      <c r="AR23" s="3756"/>
      <c r="AS23" s="3756"/>
      <c r="AT23" s="3756"/>
      <c r="AU23" s="3756"/>
      <c r="AV23" s="3756"/>
      <c r="AW23" s="3756"/>
      <c r="AX23" s="3756"/>
      <c r="AY23" s="3756"/>
      <c r="AZ23" s="484"/>
      <c r="BA23" s="524">
        <f t="shared" ref="BA23:BB24" si="1">+X23</f>
        <v>0</v>
      </c>
      <c r="BB23" s="524">
        <f t="shared" si="1"/>
        <v>0</v>
      </c>
      <c r="BC23" s="373">
        <f t="shared" ref="BC23:BC24" si="2">+BA23/W23</f>
        <v>0</v>
      </c>
      <c r="BD23" s="463" t="s">
        <v>208</v>
      </c>
      <c r="BE23" s="461"/>
      <c r="BF23" s="480">
        <v>42751</v>
      </c>
      <c r="BG23" s="480"/>
      <c r="BH23" s="480"/>
      <c r="BI23" s="480"/>
      <c r="BJ23" s="3996" t="s">
        <v>1704</v>
      </c>
      <c r="BK23" s="379"/>
      <c r="BL23" s="379"/>
      <c r="BM23" s="379"/>
      <c r="BN23" s="379"/>
      <c r="BO23" s="379"/>
      <c r="BP23" s="379"/>
      <c r="BQ23" s="379"/>
      <c r="BR23" s="379"/>
      <c r="BS23" s="379"/>
      <c r="BT23" s="379"/>
      <c r="BU23" s="379"/>
      <c r="BV23" s="379"/>
      <c r="BW23" s="379"/>
      <c r="BX23" s="379"/>
      <c r="BY23" s="379"/>
      <c r="BZ23" s="379"/>
      <c r="CA23" s="379"/>
      <c r="CB23" s="379"/>
      <c r="CC23" s="379"/>
      <c r="CD23" s="379"/>
      <c r="CE23" s="379"/>
      <c r="CF23" s="379"/>
      <c r="CG23" s="379"/>
      <c r="CH23" s="379"/>
      <c r="CI23" s="379"/>
      <c r="CJ23" s="379"/>
      <c r="CK23" s="379"/>
      <c r="CL23" s="379"/>
      <c r="CM23" s="380"/>
    </row>
    <row r="24" spans="1:91" s="370" customFormat="1" ht="63" customHeight="1" x14ac:dyDescent="0.2">
      <c r="A24" s="3888"/>
      <c r="B24" s="3889"/>
      <c r="C24" s="3890"/>
      <c r="D24" s="3897"/>
      <c r="E24" s="3898"/>
      <c r="F24" s="3899"/>
      <c r="G24" s="3897"/>
      <c r="H24" s="3898"/>
      <c r="I24" s="3899"/>
      <c r="J24" s="471">
        <v>69</v>
      </c>
      <c r="K24" s="485" t="s">
        <v>1725</v>
      </c>
      <c r="L24" s="509" t="s">
        <v>1694</v>
      </c>
      <c r="M24" s="559">
        <v>1</v>
      </c>
      <c r="N24" s="559">
        <v>1</v>
      </c>
      <c r="O24" s="3877"/>
      <c r="P24" s="3729"/>
      <c r="Q24" s="3728"/>
      <c r="R24" s="510">
        <f>+W24/S23*100</f>
        <v>0.8090614886731391</v>
      </c>
      <c r="S24" s="3703"/>
      <c r="T24" s="3728"/>
      <c r="U24" s="485" t="s">
        <v>1726</v>
      </c>
      <c r="V24" s="482" t="s">
        <v>1724</v>
      </c>
      <c r="W24" s="470">
        <v>10000000</v>
      </c>
      <c r="X24" s="470"/>
      <c r="Y24" s="470"/>
      <c r="Z24" s="464">
        <v>20</v>
      </c>
      <c r="AA24" s="478" t="s">
        <v>208</v>
      </c>
      <c r="AB24" s="3875"/>
      <c r="AC24" s="536"/>
      <c r="AD24" s="3875"/>
      <c r="AE24" s="536"/>
      <c r="AF24" s="3875"/>
      <c r="AG24" s="536"/>
      <c r="AH24" s="3875"/>
      <c r="AI24" s="536"/>
      <c r="AJ24" s="3875"/>
      <c r="AK24" s="536"/>
      <c r="AL24" s="3875"/>
      <c r="AM24" s="3875"/>
      <c r="AN24" s="3779"/>
      <c r="AO24" s="3779"/>
      <c r="AP24" s="3779"/>
      <c r="AQ24" s="3779"/>
      <c r="AR24" s="3779"/>
      <c r="AS24" s="3779"/>
      <c r="AT24" s="3779"/>
      <c r="AU24" s="3779"/>
      <c r="AV24" s="3779"/>
      <c r="AW24" s="3779"/>
      <c r="AX24" s="3779"/>
      <c r="AY24" s="3779"/>
      <c r="AZ24" s="484"/>
      <c r="BA24" s="524">
        <f t="shared" si="1"/>
        <v>0</v>
      </c>
      <c r="BB24" s="524">
        <f t="shared" si="1"/>
        <v>0</v>
      </c>
      <c r="BC24" s="373">
        <f t="shared" si="2"/>
        <v>0</v>
      </c>
      <c r="BD24" s="478" t="s">
        <v>208</v>
      </c>
      <c r="BE24" s="461"/>
      <c r="BF24" s="480">
        <v>42751</v>
      </c>
      <c r="BG24" s="480"/>
      <c r="BH24" s="480"/>
      <c r="BI24" s="480"/>
      <c r="BJ24" s="3997"/>
    </row>
    <row r="25" spans="1:91" s="4" customFormat="1" ht="42" customHeight="1" x14ac:dyDescent="0.2">
      <c r="A25" s="3888"/>
      <c r="B25" s="3889"/>
      <c r="C25" s="3890"/>
      <c r="D25" s="3897"/>
      <c r="E25" s="3898"/>
      <c r="F25" s="3899"/>
      <c r="G25" s="3897"/>
      <c r="H25" s="3898"/>
      <c r="I25" s="3899"/>
      <c r="J25" s="3726">
        <v>70</v>
      </c>
      <c r="K25" s="3724" t="s">
        <v>1727</v>
      </c>
      <c r="L25" s="3724" t="s">
        <v>1694</v>
      </c>
      <c r="M25" s="3758">
        <v>406</v>
      </c>
      <c r="N25" s="3758">
        <v>453</v>
      </c>
      <c r="O25" s="3877"/>
      <c r="P25" s="3729"/>
      <c r="Q25" s="3728"/>
      <c r="R25" s="3754">
        <f>+W25/S23*100</f>
        <v>1.6181229773462782</v>
      </c>
      <c r="S25" s="3703"/>
      <c r="T25" s="3728"/>
      <c r="U25" s="3724" t="s">
        <v>1728</v>
      </c>
      <c r="V25" s="482" t="s">
        <v>1729</v>
      </c>
      <c r="W25" s="3800">
        <v>20000000</v>
      </c>
      <c r="X25" s="3800"/>
      <c r="Y25" s="3800"/>
      <c r="Z25" s="464">
        <v>20</v>
      </c>
      <c r="AA25" s="463" t="s">
        <v>208</v>
      </c>
      <c r="AB25" s="3875"/>
      <c r="AC25" s="536"/>
      <c r="AD25" s="3875"/>
      <c r="AE25" s="536"/>
      <c r="AF25" s="3875"/>
      <c r="AG25" s="536"/>
      <c r="AH25" s="3875"/>
      <c r="AI25" s="536"/>
      <c r="AJ25" s="3875"/>
      <c r="AK25" s="536"/>
      <c r="AL25" s="3875"/>
      <c r="AM25" s="3875"/>
      <c r="AN25" s="3779"/>
      <c r="AO25" s="3779"/>
      <c r="AP25" s="3779"/>
      <c r="AQ25" s="3779"/>
      <c r="AR25" s="3779"/>
      <c r="AS25" s="3779"/>
      <c r="AT25" s="3779"/>
      <c r="AU25" s="3779"/>
      <c r="AV25" s="3779"/>
      <c r="AW25" s="3779"/>
      <c r="AX25" s="3779"/>
      <c r="AY25" s="3779"/>
      <c r="AZ25" s="3756"/>
      <c r="BA25" s="3756">
        <f>+X25</f>
        <v>0</v>
      </c>
      <c r="BB25" s="3756">
        <f>+Y25</f>
        <v>0</v>
      </c>
      <c r="BC25" s="3752">
        <v>0</v>
      </c>
      <c r="BD25" s="3804" t="s">
        <v>208</v>
      </c>
      <c r="BE25" s="3846"/>
      <c r="BF25" s="480">
        <v>42795</v>
      </c>
      <c r="BG25" s="3756"/>
      <c r="BH25" s="3756"/>
      <c r="BI25" s="3756"/>
      <c r="BJ25" s="3997"/>
    </row>
    <row r="26" spans="1:91" s="4" customFormat="1" ht="39.75" customHeight="1" x14ac:dyDescent="0.2">
      <c r="A26" s="3888"/>
      <c r="B26" s="3889"/>
      <c r="C26" s="3890"/>
      <c r="D26" s="3897"/>
      <c r="E26" s="3898"/>
      <c r="F26" s="3899"/>
      <c r="G26" s="3897"/>
      <c r="H26" s="3898"/>
      <c r="I26" s="3899"/>
      <c r="J26" s="3729"/>
      <c r="K26" s="3728"/>
      <c r="L26" s="3728"/>
      <c r="M26" s="3760"/>
      <c r="N26" s="3760"/>
      <c r="O26" s="3877"/>
      <c r="P26" s="3729"/>
      <c r="Q26" s="3728"/>
      <c r="R26" s="3881"/>
      <c r="S26" s="3703"/>
      <c r="T26" s="3728"/>
      <c r="U26" s="3728"/>
      <c r="V26" s="482" t="s">
        <v>1730</v>
      </c>
      <c r="W26" s="3813"/>
      <c r="X26" s="3813"/>
      <c r="Y26" s="3813"/>
      <c r="Z26" s="464">
        <v>20</v>
      </c>
      <c r="AA26" s="463" t="s">
        <v>208</v>
      </c>
      <c r="AB26" s="3875"/>
      <c r="AC26" s="536"/>
      <c r="AD26" s="3875"/>
      <c r="AE26" s="536"/>
      <c r="AF26" s="3875"/>
      <c r="AG26" s="536"/>
      <c r="AH26" s="3875"/>
      <c r="AI26" s="536"/>
      <c r="AJ26" s="3875"/>
      <c r="AK26" s="536"/>
      <c r="AL26" s="3875"/>
      <c r="AM26" s="3875"/>
      <c r="AN26" s="3779"/>
      <c r="AO26" s="3779"/>
      <c r="AP26" s="3779"/>
      <c r="AQ26" s="3779"/>
      <c r="AR26" s="3779"/>
      <c r="AS26" s="3779"/>
      <c r="AT26" s="3779"/>
      <c r="AU26" s="3779"/>
      <c r="AV26" s="3779"/>
      <c r="AW26" s="3779"/>
      <c r="AX26" s="3779"/>
      <c r="AY26" s="3779"/>
      <c r="AZ26" s="3779"/>
      <c r="BA26" s="3779"/>
      <c r="BB26" s="3779"/>
      <c r="BC26" s="3771"/>
      <c r="BD26" s="3820"/>
      <c r="BE26" s="3880"/>
      <c r="BF26" s="480">
        <v>42853</v>
      </c>
      <c r="BG26" s="3779"/>
      <c r="BH26" s="3779"/>
      <c r="BI26" s="3779"/>
      <c r="BJ26" s="3997"/>
    </row>
    <row r="27" spans="1:91" s="4" customFormat="1" ht="22.5" customHeight="1" x14ac:dyDescent="0.2">
      <c r="A27" s="3888"/>
      <c r="B27" s="3889"/>
      <c r="C27" s="3890"/>
      <c r="D27" s="3897"/>
      <c r="E27" s="3898"/>
      <c r="F27" s="3899"/>
      <c r="G27" s="3897"/>
      <c r="H27" s="3898"/>
      <c r="I27" s="3899"/>
      <c r="J27" s="3727"/>
      <c r="K27" s="3725"/>
      <c r="L27" s="3725"/>
      <c r="M27" s="3759"/>
      <c r="N27" s="3760"/>
      <c r="O27" s="3877"/>
      <c r="P27" s="3729"/>
      <c r="Q27" s="3728"/>
      <c r="R27" s="3755"/>
      <c r="S27" s="3703"/>
      <c r="T27" s="3728"/>
      <c r="U27" s="3725"/>
      <c r="V27" s="482" t="s">
        <v>1731</v>
      </c>
      <c r="W27" s="3801"/>
      <c r="X27" s="3801"/>
      <c r="Y27" s="3801"/>
      <c r="Z27" s="464">
        <v>20</v>
      </c>
      <c r="AA27" s="463" t="s">
        <v>208</v>
      </c>
      <c r="AB27" s="3875"/>
      <c r="AC27" s="536"/>
      <c r="AD27" s="3875"/>
      <c r="AE27" s="536"/>
      <c r="AF27" s="3875"/>
      <c r="AG27" s="536"/>
      <c r="AH27" s="3875"/>
      <c r="AI27" s="536"/>
      <c r="AJ27" s="3875"/>
      <c r="AK27" s="536"/>
      <c r="AL27" s="3875"/>
      <c r="AM27" s="3875"/>
      <c r="AN27" s="3779"/>
      <c r="AO27" s="3779"/>
      <c r="AP27" s="3779"/>
      <c r="AQ27" s="3779"/>
      <c r="AR27" s="3779"/>
      <c r="AS27" s="3779"/>
      <c r="AT27" s="3779"/>
      <c r="AU27" s="3779"/>
      <c r="AV27" s="3779"/>
      <c r="AW27" s="3779"/>
      <c r="AX27" s="3779"/>
      <c r="AY27" s="3779"/>
      <c r="AZ27" s="3757"/>
      <c r="BA27" s="3757"/>
      <c r="BB27" s="3757"/>
      <c r="BC27" s="3753"/>
      <c r="BD27" s="3805"/>
      <c r="BE27" s="3847"/>
      <c r="BF27" s="480">
        <v>42751</v>
      </c>
      <c r="BG27" s="3757"/>
      <c r="BH27" s="3757"/>
      <c r="BI27" s="3757"/>
      <c r="BJ27" s="3997"/>
    </row>
    <row r="28" spans="1:91" s="4" customFormat="1" ht="93.75" customHeight="1" x14ac:dyDescent="0.2">
      <c r="A28" s="3888"/>
      <c r="B28" s="3889"/>
      <c r="C28" s="3890"/>
      <c r="D28" s="3897"/>
      <c r="E28" s="3898"/>
      <c r="F28" s="3899"/>
      <c r="G28" s="3897"/>
      <c r="H28" s="3898"/>
      <c r="I28" s="3899"/>
      <c r="J28" s="471">
        <v>71</v>
      </c>
      <c r="K28" s="485" t="s">
        <v>1732</v>
      </c>
      <c r="L28" s="509" t="s">
        <v>1694</v>
      </c>
      <c r="M28" s="382">
        <v>2166</v>
      </c>
      <c r="N28" s="382">
        <v>2401</v>
      </c>
      <c r="O28" s="3877"/>
      <c r="P28" s="3729"/>
      <c r="Q28" s="3728"/>
      <c r="R28" s="510">
        <f>+W28/S23*100</f>
        <v>0</v>
      </c>
      <c r="S28" s="3703"/>
      <c r="T28" s="3728"/>
      <c r="U28" s="13" t="s">
        <v>1733</v>
      </c>
      <c r="V28" s="482" t="s">
        <v>1724</v>
      </c>
      <c r="W28" s="369">
        <v>0</v>
      </c>
      <c r="X28" s="369"/>
      <c r="Y28" s="369"/>
      <c r="Z28" s="464"/>
      <c r="AA28" s="463"/>
      <c r="AB28" s="3875"/>
      <c r="AC28" s="536">
        <v>2732</v>
      </c>
      <c r="AD28" s="3875"/>
      <c r="AE28" s="536">
        <v>17360</v>
      </c>
      <c r="AF28" s="3875"/>
      <c r="AG28" s="536"/>
      <c r="AH28" s="3875"/>
      <c r="AI28" s="536">
        <v>21116</v>
      </c>
      <c r="AJ28" s="3875"/>
      <c r="AK28" s="536">
        <v>4451</v>
      </c>
      <c r="AL28" s="3875"/>
      <c r="AM28" s="3875"/>
      <c r="AN28" s="3779"/>
      <c r="AO28" s="3779"/>
      <c r="AP28" s="3779"/>
      <c r="AQ28" s="3779"/>
      <c r="AR28" s="3779"/>
      <c r="AS28" s="3779"/>
      <c r="AT28" s="3779"/>
      <c r="AU28" s="3779"/>
      <c r="AV28" s="3779"/>
      <c r="AW28" s="3779"/>
      <c r="AX28" s="3779"/>
      <c r="AY28" s="3779"/>
      <c r="AZ28" s="484"/>
      <c r="BA28" s="524">
        <f>+X28</f>
        <v>0</v>
      </c>
      <c r="BB28" s="524">
        <f>+Y28</f>
        <v>0</v>
      </c>
      <c r="BC28" s="373">
        <v>0</v>
      </c>
      <c r="BD28" s="463"/>
      <c r="BE28" s="461"/>
      <c r="BF28" s="480">
        <v>42751</v>
      </c>
      <c r="BG28" s="383"/>
      <c r="BH28" s="480">
        <v>42780</v>
      </c>
      <c r="BI28" s="383"/>
      <c r="BJ28" s="3997"/>
    </row>
    <row r="29" spans="1:91" s="4" customFormat="1" ht="112.5" customHeight="1" x14ac:dyDescent="0.2">
      <c r="A29" s="3888"/>
      <c r="B29" s="3889"/>
      <c r="C29" s="3890"/>
      <c r="D29" s="3897"/>
      <c r="E29" s="3898"/>
      <c r="F29" s="3899"/>
      <c r="G29" s="3897"/>
      <c r="H29" s="3898"/>
      <c r="I29" s="3899"/>
      <c r="J29" s="471">
        <v>72</v>
      </c>
      <c r="K29" s="485" t="s">
        <v>1734</v>
      </c>
      <c r="L29" s="509" t="s">
        <v>1694</v>
      </c>
      <c r="M29" s="382">
        <v>455</v>
      </c>
      <c r="N29" s="382">
        <v>200</v>
      </c>
      <c r="O29" s="3877"/>
      <c r="P29" s="3729"/>
      <c r="Q29" s="3728"/>
      <c r="R29" s="510">
        <f>+W29/S23*100</f>
        <v>0.8090614886731391</v>
      </c>
      <c r="S29" s="3703"/>
      <c r="T29" s="3728"/>
      <c r="U29" s="384" t="s">
        <v>1735</v>
      </c>
      <c r="V29" s="482" t="s">
        <v>1724</v>
      </c>
      <c r="W29" s="369">
        <v>10000000</v>
      </c>
      <c r="X29" s="369"/>
      <c r="Y29" s="369"/>
      <c r="Z29" s="464">
        <v>20</v>
      </c>
      <c r="AA29" s="463" t="s">
        <v>208</v>
      </c>
      <c r="AB29" s="3875"/>
      <c r="AC29" s="536"/>
      <c r="AD29" s="3875"/>
      <c r="AE29" s="536"/>
      <c r="AF29" s="3875"/>
      <c r="AG29" s="536"/>
      <c r="AH29" s="3875"/>
      <c r="AI29" s="536"/>
      <c r="AJ29" s="3875"/>
      <c r="AK29" s="536"/>
      <c r="AL29" s="3875"/>
      <c r="AM29" s="3875"/>
      <c r="AN29" s="3779"/>
      <c r="AO29" s="3779"/>
      <c r="AP29" s="3779"/>
      <c r="AQ29" s="3779"/>
      <c r="AR29" s="3779"/>
      <c r="AS29" s="3779"/>
      <c r="AT29" s="3779"/>
      <c r="AU29" s="3779"/>
      <c r="AV29" s="3779"/>
      <c r="AW29" s="3779"/>
      <c r="AX29" s="3779"/>
      <c r="AY29" s="3779"/>
      <c r="AZ29" s="484"/>
      <c r="BA29" s="524">
        <f>+X29</f>
        <v>0</v>
      </c>
      <c r="BB29" s="524">
        <f>+Y29</f>
        <v>0</v>
      </c>
      <c r="BC29" s="373">
        <v>0</v>
      </c>
      <c r="BD29" s="463" t="s">
        <v>208</v>
      </c>
      <c r="BE29" s="461"/>
      <c r="BF29" s="480">
        <v>42751</v>
      </c>
      <c r="BG29" s="383"/>
      <c r="BH29" s="480">
        <v>42780</v>
      </c>
      <c r="BI29" s="383"/>
      <c r="BJ29" s="3998"/>
    </row>
    <row r="30" spans="1:91" s="4" customFormat="1" ht="37.5" customHeight="1" x14ac:dyDescent="0.2">
      <c r="A30" s="3888"/>
      <c r="B30" s="3889"/>
      <c r="C30" s="3890"/>
      <c r="D30" s="3897"/>
      <c r="E30" s="3898"/>
      <c r="F30" s="3899"/>
      <c r="G30" s="3897"/>
      <c r="H30" s="3898"/>
      <c r="I30" s="3899"/>
      <c r="J30" s="3726">
        <v>73</v>
      </c>
      <c r="K30" s="3724" t="s">
        <v>1736</v>
      </c>
      <c r="L30" s="3724" t="s">
        <v>1694</v>
      </c>
      <c r="M30" s="3748">
        <v>1</v>
      </c>
      <c r="N30" s="3748">
        <v>1</v>
      </c>
      <c r="O30" s="3877"/>
      <c r="P30" s="3729"/>
      <c r="Q30" s="3728"/>
      <c r="R30" s="385">
        <f>+W30/S23*100</f>
        <v>0</v>
      </c>
      <c r="S30" s="3703"/>
      <c r="T30" s="3728"/>
      <c r="U30" s="3724" t="s">
        <v>1737</v>
      </c>
      <c r="V30" s="482" t="s">
        <v>1731</v>
      </c>
      <c r="W30" s="369">
        <v>0</v>
      </c>
      <c r="X30" s="369"/>
      <c r="Y30" s="369"/>
      <c r="Z30" s="464"/>
      <c r="AA30" s="463"/>
      <c r="AB30" s="3875"/>
      <c r="AC30" s="536"/>
      <c r="AD30" s="3875"/>
      <c r="AE30" s="536"/>
      <c r="AF30" s="3875"/>
      <c r="AG30" s="536"/>
      <c r="AH30" s="3875"/>
      <c r="AI30" s="536"/>
      <c r="AJ30" s="3875"/>
      <c r="AK30" s="536"/>
      <c r="AL30" s="3875"/>
      <c r="AM30" s="3875"/>
      <c r="AN30" s="3779"/>
      <c r="AO30" s="3779"/>
      <c r="AP30" s="3779"/>
      <c r="AQ30" s="3779"/>
      <c r="AR30" s="3779"/>
      <c r="AS30" s="3779"/>
      <c r="AT30" s="3779"/>
      <c r="AU30" s="3779"/>
      <c r="AV30" s="3779"/>
      <c r="AW30" s="3779"/>
      <c r="AX30" s="3779"/>
      <c r="AY30" s="3779"/>
      <c r="AZ30" s="3756">
        <v>12</v>
      </c>
      <c r="BA30" s="3883">
        <f>SUM(X30:X33)</f>
        <v>37232000</v>
      </c>
      <c r="BB30" s="3883">
        <f>SUM(Y30:Y33)</f>
        <v>25715000</v>
      </c>
      <c r="BC30" s="3752">
        <f>BB30/BA30</f>
        <v>0.69066931671680276</v>
      </c>
      <c r="BD30" s="3804" t="s">
        <v>1738</v>
      </c>
      <c r="BE30" s="3846" t="s">
        <v>1739</v>
      </c>
      <c r="BF30" s="3871">
        <v>42751</v>
      </c>
      <c r="BG30" s="3750">
        <v>42759</v>
      </c>
      <c r="BH30" s="3871">
        <v>43069</v>
      </c>
      <c r="BI30" s="3750">
        <v>42803</v>
      </c>
      <c r="BJ30" s="3846" t="s">
        <v>1704</v>
      </c>
    </row>
    <row r="31" spans="1:91" s="4" customFormat="1" ht="45.75" customHeight="1" x14ac:dyDescent="0.2">
      <c r="A31" s="3888"/>
      <c r="B31" s="3889"/>
      <c r="C31" s="3890"/>
      <c r="D31" s="3897"/>
      <c r="E31" s="3898"/>
      <c r="F31" s="3899"/>
      <c r="G31" s="3897"/>
      <c r="H31" s="3898"/>
      <c r="I31" s="3899"/>
      <c r="J31" s="3729"/>
      <c r="K31" s="3728"/>
      <c r="L31" s="3728"/>
      <c r="M31" s="3775"/>
      <c r="N31" s="3775"/>
      <c r="O31" s="3877"/>
      <c r="P31" s="3729"/>
      <c r="Q31" s="3728"/>
      <c r="R31" s="3754">
        <f>+W31/S23*100</f>
        <v>95.954692556634299</v>
      </c>
      <c r="S31" s="3703"/>
      <c r="T31" s="3728"/>
      <c r="U31" s="3728"/>
      <c r="V31" s="34" t="s">
        <v>1740</v>
      </c>
      <c r="W31" s="3800">
        <v>1186000000</v>
      </c>
      <c r="X31" s="371">
        <v>25148000</v>
      </c>
      <c r="Y31" s="386">
        <v>13631000</v>
      </c>
      <c r="Z31" s="3811">
        <v>25</v>
      </c>
      <c r="AA31" s="3804" t="s">
        <v>1738</v>
      </c>
      <c r="AB31" s="3875"/>
      <c r="AC31" s="536"/>
      <c r="AD31" s="3875"/>
      <c r="AE31" s="536"/>
      <c r="AF31" s="3875"/>
      <c r="AG31" s="536"/>
      <c r="AH31" s="3875"/>
      <c r="AI31" s="536"/>
      <c r="AJ31" s="3875"/>
      <c r="AK31" s="536"/>
      <c r="AL31" s="3875"/>
      <c r="AM31" s="3875"/>
      <c r="AN31" s="3779"/>
      <c r="AO31" s="3779"/>
      <c r="AP31" s="3779"/>
      <c r="AQ31" s="3779"/>
      <c r="AR31" s="3779"/>
      <c r="AS31" s="3779"/>
      <c r="AT31" s="3779"/>
      <c r="AU31" s="3779"/>
      <c r="AV31" s="3779"/>
      <c r="AW31" s="3779"/>
      <c r="AX31" s="3779"/>
      <c r="AY31" s="3779"/>
      <c r="AZ31" s="3779"/>
      <c r="BA31" s="3884"/>
      <c r="BB31" s="3884"/>
      <c r="BC31" s="3771"/>
      <c r="BD31" s="3820"/>
      <c r="BE31" s="3880"/>
      <c r="BF31" s="3872"/>
      <c r="BG31" s="3731"/>
      <c r="BH31" s="3872"/>
      <c r="BI31" s="3731"/>
      <c r="BJ31" s="3880"/>
    </row>
    <row r="32" spans="1:91" s="4" customFormat="1" ht="45.75" customHeight="1" x14ac:dyDescent="0.2">
      <c r="A32" s="3888"/>
      <c r="B32" s="3889"/>
      <c r="C32" s="3890"/>
      <c r="D32" s="3897"/>
      <c r="E32" s="3898"/>
      <c r="F32" s="3899"/>
      <c r="G32" s="3897"/>
      <c r="H32" s="3898"/>
      <c r="I32" s="3899"/>
      <c r="J32" s="3729"/>
      <c r="K32" s="3728"/>
      <c r="L32" s="3728"/>
      <c r="M32" s="3775"/>
      <c r="N32" s="3775"/>
      <c r="O32" s="3877"/>
      <c r="P32" s="3729"/>
      <c r="Q32" s="3728"/>
      <c r="R32" s="3881"/>
      <c r="S32" s="3703"/>
      <c r="T32" s="3728"/>
      <c r="U32" s="3728"/>
      <c r="V32" s="3" t="s">
        <v>1741</v>
      </c>
      <c r="W32" s="3813"/>
      <c r="X32" s="371">
        <v>12084000</v>
      </c>
      <c r="Y32" s="386">
        <f>2505000+2100000+2100000+2100000+1027000+1027000+1225000</f>
        <v>12084000</v>
      </c>
      <c r="Z32" s="3882"/>
      <c r="AA32" s="3820"/>
      <c r="AB32" s="3875"/>
      <c r="AC32" s="536"/>
      <c r="AD32" s="3875"/>
      <c r="AE32" s="536"/>
      <c r="AF32" s="3875"/>
      <c r="AG32" s="536"/>
      <c r="AH32" s="3875"/>
      <c r="AI32" s="536"/>
      <c r="AJ32" s="3875"/>
      <c r="AK32" s="536"/>
      <c r="AL32" s="3875"/>
      <c r="AM32" s="3875"/>
      <c r="AN32" s="3779"/>
      <c r="AO32" s="3779"/>
      <c r="AP32" s="3779"/>
      <c r="AQ32" s="3779"/>
      <c r="AR32" s="3779"/>
      <c r="AS32" s="3779"/>
      <c r="AT32" s="3779"/>
      <c r="AU32" s="3779"/>
      <c r="AV32" s="3779"/>
      <c r="AW32" s="3779"/>
      <c r="AX32" s="3779"/>
      <c r="AY32" s="3779"/>
      <c r="AZ32" s="3779"/>
      <c r="BA32" s="3884"/>
      <c r="BB32" s="3884"/>
      <c r="BC32" s="3771"/>
      <c r="BD32" s="3820"/>
      <c r="BE32" s="3880"/>
      <c r="BF32" s="3872"/>
      <c r="BG32" s="3731"/>
      <c r="BH32" s="3872"/>
      <c r="BI32" s="3731"/>
      <c r="BJ32" s="3880"/>
    </row>
    <row r="33" spans="1:62" s="4" customFormat="1" ht="40.5" customHeight="1" x14ac:dyDescent="0.2">
      <c r="A33" s="3891"/>
      <c r="B33" s="3892"/>
      <c r="C33" s="3893"/>
      <c r="D33" s="3900"/>
      <c r="E33" s="3901"/>
      <c r="F33" s="3902"/>
      <c r="G33" s="3900"/>
      <c r="H33" s="3901"/>
      <c r="I33" s="3902"/>
      <c r="J33" s="3727"/>
      <c r="K33" s="3725"/>
      <c r="L33" s="3725"/>
      <c r="M33" s="3749"/>
      <c r="N33" s="3749"/>
      <c r="O33" s="3878"/>
      <c r="P33" s="3727"/>
      <c r="Q33" s="3725"/>
      <c r="R33" s="3755"/>
      <c r="S33" s="3704"/>
      <c r="T33" s="3725"/>
      <c r="U33" s="3725"/>
      <c r="V33" s="3" t="s">
        <v>1742</v>
      </c>
      <c r="W33" s="3801"/>
      <c r="X33" s="371"/>
      <c r="Y33" s="386"/>
      <c r="Z33" s="3812"/>
      <c r="AA33" s="3805"/>
      <c r="AB33" s="3876"/>
      <c r="AC33" s="537"/>
      <c r="AD33" s="3876"/>
      <c r="AE33" s="537"/>
      <c r="AF33" s="3876"/>
      <c r="AG33" s="537"/>
      <c r="AH33" s="3876"/>
      <c r="AI33" s="537"/>
      <c r="AJ33" s="3876"/>
      <c r="AK33" s="537"/>
      <c r="AL33" s="3876"/>
      <c r="AM33" s="3876"/>
      <c r="AN33" s="3757"/>
      <c r="AO33" s="3757"/>
      <c r="AP33" s="3757"/>
      <c r="AQ33" s="3757"/>
      <c r="AR33" s="3757"/>
      <c r="AS33" s="3757"/>
      <c r="AT33" s="3757"/>
      <c r="AU33" s="3757"/>
      <c r="AV33" s="3757"/>
      <c r="AW33" s="3757"/>
      <c r="AX33" s="3757"/>
      <c r="AY33" s="3757"/>
      <c r="AZ33" s="3757"/>
      <c r="BA33" s="3885"/>
      <c r="BB33" s="3885"/>
      <c r="BC33" s="3753"/>
      <c r="BD33" s="3805"/>
      <c r="BE33" s="3847"/>
      <c r="BF33" s="3873"/>
      <c r="BG33" s="3732"/>
      <c r="BH33" s="3873"/>
      <c r="BI33" s="3732"/>
      <c r="BJ33" s="3847"/>
    </row>
    <row r="34" spans="1:62" s="378" customFormat="1" ht="12.75" x14ac:dyDescent="0.2">
      <c r="A34" s="3861"/>
      <c r="B34" s="3862"/>
      <c r="C34" s="3862"/>
      <c r="D34" s="3862"/>
      <c r="E34" s="3862"/>
      <c r="F34" s="3863"/>
      <c r="G34" s="375">
        <v>18</v>
      </c>
      <c r="H34" s="3864" t="s">
        <v>1743</v>
      </c>
      <c r="I34" s="3723"/>
      <c r="J34" s="3723"/>
      <c r="K34" s="3723"/>
      <c r="L34" s="3723"/>
      <c r="M34" s="3723"/>
      <c r="N34" s="364"/>
      <c r="O34" s="564"/>
      <c r="P34" s="17"/>
      <c r="Q34" s="564"/>
      <c r="R34" s="17"/>
      <c r="S34" s="17"/>
      <c r="T34" s="564"/>
      <c r="U34" s="564"/>
      <c r="V34" s="564"/>
      <c r="W34" s="312">
        <f>SUM(W35)</f>
        <v>106571580996</v>
      </c>
      <c r="X34" s="312">
        <f t="shared" ref="X34:Y34" si="3">SUM(X35)</f>
        <v>22580811987</v>
      </c>
      <c r="Y34" s="312">
        <f t="shared" si="3"/>
        <v>21782925087</v>
      </c>
      <c r="Z34" s="17"/>
      <c r="AA34" s="17"/>
      <c r="AB34" s="17"/>
      <c r="AC34" s="17"/>
      <c r="AD34" s="17"/>
      <c r="AE34" s="17"/>
      <c r="AF34" s="17"/>
      <c r="AG34" s="17"/>
      <c r="AH34" s="17"/>
      <c r="AI34" s="17"/>
      <c r="AJ34" s="17"/>
      <c r="AK34" s="17"/>
      <c r="AL34" s="17"/>
      <c r="AM34" s="315"/>
      <c r="AN34" s="315"/>
      <c r="AO34" s="315"/>
      <c r="AP34" s="315"/>
      <c r="AQ34" s="315"/>
      <c r="AR34" s="315"/>
      <c r="AS34" s="315"/>
      <c r="AT34" s="315"/>
      <c r="AU34" s="315"/>
      <c r="AV34" s="315"/>
      <c r="AW34" s="315"/>
      <c r="AX34" s="315"/>
      <c r="AY34" s="315"/>
      <c r="AZ34" s="387">
        <v>13</v>
      </c>
      <c r="BA34" s="312">
        <f t="shared" ref="BA34:BB34" si="4">SUM(BA35)</f>
        <v>22580811987</v>
      </c>
      <c r="BB34" s="312">
        <f t="shared" si="4"/>
        <v>21782925087</v>
      </c>
      <c r="BC34" s="377">
        <f>+BA34/W34</f>
        <v>0.21188399173554098</v>
      </c>
      <c r="BD34" s="17"/>
      <c r="BE34" s="1598"/>
      <c r="BF34" s="388"/>
      <c r="BG34" s="388"/>
      <c r="BH34" s="388"/>
      <c r="BI34" s="388"/>
      <c r="BJ34" s="18"/>
    </row>
    <row r="35" spans="1:62" s="4" customFormat="1" ht="204" x14ac:dyDescent="0.2">
      <c r="A35" s="3865"/>
      <c r="B35" s="3866"/>
      <c r="C35" s="3867"/>
      <c r="D35" s="3868"/>
      <c r="E35" s="3869"/>
      <c r="F35" s="3870"/>
      <c r="G35" s="3868"/>
      <c r="H35" s="3869"/>
      <c r="I35" s="3870"/>
      <c r="J35" s="471">
        <v>74</v>
      </c>
      <c r="K35" s="485" t="s">
        <v>1744</v>
      </c>
      <c r="L35" s="485" t="s">
        <v>1694</v>
      </c>
      <c r="M35" s="382">
        <v>2232</v>
      </c>
      <c r="N35" s="382">
        <v>2232</v>
      </c>
      <c r="O35" s="460" t="s">
        <v>1745</v>
      </c>
      <c r="P35" s="471">
        <v>87</v>
      </c>
      <c r="Q35" s="485" t="s">
        <v>1746</v>
      </c>
      <c r="R35" s="510">
        <f>+W35/S35*100</f>
        <v>100</v>
      </c>
      <c r="S35" s="389">
        <f>SUM(W35)</f>
        <v>106571580996</v>
      </c>
      <c r="T35" s="466" t="s">
        <v>1747</v>
      </c>
      <c r="U35" s="485" t="s">
        <v>1748</v>
      </c>
      <c r="V35" s="482" t="s">
        <v>1749</v>
      </c>
      <c r="W35" s="369">
        <f>107836580996-1265000000</f>
        <v>106571580996</v>
      </c>
      <c r="X35" s="369">
        <v>22580811987</v>
      </c>
      <c r="Y35" s="369">
        <v>21782925087</v>
      </c>
      <c r="Z35" s="484">
        <v>25</v>
      </c>
      <c r="AA35" s="471" t="s">
        <v>1750</v>
      </c>
      <c r="AB35" s="390">
        <v>2732</v>
      </c>
      <c r="AC35" s="390"/>
      <c r="AD35" s="390">
        <v>17360</v>
      </c>
      <c r="AE35" s="390">
        <v>17360</v>
      </c>
      <c r="AF35" s="390"/>
      <c r="AG35" s="390"/>
      <c r="AH35" s="390">
        <v>21116</v>
      </c>
      <c r="AI35" s="390">
        <v>21116</v>
      </c>
      <c r="AJ35" s="390">
        <v>4451</v>
      </c>
      <c r="AK35" s="390">
        <v>4451</v>
      </c>
      <c r="AL35" s="390">
        <v>56</v>
      </c>
      <c r="AM35" s="390">
        <v>56</v>
      </c>
      <c r="AN35" s="484"/>
      <c r="AO35" s="484"/>
      <c r="AP35" s="484"/>
      <c r="AQ35" s="484"/>
      <c r="AR35" s="484"/>
      <c r="AS35" s="484"/>
      <c r="AT35" s="484"/>
      <c r="AU35" s="484"/>
      <c r="AV35" s="484"/>
      <c r="AW35" s="484"/>
      <c r="AX35" s="484"/>
      <c r="AY35" s="484"/>
      <c r="AZ35" s="484"/>
      <c r="BA35" s="524">
        <f t="shared" ref="BA35:BB35" si="5">+X35</f>
        <v>22580811987</v>
      </c>
      <c r="BB35" s="524">
        <f t="shared" si="5"/>
        <v>21782925087</v>
      </c>
      <c r="BC35" s="373">
        <f>BB35/BA35</f>
        <v>0.96466526976712119</v>
      </c>
      <c r="BD35" s="484" t="s">
        <v>1738</v>
      </c>
      <c r="BE35" s="461" t="s">
        <v>1751</v>
      </c>
      <c r="BF35" s="480">
        <v>42736</v>
      </c>
      <c r="BG35" s="504">
        <v>42793</v>
      </c>
      <c r="BH35" s="480">
        <v>43100</v>
      </c>
      <c r="BI35" s="504">
        <v>43065</v>
      </c>
      <c r="BJ35" s="519" t="s">
        <v>1704</v>
      </c>
    </row>
    <row r="36" spans="1:62" s="4" customFormat="1" ht="12.75" x14ac:dyDescent="0.2">
      <c r="A36" s="3710"/>
      <c r="B36" s="3710"/>
      <c r="C36" s="3710"/>
      <c r="D36" s="391">
        <v>6</v>
      </c>
      <c r="E36" s="3712" t="s">
        <v>1752</v>
      </c>
      <c r="F36" s="3713"/>
      <c r="G36" s="3713"/>
      <c r="H36" s="3713"/>
      <c r="I36" s="3713"/>
      <c r="J36" s="3713"/>
      <c r="K36" s="3713"/>
      <c r="L36" s="15"/>
      <c r="M36" s="356"/>
      <c r="N36" s="356"/>
      <c r="O36" s="15"/>
      <c r="P36" s="16"/>
      <c r="Q36" s="15"/>
      <c r="R36" s="392"/>
      <c r="S36" s="309"/>
      <c r="T36" s="15"/>
      <c r="U36" s="15"/>
      <c r="V36" s="15"/>
      <c r="W36" s="310"/>
      <c r="X36" s="310"/>
      <c r="Y36" s="310"/>
      <c r="Z36" s="21"/>
      <c r="AA36" s="16"/>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393"/>
      <c r="BA36" s="14"/>
      <c r="BB36" s="14"/>
      <c r="BC36" s="311"/>
      <c r="BD36" s="14"/>
      <c r="BE36" s="1599"/>
      <c r="BF36" s="394"/>
      <c r="BG36" s="394"/>
      <c r="BH36" s="394"/>
      <c r="BI36" s="394"/>
      <c r="BJ36" s="22"/>
    </row>
    <row r="37" spans="1:62" s="4" customFormat="1" ht="12.75" x14ac:dyDescent="0.2">
      <c r="A37" s="395"/>
      <c r="B37" s="545"/>
      <c r="C37" s="545"/>
      <c r="D37" s="3714"/>
      <c r="E37" s="3715"/>
      <c r="F37" s="3716"/>
      <c r="G37" s="396">
        <v>19</v>
      </c>
      <c r="H37" s="3723" t="s">
        <v>1753</v>
      </c>
      <c r="I37" s="3723"/>
      <c r="J37" s="3723"/>
      <c r="K37" s="3723"/>
      <c r="L37" s="564"/>
      <c r="M37" s="364"/>
      <c r="N37" s="364"/>
      <c r="O37" s="564"/>
      <c r="P37" s="17"/>
      <c r="Q37" s="564"/>
      <c r="R37" s="17"/>
      <c r="S37" s="17"/>
      <c r="T37" s="564"/>
      <c r="U37" s="564"/>
      <c r="V37" s="564"/>
      <c r="W37" s="312">
        <f>SUM(W38:W46)</f>
        <v>183000000</v>
      </c>
      <c r="X37" s="312">
        <f t="shared" ref="X37:Y37" si="6">SUM(X38:X46)</f>
        <v>80454816</v>
      </c>
      <c r="Y37" s="312">
        <f t="shared" si="6"/>
        <v>0</v>
      </c>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1"/>
      <c r="BA37" s="312">
        <f t="shared" ref="BA37:BB37" si="7">SUM(BA38:BA46)</f>
        <v>80454816</v>
      </c>
      <c r="BB37" s="312">
        <f t="shared" si="7"/>
        <v>0</v>
      </c>
      <c r="BC37" s="377">
        <f>+BA37/W37</f>
        <v>0.43964380327868852</v>
      </c>
      <c r="BD37" s="17"/>
      <c r="BE37" s="1600"/>
      <c r="BF37" s="388"/>
      <c r="BG37" s="388"/>
      <c r="BH37" s="388"/>
      <c r="BI37" s="388"/>
      <c r="BJ37" s="18"/>
    </row>
    <row r="38" spans="1:62" s="4" customFormat="1" ht="90" customHeight="1" x14ac:dyDescent="0.2">
      <c r="A38" s="397"/>
      <c r="B38" s="397"/>
      <c r="C38" s="397"/>
      <c r="D38" s="3761"/>
      <c r="E38" s="3721"/>
      <c r="F38" s="3722"/>
      <c r="G38" s="560"/>
      <c r="H38" s="561"/>
      <c r="I38" s="561"/>
      <c r="J38" s="471">
        <v>75</v>
      </c>
      <c r="K38" s="485" t="s">
        <v>1754</v>
      </c>
      <c r="L38" s="485" t="s">
        <v>1694</v>
      </c>
      <c r="M38" s="559">
        <v>27</v>
      </c>
      <c r="N38" s="559">
        <v>0</v>
      </c>
      <c r="O38" s="13"/>
      <c r="P38" s="3726">
        <v>89</v>
      </c>
      <c r="Q38" s="3724" t="s">
        <v>1755</v>
      </c>
      <c r="R38" s="510">
        <f>+W38/S38*100</f>
        <v>0</v>
      </c>
      <c r="S38" s="3702">
        <f>SUM(W38:W46)</f>
        <v>183000000</v>
      </c>
      <c r="T38" s="3724" t="s">
        <v>1756</v>
      </c>
      <c r="U38" s="485" t="s">
        <v>1757</v>
      </c>
      <c r="V38" s="507" t="s">
        <v>1758</v>
      </c>
      <c r="W38" s="389">
        <v>0</v>
      </c>
      <c r="X38" s="389"/>
      <c r="Y38" s="389"/>
      <c r="Z38" s="484"/>
      <c r="AA38" s="471"/>
      <c r="AB38" s="3756">
        <v>2732</v>
      </c>
      <c r="AC38" s="474"/>
      <c r="AD38" s="3730">
        <v>17360</v>
      </c>
      <c r="AE38" s="548"/>
      <c r="AF38" s="3855"/>
      <c r="AG38" s="548"/>
      <c r="AH38" s="3858">
        <v>21116</v>
      </c>
      <c r="AI38" s="551"/>
      <c r="AJ38" s="3855">
        <v>4451</v>
      </c>
      <c r="AK38" s="548"/>
      <c r="AL38" s="3855">
        <v>56</v>
      </c>
      <c r="AM38" s="548"/>
      <c r="AN38" s="3853"/>
      <c r="AO38" s="3702"/>
      <c r="AP38" s="3702"/>
      <c r="AQ38" s="3702"/>
      <c r="AR38" s="3702"/>
      <c r="AS38" s="3702"/>
      <c r="AT38" s="3702"/>
      <c r="AU38" s="3702"/>
      <c r="AV38" s="3702"/>
      <c r="AW38" s="3702"/>
      <c r="AX38" s="3702"/>
      <c r="AY38" s="3702"/>
      <c r="AZ38" s="389"/>
      <c r="BA38" s="524">
        <f t="shared" ref="BA38:BB38" si="8">+X38</f>
        <v>0</v>
      </c>
      <c r="BB38" s="524">
        <f t="shared" si="8"/>
        <v>0</v>
      </c>
      <c r="BC38" s="373">
        <v>0</v>
      </c>
      <c r="BD38" s="389"/>
      <c r="BE38" s="461"/>
      <c r="BF38" s="504">
        <v>42767</v>
      </c>
      <c r="BG38" s="383"/>
      <c r="BH38" s="504">
        <v>43038</v>
      </c>
      <c r="BI38" s="383"/>
      <c r="BJ38" s="409"/>
    </row>
    <row r="39" spans="1:62" s="4" customFormat="1" ht="47.25" customHeight="1" x14ac:dyDescent="0.2">
      <c r="A39" s="29"/>
      <c r="B39" s="29"/>
      <c r="C39" s="29"/>
      <c r="D39" s="3761"/>
      <c r="E39" s="3721"/>
      <c r="F39" s="3722"/>
      <c r="G39" s="560"/>
      <c r="H39" s="561"/>
      <c r="I39" s="561"/>
      <c r="J39" s="3726">
        <v>76</v>
      </c>
      <c r="K39" s="3724" t="s">
        <v>1759</v>
      </c>
      <c r="L39" s="3724" t="s">
        <v>1694</v>
      </c>
      <c r="M39" s="3758">
        <v>600</v>
      </c>
      <c r="N39" s="3758">
        <v>250</v>
      </c>
      <c r="O39" s="3850" t="s">
        <v>1760</v>
      </c>
      <c r="P39" s="3729"/>
      <c r="Q39" s="3728"/>
      <c r="R39" s="3754">
        <f>+W39/S38*100</f>
        <v>100</v>
      </c>
      <c r="S39" s="3703"/>
      <c r="T39" s="3728"/>
      <c r="U39" s="3724" t="s">
        <v>1761</v>
      </c>
      <c r="V39" s="3852" t="s">
        <v>1762</v>
      </c>
      <c r="W39" s="3702">
        <f>103000000+80000000</f>
        <v>183000000</v>
      </c>
      <c r="X39" s="3702">
        <f>12954816+10000000+11500000+11500000+11500000+11500000+11500000</f>
        <v>80454816</v>
      </c>
      <c r="Y39" s="3702">
        <v>0</v>
      </c>
      <c r="Z39" s="3756">
        <v>35</v>
      </c>
      <c r="AA39" s="3726" t="s">
        <v>1700</v>
      </c>
      <c r="AB39" s="3779"/>
      <c r="AC39" s="475"/>
      <c r="AD39" s="3731"/>
      <c r="AE39" s="549"/>
      <c r="AF39" s="3856"/>
      <c r="AG39" s="549"/>
      <c r="AH39" s="3859"/>
      <c r="AI39" s="552"/>
      <c r="AJ39" s="3856"/>
      <c r="AK39" s="549"/>
      <c r="AL39" s="3856"/>
      <c r="AM39" s="549"/>
      <c r="AN39" s="3827"/>
      <c r="AO39" s="3703"/>
      <c r="AP39" s="3703"/>
      <c r="AQ39" s="3703"/>
      <c r="AR39" s="3703"/>
      <c r="AS39" s="3703"/>
      <c r="AT39" s="3703"/>
      <c r="AU39" s="3703"/>
      <c r="AV39" s="3703"/>
      <c r="AW39" s="3703"/>
      <c r="AX39" s="3703"/>
      <c r="AY39" s="3703"/>
      <c r="AZ39" s="3702">
        <v>11</v>
      </c>
      <c r="BA39" s="3702">
        <f>+X39</f>
        <v>80454816</v>
      </c>
      <c r="BB39" s="3702">
        <f>+Y39</f>
        <v>0</v>
      </c>
      <c r="BC39" s="3752">
        <f>BB39/BA39</f>
        <v>0</v>
      </c>
      <c r="BD39" s="3702" t="s">
        <v>1763</v>
      </c>
      <c r="BE39" s="3846" t="s">
        <v>1764</v>
      </c>
      <c r="BF39" s="3826">
        <v>42767</v>
      </c>
      <c r="BG39" s="3849" t="s">
        <v>1765</v>
      </c>
      <c r="BH39" s="3826">
        <v>43049</v>
      </c>
      <c r="BI39" s="3826" t="s">
        <v>1766</v>
      </c>
      <c r="BJ39" s="3827" t="s">
        <v>1704</v>
      </c>
    </row>
    <row r="40" spans="1:62" s="4" customFormat="1" ht="64.5" customHeight="1" x14ac:dyDescent="0.2">
      <c r="A40" s="29"/>
      <c r="B40" s="29"/>
      <c r="C40" s="29"/>
      <c r="D40" s="3761"/>
      <c r="E40" s="3721"/>
      <c r="F40" s="3722"/>
      <c r="G40" s="560"/>
      <c r="H40" s="561"/>
      <c r="I40" s="561"/>
      <c r="J40" s="3727"/>
      <c r="K40" s="3725"/>
      <c r="L40" s="3725"/>
      <c r="M40" s="3759"/>
      <c r="N40" s="3759"/>
      <c r="O40" s="3851"/>
      <c r="P40" s="3729"/>
      <c r="Q40" s="3728"/>
      <c r="R40" s="3755"/>
      <c r="S40" s="3703"/>
      <c r="T40" s="3728"/>
      <c r="U40" s="3725"/>
      <c r="V40" s="3725"/>
      <c r="W40" s="3704"/>
      <c r="X40" s="3704"/>
      <c r="Y40" s="3704"/>
      <c r="Z40" s="3757"/>
      <c r="AA40" s="3727"/>
      <c r="AB40" s="3779"/>
      <c r="AC40" s="475"/>
      <c r="AD40" s="3731"/>
      <c r="AE40" s="549"/>
      <c r="AF40" s="3856"/>
      <c r="AG40" s="549"/>
      <c r="AH40" s="3859"/>
      <c r="AI40" s="552"/>
      <c r="AJ40" s="3856"/>
      <c r="AK40" s="549"/>
      <c r="AL40" s="3856"/>
      <c r="AM40" s="549"/>
      <c r="AN40" s="3827"/>
      <c r="AO40" s="3703"/>
      <c r="AP40" s="3703"/>
      <c r="AQ40" s="3703"/>
      <c r="AR40" s="3703"/>
      <c r="AS40" s="3703"/>
      <c r="AT40" s="3703"/>
      <c r="AU40" s="3703"/>
      <c r="AV40" s="3703"/>
      <c r="AW40" s="3703"/>
      <c r="AX40" s="3703"/>
      <c r="AY40" s="3703"/>
      <c r="AZ40" s="3704"/>
      <c r="BA40" s="3704"/>
      <c r="BB40" s="3704"/>
      <c r="BC40" s="3753"/>
      <c r="BD40" s="3704"/>
      <c r="BE40" s="3847"/>
      <c r="BF40" s="3848"/>
      <c r="BG40" s="3732"/>
      <c r="BH40" s="3732"/>
      <c r="BI40" s="3732"/>
      <c r="BJ40" s="3827"/>
    </row>
    <row r="41" spans="1:62" s="4" customFormat="1" ht="102.75" customHeight="1" x14ac:dyDescent="0.2">
      <c r="A41" s="29"/>
      <c r="B41" s="29"/>
      <c r="C41" s="29"/>
      <c r="D41" s="3761"/>
      <c r="E41" s="3721"/>
      <c r="F41" s="3722"/>
      <c r="G41" s="560"/>
      <c r="H41" s="561"/>
      <c r="I41" s="561"/>
      <c r="J41" s="471">
        <v>77</v>
      </c>
      <c r="K41" s="485" t="s">
        <v>1767</v>
      </c>
      <c r="L41" s="485" t="s">
        <v>1694</v>
      </c>
      <c r="M41" s="559">
        <v>50</v>
      </c>
      <c r="N41" s="559"/>
      <c r="O41" s="13" t="s">
        <v>1768</v>
      </c>
      <c r="P41" s="3729"/>
      <c r="Q41" s="3728"/>
      <c r="R41" s="511">
        <f>+W41/S38 *100</f>
        <v>0</v>
      </c>
      <c r="S41" s="3703"/>
      <c r="T41" s="3728"/>
      <c r="U41" s="485" t="s">
        <v>1769</v>
      </c>
      <c r="V41" s="485" t="s">
        <v>1770</v>
      </c>
      <c r="W41" s="389">
        <v>0</v>
      </c>
      <c r="X41" s="389"/>
      <c r="Y41" s="389"/>
      <c r="Z41" s="484"/>
      <c r="AA41" s="471"/>
      <c r="AB41" s="3779"/>
      <c r="AC41" s="475"/>
      <c r="AD41" s="3731"/>
      <c r="AE41" s="549">
        <v>17360</v>
      </c>
      <c r="AF41" s="3856"/>
      <c r="AG41" s="549"/>
      <c r="AH41" s="3859"/>
      <c r="AI41" s="552"/>
      <c r="AJ41" s="3856"/>
      <c r="AK41" s="549"/>
      <c r="AL41" s="3856"/>
      <c r="AM41" s="549"/>
      <c r="AN41" s="3827"/>
      <c r="AO41" s="3703"/>
      <c r="AP41" s="3703"/>
      <c r="AQ41" s="3703"/>
      <c r="AR41" s="3703"/>
      <c r="AS41" s="3703"/>
      <c r="AT41" s="3703"/>
      <c r="AU41" s="3703"/>
      <c r="AV41" s="3703"/>
      <c r="AW41" s="3703"/>
      <c r="AX41" s="3703"/>
      <c r="AY41" s="3703"/>
      <c r="AZ41" s="389"/>
      <c r="BA41" s="524">
        <f t="shared" ref="BA41:BB46" si="9">+X41</f>
        <v>0</v>
      </c>
      <c r="BB41" s="524">
        <f t="shared" si="9"/>
        <v>0</v>
      </c>
      <c r="BC41" s="373">
        <v>0</v>
      </c>
      <c r="BD41" s="389"/>
      <c r="BE41" s="461"/>
      <c r="BF41" s="504">
        <v>42782</v>
      </c>
      <c r="BG41" s="383"/>
      <c r="BH41" s="504">
        <v>42810</v>
      </c>
      <c r="BI41" s="383"/>
      <c r="BJ41" s="452"/>
    </row>
    <row r="42" spans="1:62" s="4" customFormat="1" ht="102.75" customHeight="1" x14ac:dyDescent="0.2">
      <c r="A42" s="29"/>
      <c r="B42" s="29"/>
      <c r="C42" s="29"/>
      <c r="D42" s="3761"/>
      <c r="E42" s="3721"/>
      <c r="F42" s="3722"/>
      <c r="G42" s="560"/>
      <c r="H42" s="561"/>
      <c r="I42" s="561"/>
      <c r="J42" s="471">
        <v>78</v>
      </c>
      <c r="K42" s="485" t="s">
        <v>1771</v>
      </c>
      <c r="L42" s="485" t="s">
        <v>1694</v>
      </c>
      <c r="M42" s="559">
        <v>11</v>
      </c>
      <c r="N42" s="559">
        <v>9</v>
      </c>
      <c r="O42" s="13" t="s">
        <v>1763</v>
      </c>
      <c r="P42" s="3729"/>
      <c r="Q42" s="3728"/>
      <c r="R42" s="511">
        <f>+W42/S38*100</f>
        <v>0</v>
      </c>
      <c r="S42" s="3703"/>
      <c r="T42" s="3728"/>
      <c r="U42" s="485" t="s">
        <v>1772</v>
      </c>
      <c r="V42" s="3724" t="s">
        <v>1773</v>
      </c>
      <c r="W42" s="389">
        <v>0</v>
      </c>
      <c r="X42" s="389"/>
      <c r="Y42" s="389"/>
      <c r="Z42" s="484"/>
      <c r="AA42" s="471"/>
      <c r="AB42" s="3779"/>
      <c r="AC42" s="475">
        <v>2732</v>
      </c>
      <c r="AD42" s="3731"/>
      <c r="AE42" s="549"/>
      <c r="AF42" s="3856"/>
      <c r="AG42" s="549"/>
      <c r="AH42" s="3859"/>
      <c r="AI42" s="552">
        <v>21116</v>
      </c>
      <c r="AJ42" s="3856"/>
      <c r="AK42" s="549">
        <v>4451</v>
      </c>
      <c r="AL42" s="3856"/>
      <c r="AM42" s="549">
        <v>56</v>
      </c>
      <c r="AN42" s="3827"/>
      <c r="AO42" s="3703"/>
      <c r="AP42" s="3703"/>
      <c r="AQ42" s="3703"/>
      <c r="AR42" s="3703"/>
      <c r="AS42" s="3703"/>
      <c r="AT42" s="3703"/>
      <c r="AU42" s="3703"/>
      <c r="AV42" s="3703"/>
      <c r="AW42" s="3703"/>
      <c r="AX42" s="3703"/>
      <c r="AY42" s="3703"/>
      <c r="AZ42" s="389"/>
      <c r="BA42" s="524">
        <f t="shared" si="9"/>
        <v>0</v>
      </c>
      <c r="BB42" s="524">
        <f t="shared" si="9"/>
        <v>0</v>
      </c>
      <c r="BC42" s="373">
        <v>0</v>
      </c>
      <c r="BD42" s="389"/>
      <c r="BE42" s="461"/>
      <c r="BF42" s="504">
        <v>42822</v>
      </c>
      <c r="BG42" s="383"/>
      <c r="BH42" s="504">
        <v>42822</v>
      </c>
      <c r="BI42" s="383"/>
      <c r="BJ42" s="452"/>
    </row>
    <row r="43" spans="1:62" s="4" customFormat="1" ht="102.75" customHeight="1" x14ac:dyDescent="0.2">
      <c r="A43" s="29"/>
      <c r="B43" s="29"/>
      <c r="C43" s="29"/>
      <c r="D43" s="3761"/>
      <c r="E43" s="3721"/>
      <c r="F43" s="3722"/>
      <c r="G43" s="560"/>
      <c r="H43" s="561"/>
      <c r="I43" s="561"/>
      <c r="J43" s="471">
        <v>79</v>
      </c>
      <c r="K43" s="485" t="s">
        <v>1774</v>
      </c>
      <c r="L43" s="485" t="s">
        <v>1694</v>
      </c>
      <c r="M43" s="559">
        <v>163</v>
      </c>
      <c r="N43" s="559">
        <v>73</v>
      </c>
      <c r="O43" s="13" t="s">
        <v>1775</v>
      </c>
      <c r="P43" s="3729"/>
      <c r="Q43" s="3728"/>
      <c r="R43" s="511">
        <f>+W43/S38*100</f>
        <v>0</v>
      </c>
      <c r="S43" s="3703"/>
      <c r="T43" s="3728"/>
      <c r="U43" s="485" t="s">
        <v>1776</v>
      </c>
      <c r="V43" s="3728"/>
      <c r="W43" s="389">
        <v>0</v>
      </c>
      <c r="X43" s="389"/>
      <c r="Y43" s="389"/>
      <c r="Z43" s="484"/>
      <c r="AA43" s="471"/>
      <c r="AB43" s="3779"/>
      <c r="AC43" s="475"/>
      <c r="AD43" s="3731"/>
      <c r="AE43" s="549"/>
      <c r="AF43" s="3856"/>
      <c r="AG43" s="549"/>
      <c r="AH43" s="3859"/>
      <c r="AI43" s="552"/>
      <c r="AJ43" s="3856"/>
      <c r="AK43" s="549"/>
      <c r="AL43" s="3856"/>
      <c r="AM43" s="549"/>
      <c r="AN43" s="3827"/>
      <c r="AO43" s="3703"/>
      <c r="AP43" s="3703"/>
      <c r="AQ43" s="3703"/>
      <c r="AR43" s="3703"/>
      <c r="AS43" s="3703"/>
      <c r="AT43" s="3703"/>
      <c r="AU43" s="3703"/>
      <c r="AV43" s="3703"/>
      <c r="AW43" s="3703"/>
      <c r="AX43" s="3703"/>
      <c r="AY43" s="3703"/>
      <c r="AZ43" s="389"/>
      <c r="BA43" s="524">
        <f t="shared" si="9"/>
        <v>0</v>
      </c>
      <c r="BB43" s="524">
        <f t="shared" si="9"/>
        <v>0</v>
      </c>
      <c r="BC43" s="373">
        <v>0</v>
      </c>
      <c r="BD43" s="389"/>
      <c r="BE43" s="461"/>
      <c r="BF43" s="504">
        <v>42822</v>
      </c>
      <c r="BG43" s="383"/>
      <c r="BH43" s="504">
        <v>42822</v>
      </c>
      <c r="BI43" s="383"/>
      <c r="BJ43" s="452"/>
    </row>
    <row r="44" spans="1:62" s="4" customFormat="1" ht="93.75" customHeight="1" x14ac:dyDescent="0.2">
      <c r="A44" s="29"/>
      <c r="B44" s="29"/>
      <c r="C44" s="29"/>
      <c r="D44" s="3761"/>
      <c r="E44" s="3721"/>
      <c r="F44" s="3722"/>
      <c r="G44" s="560"/>
      <c r="H44" s="561"/>
      <c r="I44" s="561"/>
      <c r="J44" s="471">
        <v>80</v>
      </c>
      <c r="K44" s="485" t="s">
        <v>1777</v>
      </c>
      <c r="L44" s="485" t="s">
        <v>1694</v>
      </c>
      <c r="M44" s="559">
        <v>3803</v>
      </c>
      <c r="N44" s="559">
        <v>920</v>
      </c>
      <c r="O44" s="13"/>
      <c r="P44" s="3729"/>
      <c r="Q44" s="3728"/>
      <c r="R44" s="511">
        <f>+W44/S38*100</f>
        <v>0</v>
      </c>
      <c r="S44" s="3703"/>
      <c r="T44" s="3728"/>
      <c r="U44" s="485" t="s">
        <v>1778</v>
      </c>
      <c r="V44" s="3725"/>
      <c r="W44" s="389">
        <v>0</v>
      </c>
      <c r="X44" s="389"/>
      <c r="Y44" s="389"/>
      <c r="Z44" s="484"/>
      <c r="AA44" s="471"/>
      <c r="AB44" s="3779"/>
      <c r="AC44" s="475"/>
      <c r="AD44" s="3731"/>
      <c r="AE44" s="549"/>
      <c r="AF44" s="3856"/>
      <c r="AG44" s="549"/>
      <c r="AH44" s="3859"/>
      <c r="AI44" s="552"/>
      <c r="AJ44" s="3856"/>
      <c r="AK44" s="549"/>
      <c r="AL44" s="3856"/>
      <c r="AM44" s="549"/>
      <c r="AN44" s="3827"/>
      <c r="AO44" s="3703"/>
      <c r="AP44" s="3703"/>
      <c r="AQ44" s="3703"/>
      <c r="AR44" s="3703"/>
      <c r="AS44" s="3703"/>
      <c r="AT44" s="3703"/>
      <c r="AU44" s="3703"/>
      <c r="AV44" s="3703"/>
      <c r="AW44" s="3703"/>
      <c r="AX44" s="3703"/>
      <c r="AY44" s="3703"/>
      <c r="AZ44" s="389"/>
      <c r="BA44" s="524">
        <f t="shared" si="9"/>
        <v>0</v>
      </c>
      <c r="BB44" s="524">
        <f t="shared" si="9"/>
        <v>0</v>
      </c>
      <c r="BC44" s="373">
        <v>0</v>
      </c>
      <c r="BD44" s="389"/>
      <c r="BE44" s="461"/>
      <c r="BF44" s="504">
        <v>42822</v>
      </c>
      <c r="BG44" s="383"/>
      <c r="BH44" s="504">
        <v>42822</v>
      </c>
      <c r="BI44" s="383"/>
      <c r="BJ44" s="452"/>
    </row>
    <row r="45" spans="1:62" s="4" customFormat="1" ht="93.75" customHeight="1" x14ac:dyDescent="0.2">
      <c r="A45" s="29"/>
      <c r="B45" s="29"/>
      <c r="C45" s="29"/>
      <c r="D45" s="3761"/>
      <c r="E45" s="3721"/>
      <c r="F45" s="3722"/>
      <c r="G45" s="560"/>
      <c r="H45" s="561"/>
      <c r="I45" s="561"/>
      <c r="J45" s="471">
        <v>81</v>
      </c>
      <c r="K45" s="485" t="s">
        <v>1779</v>
      </c>
      <c r="L45" s="485" t="s">
        <v>1694</v>
      </c>
      <c r="M45" s="559">
        <v>27</v>
      </c>
      <c r="N45" s="559"/>
      <c r="O45" s="13"/>
      <c r="P45" s="3729"/>
      <c r="Q45" s="3728"/>
      <c r="R45" s="511">
        <v>0</v>
      </c>
      <c r="S45" s="3703"/>
      <c r="T45" s="3728"/>
      <c r="U45" s="485" t="s">
        <v>1757</v>
      </c>
      <c r="V45" s="507" t="s">
        <v>1758</v>
      </c>
      <c r="W45" s="389">
        <v>0</v>
      </c>
      <c r="X45" s="389"/>
      <c r="Y45" s="389"/>
      <c r="Z45" s="484"/>
      <c r="AA45" s="471"/>
      <c r="AB45" s="3779"/>
      <c r="AC45" s="475"/>
      <c r="AD45" s="3731"/>
      <c r="AE45" s="549"/>
      <c r="AF45" s="3856"/>
      <c r="AG45" s="549"/>
      <c r="AH45" s="3859"/>
      <c r="AI45" s="552"/>
      <c r="AJ45" s="3856"/>
      <c r="AK45" s="549"/>
      <c r="AL45" s="3856"/>
      <c r="AM45" s="549"/>
      <c r="AN45" s="3827"/>
      <c r="AO45" s="3703"/>
      <c r="AP45" s="3703"/>
      <c r="AQ45" s="3703"/>
      <c r="AR45" s="3703"/>
      <c r="AS45" s="3703"/>
      <c r="AT45" s="3703"/>
      <c r="AU45" s="3703"/>
      <c r="AV45" s="3703"/>
      <c r="AW45" s="3703"/>
      <c r="AX45" s="3703"/>
      <c r="AY45" s="3703"/>
      <c r="AZ45" s="389"/>
      <c r="BA45" s="524">
        <f t="shared" si="9"/>
        <v>0</v>
      </c>
      <c r="BB45" s="524">
        <f t="shared" si="9"/>
        <v>0</v>
      </c>
      <c r="BC45" s="373">
        <v>0</v>
      </c>
      <c r="BD45" s="389"/>
      <c r="BE45" s="461"/>
      <c r="BF45" s="504">
        <v>42767</v>
      </c>
      <c r="BG45" s="383"/>
      <c r="BH45" s="504">
        <v>43038</v>
      </c>
      <c r="BI45" s="383"/>
      <c r="BJ45" s="452"/>
    </row>
    <row r="46" spans="1:62" s="4" customFormat="1" ht="93.75" customHeight="1" x14ac:dyDescent="0.2">
      <c r="A46" s="29"/>
      <c r="B46" s="29"/>
      <c r="C46" s="29"/>
      <c r="D46" s="3761"/>
      <c r="E46" s="3721"/>
      <c r="F46" s="3722"/>
      <c r="G46" s="560"/>
      <c r="H46" s="561"/>
      <c r="I46" s="561"/>
      <c r="J46" s="471">
        <v>82</v>
      </c>
      <c r="K46" s="485" t="s">
        <v>1780</v>
      </c>
      <c r="L46" s="485" t="s">
        <v>1694</v>
      </c>
      <c r="M46" s="559">
        <v>27</v>
      </c>
      <c r="N46" s="559"/>
      <c r="O46" s="13"/>
      <c r="P46" s="3727"/>
      <c r="Q46" s="3725"/>
      <c r="R46" s="511">
        <f>+W46/S38*100</f>
        <v>0</v>
      </c>
      <c r="S46" s="3704"/>
      <c r="T46" s="3725"/>
      <c r="U46" s="485" t="s">
        <v>1757</v>
      </c>
      <c r="V46" s="507" t="s">
        <v>1758</v>
      </c>
      <c r="W46" s="389">
        <v>0</v>
      </c>
      <c r="X46" s="389"/>
      <c r="Y46" s="389"/>
      <c r="Z46" s="484"/>
      <c r="AA46" s="471"/>
      <c r="AB46" s="3757"/>
      <c r="AC46" s="476"/>
      <c r="AD46" s="3732"/>
      <c r="AE46" s="550"/>
      <c r="AF46" s="3857"/>
      <c r="AG46" s="550"/>
      <c r="AH46" s="3860"/>
      <c r="AI46" s="553"/>
      <c r="AJ46" s="3857"/>
      <c r="AK46" s="550"/>
      <c r="AL46" s="3857"/>
      <c r="AM46" s="550"/>
      <c r="AN46" s="3854"/>
      <c r="AO46" s="3704"/>
      <c r="AP46" s="3704"/>
      <c r="AQ46" s="3704"/>
      <c r="AR46" s="3704"/>
      <c r="AS46" s="3704"/>
      <c r="AT46" s="3704"/>
      <c r="AU46" s="3704"/>
      <c r="AV46" s="3704"/>
      <c r="AW46" s="3704"/>
      <c r="AX46" s="3704"/>
      <c r="AY46" s="3704"/>
      <c r="AZ46" s="389"/>
      <c r="BA46" s="524">
        <f t="shared" si="9"/>
        <v>0</v>
      </c>
      <c r="BB46" s="524">
        <f t="shared" si="9"/>
        <v>0</v>
      </c>
      <c r="BC46" s="373">
        <v>0</v>
      </c>
      <c r="BD46" s="389"/>
      <c r="BE46" s="461"/>
      <c r="BF46" s="504">
        <v>42767</v>
      </c>
      <c r="BG46" s="383"/>
      <c r="BH46" s="504">
        <v>43038</v>
      </c>
      <c r="BI46" s="383"/>
      <c r="BJ46" s="410"/>
    </row>
    <row r="47" spans="1:62" s="4" customFormat="1" ht="12.75" x14ac:dyDescent="0.2">
      <c r="A47" s="539"/>
      <c r="B47" s="540"/>
      <c r="C47" s="540"/>
      <c r="D47" s="540"/>
      <c r="E47" s="540"/>
      <c r="F47" s="541"/>
      <c r="G47" s="396">
        <v>20</v>
      </c>
      <c r="H47" s="3723" t="s">
        <v>1781</v>
      </c>
      <c r="I47" s="3723"/>
      <c r="J47" s="3723"/>
      <c r="K47" s="3723"/>
      <c r="L47" s="564"/>
      <c r="M47" s="364"/>
      <c r="N47" s="364"/>
      <c r="O47" s="564"/>
      <c r="P47" s="17"/>
      <c r="Q47" s="564"/>
      <c r="R47" s="17"/>
      <c r="S47" s="17"/>
      <c r="T47" s="564"/>
      <c r="U47" s="564"/>
      <c r="V47" s="564"/>
      <c r="W47" s="312">
        <f>SUM(W48:W69)</f>
        <v>502989553</v>
      </c>
      <c r="X47" s="312">
        <f t="shared" ref="X47:Y47" si="10">SUM(X48:X69)</f>
        <v>0</v>
      </c>
      <c r="Y47" s="312">
        <f t="shared" si="10"/>
        <v>0</v>
      </c>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1"/>
      <c r="BA47" s="312">
        <f t="shared" ref="BA47:BB47" si="11">SUM(BA48:BA69)</f>
        <v>0</v>
      </c>
      <c r="BB47" s="312">
        <f t="shared" si="11"/>
        <v>0</v>
      </c>
      <c r="BC47" s="377">
        <f>+BA47/W47</f>
        <v>0</v>
      </c>
      <c r="BD47" s="17"/>
      <c r="BE47" s="1598"/>
      <c r="BF47" s="388"/>
      <c r="BG47" s="388"/>
      <c r="BH47" s="388"/>
      <c r="BI47" s="388"/>
      <c r="BJ47" s="18"/>
    </row>
    <row r="48" spans="1:62" s="402" customFormat="1" ht="24" customHeight="1" x14ac:dyDescent="0.2">
      <c r="A48" s="3828"/>
      <c r="B48" s="3829"/>
      <c r="C48" s="3830"/>
      <c r="D48" s="3837"/>
      <c r="E48" s="3838"/>
      <c r="F48" s="3839"/>
      <c r="G48" s="3828"/>
      <c r="H48" s="3829"/>
      <c r="I48" s="3830"/>
      <c r="J48" s="3804">
        <v>83</v>
      </c>
      <c r="K48" s="3806" t="s">
        <v>1782</v>
      </c>
      <c r="L48" s="3806" t="s">
        <v>1694</v>
      </c>
      <c r="M48" s="3808">
        <v>27</v>
      </c>
      <c r="N48" s="3758">
        <v>12</v>
      </c>
      <c r="O48" s="3817" t="s">
        <v>1783</v>
      </c>
      <c r="P48" s="3804">
        <v>90</v>
      </c>
      <c r="Q48" s="3806" t="s">
        <v>1784</v>
      </c>
      <c r="R48" s="398">
        <f>+W48/S48*100</f>
        <v>0</v>
      </c>
      <c r="S48" s="3800">
        <f>SUM(W48:W69)</f>
        <v>502989553</v>
      </c>
      <c r="T48" s="3806" t="s">
        <v>1785</v>
      </c>
      <c r="U48" s="3806" t="s">
        <v>1786</v>
      </c>
      <c r="V48" s="399" t="s">
        <v>1787</v>
      </c>
      <c r="W48" s="369">
        <v>0</v>
      </c>
      <c r="X48" s="369"/>
      <c r="Y48" s="369"/>
      <c r="Z48" s="464"/>
      <c r="AA48" s="463"/>
      <c r="AB48" s="3814">
        <v>2732</v>
      </c>
      <c r="AC48" s="3814">
        <v>2732</v>
      </c>
      <c r="AD48" s="3814">
        <v>17360</v>
      </c>
      <c r="AE48" s="3814">
        <v>17360</v>
      </c>
      <c r="AF48" s="3814">
        <v>21116</v>
      </c>
      <c r="AG48" s="400"/>
      <c r="AH48" s="401"/>
      <c r="AI48" s="401"/>
      <c r="AJ48" s="3814">
        <v>4451</v>
      </c>
      <c r="AK48" s="3814">
        <v>4451</v>
      </c>
      <c r="AL48" s="3814">
        <v>56</v>
      </c>
      <c r="AM48" s="3797">
        <v>56</v>
      </c>
      <c r="AN48" s="401"/>
      <c r="AO48" s="401"/>
      <c r="AP48" s="401"/>
      <c r="AQ48" s="401"/>
      <c r="AR48" s="401"/>
      <c r="AS48" s="401"/>
      <c r="AT48" s="401"/>
      <c r="AU48" s="401"/>
      <c r="AV48" s="401"/>
      <c r="AW48" s="401"/>
      <c r="AX48" s="401"/>
      <c r="AY48" s="401"/>
      <c r="AZ48" s="3800"/>
      <c r="BA48" s="3800"/>
      <c r="BB48" s="3800"/>
      <c r="BC48" s="3802"/>
      <c r="BD48" s="3804"/>
      <c r="BE48" s="461"/>
      <c r="BF48" s="486">
        <v>42767</v>
      </c>
      <c r="BG48" s="556"/>
      <c r="BH48" s="486">
        <v>43038</v>
      </c>
      <c r="BI48" s="486"/>
      <c r="BJ48" s="3908" t="s">
        <v>1704</v>
      </c>
    </row>
    <row r="49" spans="1:62" s="402" customFormat="1" ht="36" customHeight="1" x14ac:dyDescent="0.2">
      <c r="A49" s="3831"/>
      <c r="B49" s="3832"/>
      <c r="C49" s="3833"/>
      <c r="D49" s="3840"/>
      <c r="E49" s="3841"/>
      <c r="F49" s="3842"/>
      <c r="G49" s="3831"/>
      <c r="H49" s="3832"/>
      <c r="I49" s="3833"/>
      <c r="J49" s="3820"/>
      <c r="K49" s="3819"/>
      <c r="L49" s="3819"/>
      <c r="M49" s="3808"/>
      <c r="N49" s="3760"/>
      <c r="O49" s="3819"/>
      <c r="P49" s="3820"/>
      <c r="Q49" s="3819"/>
      <c r="R49" s="398">
        <f>+W49/S48*10</f>
        <v>0</v>
      </c>
      <c r="S49" s="3813"/>
      <c r="T49" s="3819"/>
      <c r="U49" s="3819"/>
      <c r="V49" s="460" t="s">
        <v>1788</v>
      </c>
      <c r="W49" s="369">
        <v>0</v>
      </c>
      <c r="X49" s="369"/>
      <c r="Y49" s="369"/>
      <c r="Z49" s="464"/>
      <c r="AA49" s="463"/>
      <c r="AB49" s="3815"/>
      <c r="AC49" s="3815"/>
      <c r="AD49" s="3815"/>
      <c r="AE49" s="3815"/>
      <c r="AF49" s="3815"/>
      <c r="AG49" s="403"/>
      <c r="AH49" s="404"/>
      <c r="AI49" s="404"/>
      <c r="AJ49" s="3815"/>
      <c r="AK49" s="3815"/>
      <c r="AL49" s="3815"/>
      <c r="AM49" s="3798"/>
      <c r="AN49" s="404"/>
      <c r="AO49" s="404"/>
      <c r="AP49" s="404"/>
      <c r="AQ49" s="404"/>
      <c r="AR49" s="404"/>
      <c r="AS49" s="404"/>
      <c r="AT49" s="404"/>
      <c r="AU49" s="404"/>
      <c r="AV49" s="404"/>
      <c r="AW49" s="404"/>
      <c r="AX49" s="404"/>
      <c r="AY49" s="404"/>
      <c r="AZ49" s="3813"/>
      <c r="BA49" s="3813"/>
      <c r="BB49" s="3813"/>
      <c r="BC49" s="3825"/>
      <c r="BD49" s="3820"/>
      <c r="BE49" s="461"/>
      <c r="BF49" s="486">
        <v>42740</v>
      </c>
      <c r="BG49" s="557"/>
      <c r="BH49" s="486">
        <v>42740</v>
      </c>
      <c r="BI49" s="486"/>
      <c r="BJ49" s="3999"/>
    </row>
    <row r="50" spans="1:62" s="402" customFormat="1" ht="35.25" customHeight="1" x14ac:dyDescent="0.2">
      <c r="A50" s="3831"/>
      <c r="B50" s="3832"/>
      <c r="C50" s="3833"/>
      <c r="D50" s="3840"/>
      <c r="E50" s="3841"/>
      <c r="F50" s="3842"/>
      <c r="G50" s="3831"/>
      <c r="H50" s="3832"/>
      <c r="I50" s="3833"/>
      <c r="J50" s="3820"/>
      <c r="K50" s="3819"/>
      <c r="L50" s="3819"/>
      <c r="M50" s="3808"/>
      <c r="N50" s="3760"/>
      <c r="O50" s="3819"/>
      <c r="P50" s="3820"/>
      <c r="Q50" s="3819"/>
      <c r="R50" s="398"/>
      <c r="S50" s="3813"/>
      <c r="T50" s="3819"/>
      <c r="U50" s="3819"/>
      <c r="V50" s="482" t="s">
        <v>1789</v>
      </c>
      <c r="W50" s="369">
        <v>0</v>
      </c>
      <c r="X50" s="369"/>
      <c r="Y50" s="369"/>
      <c r="Z50" s="464"/>
      <c r="AA50" s="463"/>
      <c r="AB50" s="3815"/>
      <c r="AC50" s="3815"/>
      <c r="AD50" s="3815"/>
      <c r="AE50" s="3815"/>
      <c r="AF50" s="3815"/>
      <c r="AG50" s="403"/>
      <c r="AH50" s="404"/>
      <c r="AI50" s="404"/>
      <c r="AJ50" s="3815"/>
      <c r="AK50" s="3815"/>
      <c r="AL50" s="3815"/>
      <c r="AM50" s="3798"/>
      <c r="AN50" s="404"/>
      <c r="AO50" s="404"/>
      <c r="AP50" s="404"/>
      <c r="AQ50" s="404"/>
      <c r="AR50" s="404"/>
      <c r="AS50" s="404"/>
      <c r="AT50" s="404"/>
      <c r="AU50" s="404"/>
      <c r="AV50" s="404"/>
      <c r="AW50" s="404"/>
      <c r="AX50" s="404"/>
      <c r="AY50" s="404"/>
      <c r="AZ50" s="3813"/>
      <c r="BA50" s="3813"/>
      <c r="BB50" s="3813"/>
      <c r="BC50" s="3825"/>
      <c r="BD50" s="3820"/>
      <c r="BE50" s="461"/>
      <c r="BF50" s="486">
        <v>42783</v>
      </c>
      <c r="BG50" s="557"/>
      <c r="BH50" s="486">
        <v>42783</v>
      </c>
      <c r="BI50" s="486"/>
      <c r="BJ50" s="3999"/>
    </row>
    <row r="51" spans="1:62" s="402" customFormat="1" ht="31.5" customHeight="1" x14ac:dyDescent="0.2">
      <c r="A51" s="3831"/>
      <c r="B51" s="3832"/>
      <c r="C51" s="3833"/>
      <c r="D51" s="3840"/>
      <c r="E51" s="3841"/>
      <c r="F51" s="3842"/>
      <c r="G51" s="3831"/>
      <c r="H51" s="3832"/>
      <c r="I51" s="3833"/>
      <c r="J51" s="3820"/>
      <c r="K51" s="3819"/>
      <c r="L51" s="3819"/>
      <c r="M51" s="3808"/>
      <c r="N51" s="3760"/>
      <c r="O51" s="3819"/>
      <c r="P51" s="3820"/>
      <c r="Q51" s="3819"/>
      <c r="R51" s="398">
        <f>+W51/S48*100</f>
        <v>0</v>
      </c>
      <c r="S51" s="3813"/>
      <c r="T51" s="3819"/>
      <c r="U51" s="3819"/>
      <c r="V51" s="482" t="s">
        <v>1790</v>
      </c>
      <c r="W51" s="369">
        <v>0</v>
      </c>
      <c r="X51" s="369"/>
      <c r="Y51" s="369"/>
      <c r="Z51" s="464"/>
      <c r="AA51" s="463"/>
      <c r="AB51" s="3815"/>
      <c r="AC51" s="3815"/>
      <c r="AD51" s="3815"/>
      <c r="AE51" s="3815"/>
      <c r="AF51" s="3815"/>
      <c r="AG51" s="403"/>
      <c r="AH51" s="404"/>
      <c r="AI51" s="404"/>
      <c r="AJ51" s="3815"/>
      <c r="AK51" s="3815"/>
      <c r="AL51" s="3815"/>
      <c r="AM51" s="3798"/>
      <c r="AN51" s="404"/>
      <c r="AO51" s="404"/>
      <c r="AP51" s="404"/>
      <c r="AQ51" s="404"/>
      <c r="AR51" s="404"/>
      <c r="AS51" s="404"/>
      <c r="AT51" s="404"/>
      <c r="AU51" s="404"/>
      <c r="AV51" s="404"/>
      <c r="AW51" s="404"/>
      <c r="AX51" s="404"/>
      <c r="AY51" s="404"/>
      <c r="AZ51" s="3813"/>
      <c r="BA51" s="3813"/>
      <c r="BB51" s="3813"/>
      <c r="BC51" s="3825"/>
      <c r="BD51" s="3820"/>
      <c r="BE51" s="461"/>
      <c r="BF51" s="486">
        <v>42789</v>
      </c>
      <c r="BG51" s="557"/>
      <c r="BH51" s="486">
        <v>42789</v>
      </c>
      <c r="BI51" s="486"/>
      <c r="BJ51" s="3999"/>
    </row>
    <row r="52" spans="1:62" s="402" customFormat="1" ht="39" customHeight="1" x14ac:dyDescent="0.2">
      <c r="A52" s="3831"/>
      <c r="B52" s="3832"/>
      <c r="C52" s="3833"/>
      <c r="D52" s="3840"/>
      <c r="E52" s="3841"/>
      <c r="F52" s="3842"/>
      <c r="G52" s="3831"/>
      <c r="H52" s="3832"/>
      <c r="I52" s="3833"/>
      <c r="J52" s="3820"/>
      <c r="K52" s="3819"/>
      <c r="L52" s="3819"/>
      <c r="M52" s="3808"/>
      <c r="N52" s="3760"/>
      <c r="O52" s="3819"/>
      <c r="P52" s="3820"/>
      <c r="Q52" s="3819"/>
      <c r="R52" s="398">
        <f>+W52/S48*100</f>
        <v>0</v>
      </c>
      <c r="S52" s="3813"/>
      <c r="T52" s="3819"/>
      <c r="U52" s="3819"/>
      <c r="V52" s="482" t="s">
        <v>1791</v>
      </c>
      <c r="W52" s="369">
        <v>0</v>
      </c>
      <c r="X52" s="369"/>
      <c r="Y52" s="369"/>
      <c r="Z52" s="464"/>
      <c r="AA52" s="463"/>
      <c r="AB52" s="3815"/>
      <c r="AC52" s="3815"/>
      <c r="AD52" s="3815"/>
      <c r="AE52" s="3815"/>
      <c r="AF52" s="3815"/>
      <c r="AG52" s="403"/>
      <c r="AH52" s="404"/>
      <c r="AI52" s="404"/>
      <c r="AJ52" s="3815"/>
      <c r="AK52" s="3815"/>
      <c r="AL52" s="3815"/>
      <c r="AM52" s="3798"/>
      <c r="AN52" s="404"/>
      <c r="AO52" s="404"/>
      <c r="AP52" s="404"/>
      <c r="AQ52" s="404"/>
      <c r="AR52" s="404"/>
      <c r="AS52" s="404"/>
      <c r="AT52" s="404"/>
      <c r="AU52" s="404"/>
      <c r="AV52" s="404"/>
      <c r="AW52" s="404"/>
      <c r="AX52" s="404"/>
      <c r="AY52" s="404"/>
      <c r="AZ52" s="3813"/>
      <c r="BA52" s="3813"/>
      <c r="BB52" s="3813"/>
      <c r="BC52" s="3825"/>
      <c r="BD52" s="3820"/>
      <c r="BE52" s="461"/>
      <c r="BF52" s="486">
        <v>42797</v>
      </c>
      <c r="BG52" s="557"/>
      <c r="BH52" s="486">
        <v>42797</v>
      </c>
      <c r="BI52" s="486"/>
      <c r="BJ52" s="3999"/>
    </row>
    <row r="53" spans="1:62" s="402" customFormat="1" ht="40.5" customHeight="1" x14ac:dyDescent="0.2">
      <c r="A53" s="3831"/>
      <c r="B53" s="3832"/>
      <c r="C53" s="3833"/>
      <c r="D53" s="3840"/>
      <c r="E53" s="3841"/>
      <c r="F53" s="3842"/>
      <c r="G53" s="3831"/>
      <c r="H53" s="3832"/>
      <c r="I53" s="3833"/>
      <c r="J53" s="3820"/>
      <c r="K53" s="3819"/>
      <c r="L53" s="3819"/>
      <c r="M53" s="3808"/>
      <c r="N53" s="3760"/>
      <c r="O53" s="3819"/>
      <c r="P53" s="3820"/>
      <c r="Q53" s="3819"/>
      <c r="R53" s="398">
        <f>+W53/S48*100</f>
        <v>0</v>
      </c>
      <c r="S53" s="3813"/>
      <c r="T53" s="3819"/>
      <c r="U53" s="3819"/>
      <c r="V53" s="482" t="s">
        <v>1792</v>
      </c>
      <c r="W53" s="369">
        <v>0</v>
      </c>
      <c r="X53" s="369"/>
      <c r="Y53" s="369"/>
      <c r="Z53" s="464"/>
      <c r="AA53" s="463"/>
      <c r="AB53" s="3815"/>
      <c r="AC53" s="3815"/>
      <c r="AD53" s="3815"/>
      <c r="AE53" s="3815"/>
      <c r="AF53" s="3815"/>
      <c r="AG53" s="403"/>
      <c r="AH53" s="404"/>
      <c r="AI53" s="404"/>
      <c r="AJ53" s="3815"/>
      <c r="AK53" s="3815"/>
      <c r="AL53" s="3815"/>
      <c r="AM53" s="3798"/>
      <c r="AN53" s="404"/>
      <c r="AO53" s="404"/>
      <c r="AP53" s="404"/>
      <c r="AQ53" s="404"/>
      <c r="AR53" s="404"/>
      <c r="AS53" s="404"/>
      <c r="AT53" s="404"/>
      <c r="AU53" s="404"/>
      <c r="AV53" s="404"/>
      <c r="AW53" s="404"/>
      <c r="AX53" s="404"/>
      <c r="AY53" s="404"/>
      <c r="AZ53" s="3813"/>
      <c r="BA53" s="3813"/>
      <c r="BB53" s="3813"/>
      <c r="BC53" s="3825"/>
      <c r="BD53" s="3820"/>
      <c r="BE53" s="461"/>
      <c r="BF53" s="486">
        <v>42803</v>
      </c>
      <c r="BG53" s="557"/>
      <c r="BH53" s="486">
        <v>42803</v>
      </c>
      <c r="BI53" s="486"/>
      <c r="BJ53" s="3999"/>
    </row>
    <row r="54" spans="1:62" s="402" customFormat="1" ht="45.75" customHeight="1" x14ac:dyDescent="0.2">
      <c r="A54" s="3831"/>
      <c r="B54" s="3832"/>
      <c r="C54" s="3833"/>
      <c r="D54" s="3840"/>
      <c r="E54" s="3841"/>
      <c r="F54" s="3842"/>
      <c r="G54" s="3831"/>
      <c r="H54" s="3832"/>
      <c r="I54" s="3833"/>
      <c r="J54" s="3820"/>
      <c r="K54" s="3819"/>
      <c r="L54" s="3819"/>
      <c r="M54" s="3808"/>
      <c r="N54" s="3760"/>
      <c r="O54" s="3819"/>
      <c r="P54" s="3820"/>
      <c r="Q54" s="3819"/>
      <c r="R54" s="398">
        <f>+W54/S48</f>
        <v>0</v>
      </c>
      <c r="S54" s="3813"/>
      <c r="T54" s="3819"/>
      <c r="U54" s="3819"/>
      <c r="V54" s="482" t="s">
        <v>1793</v>
      </c>
      <c r="W54" s="369">
        <v>0</v>
      </c>
      <c r="X54" s="369"/>
      <c r="Y54" s="369"/>
      <c r="Z54" s="464"/>
      <c r="AA54" s="463"/>
      <c r="AB54" s="3815"/>
      <c r="AC54" s="3815"/>
      <c r="AD54" s="3815"/>
      <c r="AE54" s="3815"/>
      <c r="AF54" s="3815"/>
      <c r="AG54" s="403"/>
      <c r="AH54" s="404"/>
      <c r="AI54" s="404"/>
      <c r="AJ54" s="3815"/>
      <c r="AK54" s="3815"/>
      <c r="AL54" s="3815"/>
      <c r="AM54" s="3798"/>
      <c r="AN54" s="404"/>
      <c r="AO54" s="404"/>
      <c r="AP54" s="404"/>
      <c r="AQ54" s="404"/>
      <c r="AR54" s="404"/>
      <c r="AS54" s="404"/>
      <c r="AT54" s="404"/>
      <c r="AU54" s="404"/>
      <c r="AV54" s="404"/>
      <c r="AW54" s="404"/>
      <c r="AX54" s="404"/>
      <c r="AY54" s="404"/>
      <c r="AZ54" s="3801"/>
      <c r="BA54" s="3801"/>
      <c r="BB54" s="3801"/>
      <c r="BC54" s="3803"/>
      <c r="BD54" s="3805"/>
      <c r="BE54" s="461"/>
      <c r="BF54" s="486">
        <v>42828</v>
      </c>
      <c r="BG54" s="558"/>
      <c r="BH54" s="486">
        <v>43025</v>
      </c>
      <c r="BI54" s="486"/>
      <c r="BJ54" s="3999"/>
    </row>
    <row r="55" spans="1:62" s="402" customFormat="1" ht="94.5" customHeight="1" x14ac:dyDescent="0.2">
      <c r="A55" s="3831"/>
      <c r="B55" s="3832"/>
      <c r="C55" s="3833"/>
      <c r="D55" s="3840"/>
      <c r="E55" s="3841"/>
      <c r="F55" s="3842"/>
      <c r="G55" s="3831"/>
      <c r="H55" s="3832"/>
      <c r="I55" s="3833"/>
      <c r="J55" s="463">
        <v>84</v>
      </c>
      <c r="K55" s="482" t="s">
        <v>1794</v>
      </c>
      <c r="L55" s="482" t="s">
        <v>1694</v>
      </c>
      <c r="M55" s="559">
        <v>15</v>
      </c>
      <c r="N55" s="559">
        <v>6</v>
      </c>
      <c r="O55" s="3819"/>
      <c r="P55" s="3820"/>
      <c r="Q55" s="3819"/>
      <c r="R55" s="27">
        <f>+W55/$S$48*100</f>
        <v>0</v>
      </c>
      <c r="S55" s="3813"/>
      <c r="T55" s="3819"/>
      <c r="U55" s="482" t="s">
        <v>1795</v>
      </c>
      <c r="V55" s="482" t="s">
        <v>1796</v>
      </c>
      <c r="W55" s="369">
        <v>0</v>
      </c>
      <c r="X55" s="369"/>
      <c r="Y55" s="369"/>
      <c r="Z55" s="464"/>
      <c r="AA55" s="463"/>
      <c r="AB55" s="3815"/>
      <c r="AC55" s="3815"/>
      <c r="AD55" s="3815"/>
      <c r="AE55" s="3815"/>
      <c r="AF55" s="3815"/>
      <c r="AG55" s="403"/>
      <c r="AH55" s="404"/>
      <c r="AI55" s="404"/>
      <c r="AJ55" s="3815"/>
      <c r="AK55" s="3815"/>
      <c r="AL55" s="3815"/>
      <c r="AM55" s="3798"/>
      <c r="AN55" s="404"/>
      <c r="AO55" s="404"/>
      <c r="AP55" s="404"/>
      <c r="AQ55" s="404"/>
      <c r="AR55" s="404"/>
      <c r="AS55" s="404"/>
      <c r="AT55" s="404"/>
      <c r="AU55" s="404"/>
      <c r="AV55" s="404"/>
      <c r="AW55" s="404"/>
      <c r="AX55" s="404"/>
      <c r="AY55" s="404"/>
      <c r="AZ55" s="369"/>
      <c r="BA55" s="369"/>
      <c r="BB55" s="369"/>
      <c r="BC55" s="405"/>
      <c r="BD55" s="463"/>
      <c r="BE55" s="461"/>
      <c r="BF55" s="486">
        <v>42835</v>
      </c>
      <c r="BG55" s="406"/>
      <c r="BH55" s="486">
        <v>42839</v>
      </c>
      <c r="BI55" s="406"/>
      <c r="BJ55" s="3999"/>
    </row>
    <row r="56" spans="1:62" s="402" customFormat="1" ht="84.75" customHeight="1" x14ac:dyDescent="0.2">
      <c r="A56" s="3831"/>
      <c r="B56" s="3832"/>
      <c r="C56" s="3833"/>
      <c r="D56" s="3840"/>
      <c r="E56" s="3841"/>
      <c r="F56" s="3842"/>
      <c r="G56" s="3831"/>
      <c r="H56" s="3832"/>
      <c r="I56" s="3833"/>
      <c r="J56" s="463">
        <v>85</v>
      </c>
      <c r="K56" s="482" t="s">
        <v>1797</v>
      </c>
      <c r="L56" s="482" t="s">
        <v>1694</v>
      </c>
      <c r="M56" s="559">
        <v>15</v>
      </c>
      <c r="N56" s="559">
        <v>0</v>
      </c>
      <c r="O56" s="3819"/>
      <c r="P56" s="3820"/>
      <c r="Q56" s="3819"/>
      <c r="R56" s="27">
        <f>+W56/$S$48*100</f>
        <v>3.9762257249108313</v>
      </c>
      <c r="S56" s="3813"/>
      <c r="T56" s="3819"/>
      <c r="U56" s="555" t="s">
        <v>1798</v>
      </c>
      <c r="V56" s="482" t="s">
        <v>1799</v>
      </c>
      <c r="W56" s="369">
        <v>20000000</v>
      </c>
      <c r="X56" s="369"/>
      <c r="Y56" s="369"/>
      <c r="Z56" s="464">
        <v>35</v>
      </c>
      <c r="AA56" s="463" t="s">
        <v>1700</v>
      </c>
      <c r="AB56" s="3815"/>
      <c r="AC56" s="3815"/>
      <c r="AD56" s="3815"/>
      <c r="AE56" s="3815"/>
      <c r="AF56" s="3815"/>
      <c r="AG56" s="403"/>
      <c r="AH56" s="404"/>
      <c r="AI56" s="404"/>
      <c r="AJ56" s="3815"/>
      <c r="AK56" s="3815"/>
      <c r="AL56" s="3815"/>
      <c r="AM56" s="3798"/>
      <c r="AN56" s="404"/>
      <c r="AO56" s="404"/>
      <c r="AP56" s="404"/>
      <c r="AQ56" s="404"/>
      <c r="AR56" s="404"/>
      <c r="AS56" s="404"/>
      <c r="AT56" s="404"/>
      <c r="AU56" s="404"/>
      <c r="AV56" s="404"/>
      <c r="AW56" s="404"/>
      <c r="AX56" s="404"/>
      <c r="AY56" s="404"/>
      <c r="AZ56" s="369"/>
      <c r="BA56" s="369"/>
      <c r="BB56" s="369"/>
      <c r="BC56" s="405"/>
      <c r="BD56" s="477" t="s">
        <v>1700</v>
      </c>
      <c r="BE56" s="461"/>
      <c r="BF56" s="486">
        <v>42745</v>
      </c>
      <c r="BG56" s="406"/>
      <c r="BH56" s="486">
        <v>42745</v>
      </c>
      <c r="BI56" s="406"/>
      <c r="BJ56" s="3999"/>
    </row>
    <row r="57" spans="1:62" s="402" customFormat="1" ht="57" customHeight="1" x14ac:dyDescent="0.2">
      <c r="A57" s="3831"/>
      <c r="B57" s="3832"/>
      <c r="C57" s="3833"/>
      <c r="D57" s="3840"/>
      <c r="E57" s="3841"/>
      <c r="F57" s="3842"/>
      <c r="G57" s="3831"/>
      <c r="H57" s="3832"/>
      <c r="I57" s="3833"/>
      <c r="J57" s="3804">
        <v>87</v>
      </c>
      <c r="K57" s="3817" t="s">
        <v>1800</v>
      </c>
      <c r="L57" s="3804" t="s">
        <v>1694</v>
      </c>
      <c r="M57" s="3758">
        <v>30</v>
      </c>
      <c r="N57" s="3758">
        <v>0</v>
      </c>
      <c r="O57" s="3819"/>
      <c r="P57" s="3820"/>
      <c r="Q57" s="3819"/>
      <c r="R57" s="3809">
        <f>+W58/$S$48*100</f>
        <v>1.9881128624554156</v>
      </c>
      <c r="S57" s="3813"/>
      <c r="T57" s="3819"/>
      <c r="U57" s="3817" t="s">
        <v>1801</v>
      </c>
      <c r="V57" s="3817" t="s">
        <v>1802</v>
      </c>
      <c r="W57" s="369">
        <v>136316152</v>
      </c>
      <c r="X57" s="369">
        <v>0</v>
      </c>
      <c r="Y57" s="369">
        <v>0</v>
      </c>
      <c r="Z57" s="464">
        <v>80</v>
      </c>
      <c r="AA57" s="463" t="s">
        <v>1711</v>
      </c>
      <c r="AB57" s="3815"/>
      <c r="AC57" s="3815"/>
      <c r="AD57" s="3815"/>
      <c r="AE57" s="3815"/>
      <c r="AF57" s="3815"/>
      <c r="AG57" s="403"/>
      <c r="AH57" s="404"/>
      <c r="AI57" s="404"/>
      <c r="AJ57" s="3815"/>
      <c r="AK57" s="3815"/>
      <c r="AL57" s="3815"/>
      <c r="AM57" s="3798"/>
      <c r="AN57" s="404"/>
      <c r="AO57" s="404"/>
      <c r="AP57" s="404"/>
      <c r="AQ57" s="404"/>
      <c r="AR57" s="404"/>
      <c r="AS57" s="404"/>
      <c r="AT57" s="404"/>
      <c r="AU57" s="404"/>
      <c r="AV57" s="404"/>
      <c r="AW57" s="404"/>
      <c r="AX57" s="404"/>
      <c r="AY57" s="404"/>
      <c r="AZ57" s="3800"/>
      <c r="BA57" s="3800"/>
      <c r="BB57" s="3800"/>
      <c r="BC57" s="3823"/>
      <c r="BD57" s="477" t="s">
        <v>1711</v>
      </c>
      <c r="BE57" s="1601"/>
      <c r="BF57" s="3821">
        <v>42796</v>
      </c>
      <c r="BG57" s="3797"/>
      <c r="BH57" s="3821">
        <v>42827</v>
      </c>
      <c r="BI57" s="3797"/>
      <c r="BJ57" s="3999"/>
    </row>
    <row r="58" spans="1:62" s="402" customFormat="1" ht="63.75" customHeight="1" x14ac:dyDescent="0.2">
      <c r="A58" s="3831"/>
      <c r="B58" s="3832"/>
      <c r="C58" s="3833"/>
      <c r="D58" s="3840"/>
      <c r="E58" s="3841"/>
      <c r="F58" s="3842"/>
      <c r="G58" s="3831"/>
      <c r="H58" s="3832"/>
      <c r="I58" s="3833"/>
      <c r="J58" s="3805"/>
      <c r="K58" s="3818"/>
      <c r="L58" s="3805"/>
      <c r="M58" s="3759"/>
      <c r="N58" s="3760"/>
      <c r="O58" s="3819"/>
      <c r="P58" s="3820"/>
      <c r="Q58" s="3819"/>
      <c r="R58" s="3810"/>
      <c r="S58" s="3813"/>
      <c r="T58" s="3819"/>
      <c r="U58" s="3818"/>
      <c r="V58" s="3818"/>
      <c r="W58" s="371">
        <v>10000000</v>
      </c>
      <c r="X58" s="369"/>
      <c r="Y58" s="369"/>
      <c r="Z58" s="464">
        <v>20</v>
      </c>
      <c r="AA58" s="465" t="s">
        <v>208</v>
      </c>
      <c r="AB58" s="3815"/>
      <c r="AC58" s="3815"/>
      <c r="AD58" s="3815"/>
      <c r="AE58" s="3815"/>
      <c r="AF58" s="3815"/>
      <c r="AG58" s="403"/>
      <c r="AH58" s="404"/>
      <c r="AI58" s="404"/>
      <c r="AJ58" s="3815"/>
      <c r="AK58" s="3815"/>
      <c r="AL58" s="3815"/>
      <c r="AM58" s="3798"/>
      <c r="AN58" s="404"/>
      <c r="AO58" s="404"/>
      <c r="AP58" s="404"/>
      <c r="AQ58" s="404"/>
      <c r="AR58" s="404"/>
      <c r="AS58" s="404"/>
      <c r="AT58" s="404"/>
      <c r="AU58" s="404"/>
      <c r="AV58" s="404"/>
      <c r="AW58" s="404"/>
      <c r="AX58" s="404"/>
      <c r="AY58" s="404"/>
      <c r="AZ58" s="3801"/>
      <c r="BA58" s="3801"/>
      <c r="BB58" s="3801"/>
      <c r="BC58" s="3824"/>
      <c r="BD58" s="467" t="s">
        <v>208</v>
      </c>
      <c r="BE58" s="1601"/>
      <c r="BF58" s="3822"/>
      <c r="BG58" s="3799"/>
      <c r="BH58" s="3822"/>
      <c r="BI58" s="3799"/>
      <c r="BJ58" s="3999"/>
    </row>
    <row r="59" spans="1:62" s="402" customFormat="1" ht="57.75" customHeight="1" x14ac:dyDescent="0.2">
      <c r="A59" s="3831"/>
      <c r="B59" s="3832"/>
      <c r="C59" s="3833"/>
      <c r="D59" s="3840"/>
      <c r="E59" s="3841"/>
      <c r="F59" s="3842"/>
      <c r="G59" s="3831"/>
      <c r="H59" s="3832"/>
      <c r="I59" s="3833"/>
      <c r="J59" s="463">
        <v>88</v>
      </c>
      <c r="K59" s="482" t="s">
        <v>1803</v>
      </c>
      <c r="L59" s="482" t="s">
        <v>1694</v>
      </c>
      <c r="M59" s="559">
        <v>29</v>
      </c>
      <c r="N59" s="559">
        <v>14</v>
      </c>
      <c r="O59" s="3819"/>
      <c r="P59" s="3820"/>
      <c r="Q59" s="3819"/>
      <c r="R59" s="27">
        <f>+W59/$S$48*100</f>
        <v>9.940564312277079</v>
      </c>
      <c r="S59" s="3813"/>
      <c r="T59" s="3819"/>
      <c r="U59" s="482" t="s">
        <v>1804</v>
      </c>
      <c r="V59" s="399" t="s">
        <v>1805</v>
      </c>
      <c r="W59" s="369">
        <v>50000000</v>
      </c>
      <c r="X59" s="369"/>
      <c r="Y59" s="369"/>
      <c r="Z59" s="464">
        <v>35</v>
      </c>
      <c r="AA59" s="463" t="s">
        <v>1700</v>
      </c>
      <c r="AB59" s="3815"/>
      <c r="AC59" s="3815"/>
      <c r="AD59" s="3815"/>
      <c r="AE59" s="3815"/>
      <c r="AF59" s="3815"/>
      <c r="AG59" s="403"/>
      <c r="AH59" s="404"/>
      <c r="AI59" s="404"/>
      <c r="AJ59" s="3815"/>
      <c r="AK59" s="3815"/>
      <c r="AL59" s="3815"/>
      <c r="AM59" s="3798"/>
      <c r="AN59" s="404"/>
      <c r="AO59" s="404"/>
      <c r="AP59" s="404"/>
      <c r="AQ59" s="404"/>
      <c r="AR59" s="404"/>
      <c r="AS59" s="404"/>
      <c r="AT59" s="404"/>
      <c r="AU59" s="404"/>
      <c r="AV59" s="404"/>
      <c r="AW59" s="404"/>
      <c r="AX59" s="404"/>
      <c r="AY59" s="404"/>
      <c r="AZ59" s="369"/>
      <c r="BA59" s="369"/>
      <c r="BB59" s="369"/>
      <c r="BC59" s="405"/>
      <c r="BD59" s="479" t="s">
        <v>1700</v>
      </c>
      <c r="BE59" s="461"/>
      <c r="BF59" s="486">
        <v>42767</v>
      </c>
      <c r="BG59" s="406"/>
      <c r="BH59" s="486">
        <v>43038</v>
      </c>
      <c r="BI59" s="406"/>
      <c r="BJ59" s="3999"/>
    </row>
    <row r="60" spans="1:62" s="402" customFormat="1" ht="29.25" customHeight="1" x14ac:dyDescent="0.2">
      <c r="A60" s="3831"/>
      <c r="B60" s="3832"/>
      <c r="C60" s="3833"/>
      <c r="D60" s="3840"/>
      <c r="E60" s="3841"/>
      <c r="F60" s="3842"/>
      <c r="G60" s="3831"/>
      <c r="H60" s="3832"/>
      <c r="I60" s="3833"/>
      <c r="J60" s="3804">
        <v>86</v>
      </c>
      <c r="K60" s="3806" t="s">
        <v>1806</v>
      </c>
      <c r="L60" s="3806" t="s">
        <v>1694</v>
      </c>
      <c r="M60" s="3808">
        <v>4</v>
      </c>
      <c r="N60" s="3758">
        <v>0</v>
      </c>
      <c r="O60" s="3819"/>
      <c r="P60" s="3820"/>
      <c r="Q60" s="3819"/>
      <c r="R60" s="398">
        <f>+W60/S48*100</f>
        <v>0</v>
      </c>
      <c r="S60" s="3813"/>
      <c r="T60" s="3819"/>
      <c r="U60" s="3806" t="s">
        <v>1807</v>
      </c>
      <c r="V60" s="482" t="s">
        <v>1808</v>
      </c>
      <c r="W60" s="369">
        <v>0</v>
      </c>
      <c r="X60" s="369"/>
      <c r="Y60" s="369"/>
      <c r="Z60" s="464"/>
      <c r="AA60" s="463"/>
      <c r="AB60" s="3815"/>
      <c r="AC60" s="3815"/>
      <c r="AD60" s="3815"/>
      <c r="AE60" s="3815"/>
      <c r="AF60" s="3815"/>
      <c r="AG60" s="403"/>
      <c r="AH60" s="404"/>
      <c r="AI60" s="404"/>
      <c r="AJ60" s="3815"/>
      <c r="AK60" s="3815"/>
      <c r="AL60" s="3815"/>
      <c r="AM60" s="3798"/>
      <c r="AN60" s="404"/>
      <c r="AO60" s="404"/>
      <c r="AP60" s="404"/>
      <c r="AQ60" s="404"/>
      <c r="AR60" s="404"/>
      <c r="AS60" s="404"/>
      <c r="AT60" s="404"/>
      <c r="AU60" s="404"/>
      <c r="AV60" s="404"/>
      <c r="AW60" s="404"/>
      <c r="AX60" s="404"/>
      <c r="AY60" s="404"/>
      <c r="AZ60" s="3800"/>
      <c r="BA60" s="3800"/>
      <c r="BB60" s="3800"/>
      <c r="BC60" s="3802"/>
      <c r="BD60" s="3804" t="s">
        <v>1809</v>
      </c>
      <c r="BE60" s="461"/>
      <c r="BF60" s="486">
        <v>42853</v>
      </c>
      <c r="BG60" s="3797"/>
      <c r="BH60" s="486">
        <v>42853</v>
      </c>
      <c r="BI60" s="3797"/>
      <c r="BJ60" s="3999"/>
    </row>
    <row r="61" spans="1:62" s="402" customFormat="1" ht="33" customHeight="1" x14ac:dyDescent="0.2">
      <c r="A61" s="3831"/>
      <c r="B61" s="3832"/>
      <c r="C61" s="3833"/>
      <c r="D61" s="3840"/>
      <c r="E61" s="3841"/>
      <c r="F61" s="3842"/>
      <c r="G61" s="3831"/>
      <c r="H61" s="3832"/>
      <c r="I61" s="3833"/>
      <c r="J61" s="3820"/>
      <c r="K61" s="3819"/>
      <c r="L61" s="3819"/>
      <c r="M61" s="3808"/>
      <c r="N61" s="3760"/>
      <c r="O61" s="3819"/>
      <c r="P61" s="3820"/>
      <c r="Q61" s="3819"/>
      <c r="R61" s="398">
        <f>+W61/S48*100</f>
        <v>0</v>
      </c>
      <c r="S61" s="3813"/>
      <c r="T61" s="3819"/>
      <c r="U61" s="3819"/>
      <c r="V61" s="482" t="s">
        <v>1810</v>
      </c>
      <c r="W61" s="369">
        <v>0</v>
      </c>
      <c r="X61" s="369"/>
      <c r="Y61" s="369"/>
      <c r="Z61" s="464"/>
      <c r="AA61" s="463"/>
      <c r="AB61" s="3815"/>
      <c r="AC61" s="3815"/>
      <c r="AD61" s="3815"/>
      <c r="AE61" s="3815"/>
      <c r="AF61" s="3815"/>
      <c r="AG61" s="403"/>
      <c r="AH61" s="404"/>
      <c r="AI61" s="404"/>
      <c r="AJ61" s="3815"/>
      <c r="AK61" s="3815"/>
      <c r="AL61" s="3815"/>
      <c r="AM61" s="3798"/>
      <c r="AN61" s="404"/>
      <c r="AO61" s="404"/>
      <c r="AP61" s="404"/>
      <c r="AQ61" s="404"/>
      <c r="AR61" s="404"/>
      <c r="AS61" s="404"/>
      <c r="AT61" s="404"/>
      <c r="AU61" s="404"/>
      <c r="AV61" s="404"/>
      <c r="AW61" s="404"/>
      <c r="AX61" s="404"/>
      <c r="AY61" s="404"/>
      <c r="AZ61" s="3813"/>
      <c r="BA61" s="3813"/>
      <c r="BB61" s="3813"/>
      <c r="BC61" s="3825"/>
      <c r="BD61" s="3820"/>
      <c r="BE61" s="461"/>
      <c r="BF61" s="486">
        <v>42895</v>
      </c>
      <c r="BG61" s="3798"/>
      <c r="BH61" s="486">
        <v>42895</v>
      </c>
      <c r="BI61" s="3798"/>
      <c r="BJ61" s="3999"/>
    </row>
    <row r="62" spans="1:62" s="402" customFormat="1" ht="60.75" customHeight="1" x14ac:dyDescent="0.2">
      <c r="A62" s="3831"/>
      <c r="B62" s="3832"/>
      <c r="C62" s="3833"/>
      <c r="D62" s="3840"/>
      <c r="E62" s="3841"/>
      <c r="F62" s="3842"/>
      <c r="G62" s="3831"/>
      <c r="H62" s="3832"/>
      <c r="I62" s="3833"/>
      <c r="J62" s="3820"/>
      <c r="K62" s="3819"/>
      <c r="L62" s="3819"/>
      <c r="M62" s="3808"/>
      <c r="N62" s="3760"/>
      <c r="O62" s="3819"/>
      <c r="P62" s="3820"/>
      <c r="Q62" s="3819"/>
      <c r="R62" s="398">
        <f>+W62/S48*100</f>
        <v>0</v>
      </c>
      <c r="S62" s="3813"/>
      <c r="T62" s="3819"/>
      <c r="U62" s="3819"/>
      <c r="V62" s="460" t="s">
        <v>1811</v>
      </c>
      <c r="W62" s="369">
        <v>0</v>
      </c>
      <c r="X62" s="369"/>
      <c r="Y62" s="369"/>
      <c r="Z62" s="464"/>
      <c r="AA62" s="463"/>
      <c r="AB62" s="3815"/>
      <c r="AC62" s="3815"/>
      <c r="AD62" s="3815"/>
      <c r="AE62" s="3815"/>
      <c r="AF62" s="3815"/>
      <c r="AG62" s="403"/>
      <c r="AH62" s="404"/>
      <c r="AI62" s="404"/>
      <c r="AJ62" s="3815"/>
      <c r="AK62" s="3815"/>
      <c r="AL62" s="3815"/>
      <c r="AM62" s="3798"/>
      <c r="AN62" s="404"/>
      <c r="AO62" s="404"/>
      <c r="AP62" s="404"/>
      <c r="AQ62" s="404"/>
      <c r="AR62" s="404"/>
      <c r="AS62" s="404"/>
      <c r="AT62" s="404"/>
      <c r="AU62" s="404"/>
      <c r="AV62" s="404"/>
      <c r="AW62" s="404"/>
      <c r="AX62" s="404"/>
      <c r="AY62" s="404"/>
      <c r="AZ62" s="3813"/>
      <c r="BA62" s="3813"/>
      <c r="BB62" s="3813"/>
      <c r="BC62" s="3825"/>
      <c r="BD62" s="3820"/>
      <c r="BE62" s="461"/>
      <c r="BF62" s="486">
        <v>42934</v>
      </c>
      <c r="BG62" s="3798"/>
      <c r="BH62" s="486">
        <v>42934</v>
      </c>
      <c r="BI62" s="3798"/>
      <c r="BJ62" s="3999"/>
    </row>
    <row r="63" spans="1:62" s="402" customFormat="1" ht="54.75" customHeight="1" x14ac:dyDescent="0.2">
      <c r="A63" s="3831"/>
      <c r="B63" s="3832"/>
      <c r="C63" s="3833"/>
      <c r="D63" s="3840"/>
      <c r="E63" s="3841"/>
      <c r="F63" s="3842"/>
      <c r="G63" s="3831"/>
      <c r="H63" s="3832"/>
      <c r="I63" s="3833"/>
      <c r="J63" s="3820"/>
      <c r="K63" s="3819"/>
      <c r="L63" s="3819"/>
      <c r="M63" s="3808"/>
      <c r="N63" s="3760"/>
      <c r="O63" s="3819"/>
      <c r="P63" s="3820"/>
      <c r="Q63" s="3819"/>
      <c r="R63" s="398">
        <f>+W63/S48*100</f>
        <v>0</v>
      </c>
      <c r="S63" s="3813"/>
      <c r="T63" s="3819"/>
      <c r="U63" s="3819"/>
      <c r="V63" s="460" t="s">
        <v>1812</v>
      </c>
      <c r="W63" s="369">
        <v>0</v>
      </c>
      <c r="X63" s="369"/>
      <c r="Y63" s="369"/>
      <c r="Z63" s="464"/>
      <c r="AA63" s="463"/>
      <c r="AB63" s="3815"/>
      <c r="AC63" s="3815"/>
      <c r="AD63" s="3815"/>
      <c r="AE63" s="3815"/>
      <c r="AF63" s="3815"/>
      <c r="AG63" s="403"/>
      <c r="AH63" s="404"/>
      <c r="AI63" s="404"/>
      <c r="AJ63" s="3815"/>
      <c r="AK63" s="3815"/>
      <c r="AL63" s="3815"/>
      <c r="AM63" s="3798"/>
      <c r="AN63" s="404"/>
      <c r="AO63" s="404"/>
      <c r="AP63" s="404"/>
      <c r="AQ63" s="404"/>
      <c r="AR63" s="404"/>
      <c r="AS63" s="404"/>
      <c r="AT63" s="404"/>
      <c r="AU63" s="404"/>
      <c r="AV63" s="404"/>
      <c r="AW63" s="404"/>
      <c r="AX63" s="404"/>
      <c r="AY63" s="404"/>
      <c r="AZ63" s="3813"/>
      <c r="BA63" s="3813"/>
      <c r="BB63" s="3813"/>
      <c r="BC63" s="3825"/>
      <c r="BD63" s="3820"/>
      <c r="BE63" s="461"/>
      <c r="BF63" s="486">
        <v>42935</v>
      </c>
      <c r="BG63" s="3798"/>
      <c r="BH63" s="486">
        <v>42935</v>
      </c>
      <c r="BI63" s="3798"/>
      <c r="BJ63" s="3999"/>
    </row>
    <row r="64" spans="1:62" s="402" customFormat="1" ht="37.5" customHeight="1" x14ac:dyDescent="0.2">
      <c r="A64" s="3831"/>
      <c r="B64" s="3832"/>
      <c r="C64" s="3833"/>
      <c r="D64" s="3840"/>
      <c r="E64" s="3841"/>
      <c r="F64" s="3842"/>
      <c r="G64" s="3831"/>
      <c r="H64" s="3832"/>
      <c r="I64" s="3833"/>
      <c r="J64" s="3805"/>
      <c r="K64" s="3807"/>
      <c r="L64" s="3807"/>
      <c r="M64" s="3808"/>
      <c r="N64" s="3759"/>
      <c r="O64" s="3819"/>
      <c r="P64" s="3820"/>
      <c r="Q64" s="3819"/>
      <c r="R64" s="398">
        <f>+W64/S48*100</f>
        <v>19.219763198541024</v>
      </c>
      <c r="S64" s="3813"/>
      <c r="T64" s="3819"/>
      <c r="U64" s="3819"/>
      <c r="V64" s="482" t="s">
        <v>1813</v>
      </c>
      <c r="W64" s="369">
        <v>96673401</v>
      </c>
      <c r="X64" s="369"/>
      <c r="Y64" s="369"/>
      <c r="Z64" s="464">
        <v>35</v>
      </c>
      <c r="AA64" s="463" t="s">
        <v>1809</v>
      </c>
      <c r="AB64" s="3815"/>
      <c r="AC64" s="3815"/>
      <c r="AD64" s="3815"/>
      <c r="AE64" s="3815"/>
      <c r="AF64" s="3815"/>
      <c r="AG64" s="403"/>
      <c r="AH64" s="404"/>
      <c r="AI64" s="404"/>
      <c r="AJ64" s="3815"/>
      <c r="AK64" s="3815"/>
      <c r="AL64" s="3815"/>
      <c r="AM64" s="3798"/>
      <c r="AN64" s="404"/>
      <c r="AO64" s="404"/>
      <c r="AP64" s="404"/>
      <c r="AQ64" s="404"/>
      <c r="AR64" s="404"/>
      <c r="AS64" s="404"/>
      <c r="AT64" s="404"/>
      <c r="AU64" s="404"/>
      <c r="AV64" s="404"/>
      <c r="AW64" s="404"/>
      <c r="AX64" s="404"/>
      <c r="AY64" s="404"/>
      <c r="AZ64" s="3801"/>
      <c r="BA64" s="3801"/>
      <c r="BB64" s="3801"/>
      <c r="BC64" s="3803"/>
      <c r="BD64" s="3805"/>
      <c r="BE64" s="461"/>
      <c r="BF64" s="486">
        <v>43032</v>
      </c>
      <c r="BG64" s="3799"/>
      <c r="BH64" s="486">
        <v>43032</v>
      </c>
      <c r="BI64" s="3799"/>
      <c r="BJ64" s="3999"/>
    </row>
    <row r="65" spans="1:62" s="402" customFormat="1" ht="69.75" customHeight="1" x14ac:dyDescent="0.2">
      <c r="A65" s="3831"/>
      <c r="B65" s="3832"/>
      <c r="C65" s="3833"/>
      <c r="D65" s="3840"/>
      <c r="E65" s="3841"/>
      <c r="F65" s="3842"/>
      <c r="G65" s="3831"/>
      <c r="H65" s="3832"/>
      <c r="I65" s="3833"/>
      <c r="J65" s="463">
        <v>89</v>
      </c>
      <c r="K65" s="482" t="s">
        <v>1814</v>
      </c>
      <c r="L65" s="482" t="s">
        <v>1694</v>
      </c>
      <c r="M65" s="559">
        <v>10000</v>
      </c>
      <c r="N65" s="559">
        <v>14929</v>
      </c>
      <c r="O65" s="3819"/>
      <c r="P65" s="3820"/>
      <c r="Q65" s="3819"/>
      <c r="R65" s="27">
        <f>+W65/S48*100</f>
        <v>0</v>
      </c>
      <c r="S65" s="3813"/>
      <c r="T65" s="3819"/>
      <c r="U65" s="482" t="s">
        <v>1815</v>
      </c>
      <c r="V65" s="460" t="s">
        <v>1816</v>
      </c>
      <c r="W65" s="369">
        <v>0</v>
      </c>
      <c r="X65" s="369"/>
      <c r="Y65" s="369"/>
      <c r="Z65" s="464"/>
      <c r="AA65" s="463"/>
      <c r="AB65" s="3815"/>
      <c r="AC65" s="3815"/>
      <c r="AD65" s="3815"/>
      <c r="AE65" s="3815"/>
      <c r="AF65" s="3815"/>
      <c r="AG65" s="403"/>
      <c r="AH65" s="404"/>
      <c r="AI65" s="404"/>
      <c r="AJ65" s="3815"/>
      <c r="AK65" s="3815"/>
      <c r="AL65" s="3815"/>
      <c r="AM65" s="3798"/>
      <c r="AN65" s="404"/>
      <c r="AO65" s="404"/>
      <c r="AP65" s="404"/>
      <c r="AQ65" s="404"/>
      <c r="AR65" s="404"/>
      <c r="AS65" s="404"/>
      <c r="AT65" s="404"/>
      <c r="AU65" s="404"/>
      <c r="AV65" s="404"/>
      <c r="AW65" s="404"/>
      <c r="AX65" s="404"/>
      <c r="AY65" s="404"/>
      <c r="AZ65" s="369"/>
      <c r="BA65" s="369"/>
      <c r="BB65" s="369"/>
      <c r="BC65" s="405"/>
      <c r="BD65" s="463"/>
      <c r="BE65" s="461"/>
      <c r="BF65" s="486">
        <v>42784</v>
      </c>
      <c r="BG65" s="406"/>
      <c r="BH65" s="486">
        <v>43069</v>
      </c>
      <c r="BI65" s="406"/>
      <c r="BJ65" s="3999"/>
    </row>
    <row r="66" spans="1:62" s="402" customFormat="1" ht="66.75" customHeight="1" x14ac:dyDescent="0.2">
      <c r="A66" s="3831"/>
      <c r="B66" s="3832"/>
      <c r="C66" s="3833"/>
      <c r="D66" s="3840"/>
      <c r="E66" s="3841"/>
      <c r="F66" s="3842"/>
      <c r="G66" s="3831"/>
      <c r="H66" s="3832"/>
      <c r="I66" s="3833"/>
      <c r="J66" s="3804">
        <v>90</v>
      </c>
      <c r="K66" s="3806" t="s">
        <v>1817</v>
      </c>
      <c r="L66" s="3806" t="s">
        <v>1694</v>
      </c>
      <c r="M66" s="3808">
        <v>115</v>
      </c>
      <c r="N66" s="3758">
        <v>0</v>
      </c>
      <c r="O66" s="3819"/>
      <c r="P66" s="3820"/>
      <c r="Q66" s="3819"/>
      <c r="R66" s="3809">
        <f>+W66/S48*100</f>
        <v>4.7714708698929975</v>
      </c>
      <c r="S66" s="3813"/>
      <c r="T66" s="3819"/>
      <c r="U66" s="3806" t="s">
        <v>1818</v>
      </c>
      <c r="V66" s="460" t="s">
        <v>1819</v>
      </c>
      <c r="W66" s="386">
        <v>24000000</v>
      </c>
      <c r="X66" s="386"/>
      <c r="Y66" s="386"/>
      <c r="Z66" s="3811">
        <v>20</v>
      </c>
      <c r="AA66" s="3804" t="s">
        <v>208</v>
      </c>
      <c r="AB66" s="3815"/>
      <c r="AC66" s="3815"/>
      <c r="AD66" s="3815"/>
      <c r="AE66" s="3815"/>
      <c r="AF66" s="3815"/>
      <c r="AG66" s="403"/>
      <c r="AH66" s="404"/>
      <c r="AI66" s="404"/>
      <c r="AJ66" s="3815"/>
      <c r="AK66" s="3815"/>
      <c r="AL66" s="3815"/>
      <c r="AM66" s="3798"/>
      <c r="AN66" s="404"/>
      <c r="AO66" s="404"/>
      <c r="AP66" s="404"/>
      <c r="AQ66" s="404"/>
      <c r="AR66" s="404"/>
      <c r="AS66" s="404"/>
      <c r="AT66" s="404"/>
      <c r="AU66" s="404"/>
      <c r="AV66" s="404"/>
      <c r="AW66" s="404"/>
      <c r="AX66" s="404"/>
      <c r="AY66" s="404"/>
      <c r="AZ66" s="3800"/>
      <c r="BA66" s="3800"/>
      <c r="BB66" s="3800"/>
      <c r="BC66" s="3802"/>
      <c r="BD66" s="3804" t="s">
        <v>208</v>
      </c>
      <c r="BE66" s="461"/>
      <c r="BF66" s="486">
        <v>42767</v>
      </c>
      <c r="BG66" s="3797"/>
      <c r="BH66" s="486">
        <v>43069</v>
      </c>
      <c r="BI66" s="3797"/>
      <c r="BJ66" s="3999"/>
    </row>
    <row r="67" spans="1:62" s="402" customFormat="1" ht="94.5" customHeight="1" x14ac:dyDescent="0.2">
      <c r="A67" s="3831"/>
      <c r="B67" s="3832"/>
      <c r="C67" s="3833"/>
      <c r="D67" s="3840"/>
      <c r="E67" s="3841"/>
      <c r="F67" s="3842"/>
      <c r="G67" s="3831"/>
      <c r="H67" s="3832"/>
      <c r="I67" s="3833"/>
      <c r="J67" s="3805"/>
      <c r="K67" s="3807"/>
      <c r="L67" s="3807"/>
      <c r="M67" s="3808"/>
      <c r="N67" s="3760"/>
      <c r="O67" s="3819"/>
      <c r="P67" s="3820"/>
      <c r="Q67" s="3819"/>
      <c r="R67" s="3810"/>
      <c r="S67" s="3813"/>
      <c r="T67" s="3819"/>
      <c r="U67" s="3807"/>
      <c r="V67" s="460" t="s">
        <v>1820</v>
      </c>
      <c r="W67" s="386">
        <v>16000000</v>
      </c>
      <c r="X67" s="386"/>
      <c r="Y67" s="386"/>
      <c r="Z67" s="3812"/>
      <c r="AA67" s="3805"/>
      <c r="AB67" s="3815"/>
      <c r="AC67" s="3815"/>
      <c r="AD67" s="3815"/>
      <c r="AE67" s="3815"/>
      <c r="AF67" s="3815"/>
      <c r="AG67" s="403"/>
      <c r="AH67" s="404"/>
      <c r="AI67" s="404"/>
      <c r="AJ67" s="3815"/>
      <c r="AK67" s="3815"/>
      <c r="AL67" s="3815"/>
      <c r="AM67" s="3798"/>
      <c r="AN67" s="404"/>
      <c r="AO67" s="404"/>
      <c r="AP67" s="404"/>
      <c r="AQ67" s="404"/>
      <c r="AR67" s="404"/>
      <c r="AS67" s="404"/>
      <c r="AT67" s="404"/>
      <c r="AU67" s="404"/>
      <c r="AV67" s="404"/>
      <c r="AW67" s="404"/>
      <c r="AX67" s="404"/>
      <c r="AY67" s="404"/>
      <c r="AZ67" s="3801"/>
      <c r="BA67" s="3801"/>
      <c r="BB67" s="3801"/>
      <c r="BC67" s="3803"/>
      <c r="BD67" s="3805"/>
      <c r="BE67" s="461"/>
      <c r="BF67" s="486">
        <v>42795</v>
      </c>
      <c r="BG67" s="3799"/>
      <c r="BH67" s="486">
        <v>43003</v>
      </c>
      <c r="BI67" s="3799"/>
      <c r="BJ67" s="3999"/>
    </row>
    <row r="68" spans="1:62" s="402" customFormat="1" ht="93.75" customHeight="1" x14ac:dyDescent="0.2">
      <c r="A68" s="3831"/>
      <c r="B68" s="3832"/>
      <c r="C68" s="3833"/>
      <c r="D68" s="3840"/>
      <c r="E68" s="3841"/>
      <c r="F68" s="3842"/>
      <c r="G68" s="3831"/>
      <c r="H68" s="3832"/>
      <c r="I68" s="3833"/>
      <c r="J68" s="463">
        <v>91</v>
      </c>
      <c r="K68" s="482" t="s">
        <v>1821</v>
      </c>
      <c r="L68" s="482" t="s">
        <v>1694</v>
      </c>
      <c r="M68" s="559">
        <v>54</v>
      </c>
      <c r="N68" s="559">
        <v>0</v>
      </c>
      <c r="O68" s="3819"/>
      <c r="P68" s="3820"/>
      <c r="Q68" s="3819"/>
      <c r="R68" s="27">
        <f>+W68/S48*100</f>
        <v>29.821692936831234</v>
      </c>
      <c r="S68" s="3813"/>
      <c r="T68" s="3819"/>
      <c r="U68" s="482" t="s">
        <v>1822</v>
      </c>
      <c r="V68" s="482" t="s">
        <v>1823</v>
      </c>
      <c r="W68" s="369">
        <v>150000000</v>
      </c>
      <c r="X68" s="369"/>
      <c r="Y68" s="369"/>
      <c r="Z68" s="464">
        <v>35</v>
      </c>
      <c r="AA68" s="463" t="s">
        <v>1824</v>
      </c>
      <c r="AB68" s="3815"/>
      <c r="AC68" s="3815"/>
      <c r="AD68" s="3815"/>
      <c r="AE68" s="3815"/>
      <c r="AF68" s="3815"/>
      <c r="AG68" s="403"/>
      <c r="AH68" s="404"/>
      <c r="AI68" s="404"/>
      <c r="AJ68" s="3815"/>
      <c r="AK68" s="3815"/>
      <c r="AL68" s="3815"/>
      <c r="AM68" s="3798"/>
      <c r="AN68" s="404"/>
      <c r="AO68" s="404"/>
      <c r="AP68" s="404"/>
      <c r="AQ68" s="404"/>
      <c r="AR68" s="404"/>
      <c r="AS68" s="404"/>
      <c r="AT68" s="404"/>
      <c r="AU68" s="404"/>
      <c r="AV68" s="404"/>
      <c r="AW68" s="404"/>
      <c r="AX68" s="404"/>
      <c r="AY68" s="404"/>
      <c r="AZ68" s="369"/>
      <c r="BA68" s="369"/>
      <c r="BB68" s="369"/>
      <c r="BC68" s="405"/>
      <c r="BD68" s="463" t="s">
        <v>1824</v>
      </c>
      <c r="BE68" s="461"/>
      <c r="BF68" s="406"/>
      <c r="BG68" s="406"/>
      <c r="BH68" s="406"/>
      <c r="BI68" s="406"/>
      <c r="BJ68" s="3999"/>
    </row>
    <row r="69" spans="1:62" s="402" customFormat="1" ht="87" customHeight="1" x14ac:dyDescent="0.2">
      <c r="A69" s="3834"/>
      <c r="B69" s="3835"/>
      <c r="C69" s="3836"/>
      <c r="D69" s="3843"/>
      <c r="E69" s="3844"/>
      <c r="F69" s="3845"/>
      <c r="G69" s="3834"/>
      <c r="H69" s="3835"/>
      <c r="I69" s="3836"/>
      <c r="J69" s="463">
        <v>92</v>
      </c>
      <c r="K69" s="482" t="s">
        <v>1825</v>
      </c>
      <c r="L69" s="482" t="s">
        <v>1694</v>
      </c>
      <c r="M69" s="559">
        <v>2</v>
      </c>
      <c r="N69" s="526">
        <v>5</v>
      </c>
      <c r="O69" s="3807"/>
      <c r="P69" s="3805"/>
      <c r="Q69" s="3807"/>
      <c r="R69" s="27">
        <f>+W68/S48*100</f>
        <v>29.821692936831234</v>
      </c>
      <c r="S69" s="3801"/>
      <c r="T69" s="3807"/>
      <c r="U69" s="482" t="s">
        <v>1826</v>
      </c>
      <c r="V69" s="482" t="s">
        <v>1827</v>
      </c>
      <c r="W69" s="369">
        <v>0</v>
      </c>
      <c r="X69" s="369"/>
      <c r="Y69" s="369"/>
      <c r="Z69" s="464"/>
      <c r="AA69" s="463"/>
      <c r="AB69" s="3816"/>
      <c r="AC69" s="3816"/>
      <c r="AD69" s="3816"/>
      <c r="AE69" s="3816"/>
      <c r="AF69" s="3816"/>
      <c r="AG69" s="407"/>
      <c r="AH69" s="408"/>
      <c r="AI69" s="408"/>
      <c r="AJ69" s="3816"/>
      <c r="AK69" s="3816"/>
      <c r="AL69" s="3816"/>
      <c r="AM69" s="3799"/>
      <c r="AN69" s="408"/>
      <c r="AO69" s="408"/>
      <c r="AP69" s="408"/>
      <c r="AQ69" s="408"/>
      <c r="AR69" s="408"/>
      <c r="AS69" s="408"/>
      <c r="AT69" s="408"/>
      <c r="AU69" s="408"/>
      <c r="AV69" s="408"/>
      <c r="AW69" s="408"/>
      <c r="AX69" s="408"/>
      <c r="AY69" s="408"/>
      <c r="AZ69" s="369"/>
      <c r="BA69" s="369"/>
      <c r="BB69" s="369"/>
      <c r="BC69" s="405"/>
      <c r="BD69" s="463"/>
      <c r="BE69" s="461"/>
      <c r="BF69" s="486">
        <v>42842</v>
      </c>
      <c r="BG69" s="406"/>
      <c r="BH69" s="486">
        <v>42872</v>
      </c>
      <c r="BI69" s="406"/>
      <c r="BJ69" s="3909"/>
    </row>
    <row r="70" spans="1:62" s="4" customFormat="1" ht="12.75" x14ac:dyDescent="0.2">
      <c r="A70" s="539"/>
      <c r="B70" s="540"/>
      <c r="C70" s="540"/>
      <c r="D70" s="540"/>
      <c r="E70" s="540"/>
      <c r="F70" s="541"/>
      <c r="G70" s="396">
        <v>21</v>
      </c>
      <c r="H70" s="3723" t="s">
        <v>1828</v>
      </c>
      <c r="I70" s="3723"/>
      <c r="J70" s="3723"/>
      <c r="K70" s="3723"/>
      <c r="L70" s="3723"/>
      <c r="M70" s="364"/>
      <c r="N70" s="364"/>
      <c r="O70" s="564"/>
      <c r="P70" s="17"/>
      <c r="Q70" s="564"/>
      <c r="R70" s="17"/>
      <c r="S70" s="17"/>
      <c r="T70" s="564"/>
      <c r="U70" s="564"/>
      <c r="V70" s="564"/>
      <c r="W70" s="312">
        <f>SUM(W71:W75)</f>
        <v>287500000</v>
      </c>
      <c r="X70" s="312">
        <f t="shared" ref="X70:Y70" si="12">SUM(X71:X75)</f>
        <v>0</v>
      </c>
      <c r="Y70" s="312">
        <f t="shared" si="12"/>
        <v>0</v>
      </c>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1"/>
      <c r="BA70" s="312">
        <f t="shared" ref="BA70:BB70" si="13">SUM(BA71:BA75)</f>
        <v>0</v>
      </c>
      <c r="BB70" s="312">
        <f t="shared" si="13"/>
        <v>0</v>
      </c>
      <c r="BC70" s="377">
        <f>+BA70/W70</f>
        <v>0</v>
      </c>
      <c r="BD70" s="17"/>
      <c r="BE70" s="1598"/>
      <c r="BF70" s="388"/>
      <c r="BG70" s="388"/>
      <c r="BH70" s="388"/>
      <c r="BI70" s="388"/>
      <c r="BJ70" s="18"/>
    </row>
    <row r="71" spans="1:62" s="4" customFormat="1" ht="66.75" customHeight="1" x14ac:dyDescent="0.2">
      <c r="A71" s="3739"/>
      <c r="B71" s="3740"/>
      <c r="C71" s="3741"/>
      <c r="D71" s="3714"/>
      <c r="E71" s="3715"/>
      <c r="F71" s="3716"/>
      <c r="G71" s="3739"/>
      <c r="H71" s="3740"/>
      <c r="I71" s="3741"/>
      <c r="J71" s="471">
        <v>93</v>
      </c>
      <c r="K71" s="485" t="s">
        <v>1829</v>
      </c>
      <c r="L71" s="485" t="s">
        <v>1694</v>
      </c>
      <c r="M71" s="559">
        <v>18</v>
      </c>
      <c r="N71" s="559">
        <v>4</v>
      </c>
      <c r="O71" s="13"/>
      <c r="P71" s="3726">
        <v>91</v>
      </c>
      <c r="Q71" s="3724" t="s">
        <v>1830</v>
      </c>
      <c r="R71" s="511">
        <f>+W71/S71*100</f>
        <v>0</v>
      </c>
      <c r="S71" s="3702">
        <f>SUM(W71:W75)</f>
        <v>287500000</v>
      </c>
      <c r="T71" s="3724" t="s">
        <v>1831</v>
      </c>
      <c r="U71" s="485" t="s">
        <v>1832</v>
      </c>
      <c r="V71" s="485" t="s">
        <v>1833</v>
      </c>
      <c r="W71" s="389">
        <v>0</v>
      </c>
      <c r="X71" s="389"/>
      <c r="Y71" s="389"/>
      <c r="Z71" s="484"/>
      <c r="AA71" s="471"/>
      <c r="AB71" s="3730">
        <v>2732</v>
      </c>
      <c r="AC71" s="3730">
        <v>2732</v>
      </c>
      <c r="AD71" s="3730">
        <v>17360</v>
      </c>
      <c r="AE71" s="3730">
        <v>17360</v>
      </c>
      <c r="AF71" s="3730">
        <v>21116</v>
      </c>
      <c r="AG71" s="3730">
        <v>2116</v>
      </c>
      <c r="AH71" s="3702"/>
      <c r="AI71" s="490"/>
      <c r="AJ71" s="3730">
        <v>4451</v>
      </c>
      <c r="AK71" s="3730">
        <v>4451</v>
      </c>
      <c r="AL71" s="3730">
        <v>56</v>
      </c>
      <c r="AM71" s="3730">
        <v>56</v>
      </c>
      <c r="AN71" s="3702"/>
      <c r="AO71" s="3702"/>
      <c r="AP71" s="3702"/>
      <c r="AQ71" s="3702"/>
      <c r="AR71" s="3702"/>
      <c r="AS71" s="3702"/>
      <c r="AT71" s="3702"/>
      <c r="AU71" s="3702"/>
      <c r="AV71" s="3702"/>
      <c r="AW71" s="3702"/>
      <c r="AX71" s="3702"/>
      <c r="AY71" s="389"/>
      <c r="AZ71" s="389"/>
      <c r="BA71" s="389"/>
      <c r="BB71" s="389"/>
      <c r="BC71" s="373"/>
      <c r="BD71" s="389"/>
      <c r="BE71" s="461"/>
      <c r="BF71" s="504">
        <v>42767</v>
      </c>
      <c r="BG71" s="383"/>
      <c r="BH71" s="504">
        <v>43038</v>
      </c>
      <c r="BI71" s="383"/>
      <c r="BJ71" s="3996" t="s">
        <v>1704</v>
      </c>
    </row>
    <row r="72" spans="1:62" s="4" customFormat="1" ht="63.75" customHeight="1" x14ac:dyDescent="0.2">
      <c r="A72" s="3742"/>
      <c r="B72" s="3743"/>
      <c r="C72" s="3744"/>
      <c r="D72" s="3761"/>
      <c r="E72" s="3721"/>
      <c r="F72" s="3722"/>
      <c r="G72" s="3742"/>
      <c r="H72" s="3743"/>
      <c r="I72" s="3744"/>
      <c r="J72" s="471">
        <v>94</v>
      </c>
      <c r="K72" s="485" t="s">
        <v>1834</v>
      </c>
      <c r="L72" s="485" t="s">
        <v>1694</v>
      </c>
      <c r="M72" s="559">
        <v>105</v>
      </c>
      <c r="N72" s="559">
        <v>0</v>
      </c>
      <c r="O72" s="485" t="s">
        <v>1835</v>
      </c>
      <c r="P72" s="3729"/>
      <c r="Q72" s="3728"/>
      <c r="R72" s="511">
        <f>+W72/S71*100</f>
        <v>88</v>
      </c>
      <c r="S72" s="3703"/>
      <c r="T72" s="3728"/>
      <c r="U72" s="485" t="s">
        <v>1836</v>
      </c>
      <c r="V72" s="485" t="s">
        <v>1837</v>
      </c>
      <c r="W72" s="389">
        <v>253000000</v>
      </c>
      <c r="X72" s="389"/>
      <c r="Y72" s="389"/>
      <c r="Z72" s="484">
        <v>35</v>
      </c>
      <c r="AA72" s="471" t="s">
        <v>1700</v>
      </c>
      <c r="AB72" s="3731"/>
      <c r="AC72" s="3731"/>
      <c r="AD72" s="3731"/>
      <c r="AE72" s="3731"/>
      <c r="AF72" s="3731"/>
      <c r="AG72" s="3731"/>
      <c r="AH72" s="3703"/>
      <c r="AI72" s="491"/>
      <c r="AJ72" s="3731"/>
      <c r="AK72" s="3731"/>
      <c r="AL72" s="3731"/>
      <c r="AM72" s="3731"/>
      <c r="AN72" s="3703"/>
      <c r="AO72" s="3703"/>
      <c r="AP72" s="3703"/>
      <c r="AQ72" s="3703"/>
      <c r="AR72" s="3703"/>
      <c r="AS72" s="3703"/>
      <c r="AT72" s="3703"/>
      <c r="AU72" s="3703"/>
      <c r="AV72" s="3703"/>
      <c r="AW72" s="3703"/>
      <c r="AX72" s="3703"/>
      <c r="AY72" s="389"/>
      <c r="AZ72" s="389"/>
      <c r="BA72" s="389"/>
      <c r="BB72" s="389"/>
      <c r="BC72" s="373"/>
      <c r="BD72" s="389"/>
      <c r="BE72" s="461"/>
      <c r="BF72" s="504">
        <v>42767</v>
      </c>
      <c r="BG72" s="383"/>
      <c r="BH72" s="504">
        <v>42824</v>
      </c>
      <c r="BI72" s="383"/>
      <c r="BJ72" s="3997"/>
    </row>
    <row r="73" spans="1:62" s="4" customFormat="1" ht="65.25" customHeight="1" x14ac:dyDescent="0.2">
      <c r="A73" s="3742"/>
      <c r="B73" s="3743"/>
      <c r="C73" s="3744"/>
      <c r="D73" s="3761"/>
      <c r="E73" s="3721"/>
      <c r="F73" s="3722"/>
      <c r="G73" s="3742"/>
      <c r="H73" s="3743"/>
      <c r="I73" s="3744"/>
      <c r="J73" s="3726">
        <v>95</v>
      </c>
      <c r="K73" s="3724" t="s">
        <v>1838</v>
      </c>
      <c r="L73" s="3724" t="s">
        <v>1694</v>
      </c>
      <c r="M73" s="3758">
        <v>500</v>
      </c>
      <c r="N73" s="3758">
        <v>113</v>
      </c>
      <c r="O73" s="3724" t="s">
        <v>1839</v>
      </c>
      <c r="P73" s="3729"/>
      <c r="Q73" s="3728"/>
      <c r="R73" s="511">
        <f>+W73/S71*100</f>
        <v>1.5652173913043479</v>
      </c>
      <c r="S73" s="3703"/>
      <c r="T73" s="3728"/>
      <c r="U73" s="3724" t="s">
        <v>1840</v>
      </c>
      <c r="V73" s="3780" t="s">
        <v>1841</v>
      </c>
      <c r="W73" s="389">
        <v>4500000</v>
      </c>
      <c r="X73" s="389"/>
      <c r="Y73" s="389"/>
      <c r="Z73" s="484">
        <v>35</v>
      </c>
      <c r="AA73" s="471" t="s">
        <v>1700</v>
      </c>
      <c r="AB73" s="3731"/>
      <c r="AC73" s="3731"/>
      <c r="AD73" s="3731"/>
      <c r="AE73" s="3731"/>
      <c r="AF73" s="3731"/>
      <c r="AG73" s="3731"/>
      <c r="AH73" s="3703"/>
      <c r="AI73" s="491"/>
      <c r="AJ73" s="3731"/>
      <c r="AK73" s="3731"/>
      <c r="AL73" s="3731"/>
      <c r="AM73" s="3731"/>
      <c r="AN73" s="3703"/>
      <c r="AO73" s="3703"/>
      <c r="AP73" s="3703"/>
      <c r="AQ73" s="3703"/>
      <c r="AR73" s="3703"/>
      <c r="AS73" s="3703"/>
      <c r="AT73" s="3703"/>
      <c r="AU73" s="3703"/>
      <c r="AV73" s="3703"/>
      <c r="AW73" s="3703"/>
      <c r="AX73" s="3703"/>
      <c r="AY73" s="490"/>
      <c r="AZ73" s="490"/>
      <c r="BA73" s="490"/>
      <c r="BB73" s="490"/>
      <c r="BC73" s="531"/>
      <c r="BD73" s="490"/>
      <c r="BE73" s="461"/>
      <c r="BF73" s="3750">
        <v>42767</v>
      </c>
      <c r="BG73" s="3730"/>
      <c r="BH73" s="3750">
        <v>43038</v>
      </c>
      <c r="BI73" s="3730"/>
      <c r="BJ73" s="3997"/>
    </row>
    <row r="74" spans="1:62" s="4" customFormat="1" ht="102.75" customHeight="1" x14ac:dyDescent="0.2">
      <c r="A74" s="3742"/>
      <c r="B74" s="3743"/>
      <c r="C74" s="3744"/>
      <c r="D74" s="3761"/>
      <c r="E74" s="3721"/>
      <c r="F74" s="3722"/>
      <c r="G74" s="3742"/>
      <c r="H74" s="3743"/>
      <c r="I74" s="3744"/>
      <c r="J74" s="3727"/>
      <c r="K74" s="3725"/>
      <c r="L74" s="3725"/>
      <c r="M74" s="3759"/>
      <c r="N74" s="3759"/>
      <c r="O74" s="3725"/>
      <c r="P74" s="3729"/>
      <c r="Q74" s="3728"/>
      <c r="R74" s="511">
        <f>+W74/S71*100</f>
        <v>4.7652173913043478</v>
      </c>
      <c r="S74" s="3703"/>
      <c r="T74" s="3728"/>
      <c r="U74" s="3725"/>
      <c r="V74" s="3781"/>
      <c r="W74" s="389">
        <v>13700000</v>
      </c>
      <c r="X74" s="389"/>
      <c r="Y74" s="389"/>
      <c r="Z74" s="484">
        <v>20</v>
      </c>
      <c r="AA74" s="471" t="s">
        <v>208</v>
      </c>
      <c r="AB74" s="3731"/>
      <c r="AC74" s="3731"/>
      <c r="AD74" s="3731"/>
      <c r="AE74" s="3731"/>
      <c r="AF74" s="3731"/>
      <c r="AG74" s="3731"/>
      <c r="AH74" s="3703"/>
      <c r="AI74" s="491"/>
      <c r="AJ74" s="3731"/>
      <c r="AK74" s="3731"/>
      <c r="AL74" s="3731"/>
      <c r="AM74" s="3731"/>
      <c r="AN74" s="3703"/>
      <c r="AO74" s="3703"/>
      <c r="AP74" s="3703"/>
      <c r="AQ74" s="3703"/>
      <c r="AR74" s="3703"/>
      <c r="AS74" s="3703"/>
      <c r="AT74" s="3703"/>
      <c r="AU74" s="3703"/>
      <c r="AV74" s="3703"/>
      <c r="AW74" s="3703"/>
      <c r="AX74" s="3703"/>
      <c r="AY74" s="492"/>
      <c r="AZ74" s="492"/>
      <c r="BA74" s="492"/>
      <c r="BB74" s="492"/>
      <c r="BC74" s="532"/>
      <c r="BD74" s="492"/>
      <c r="BE74" s="461"/>
      <c r="BF74" s="3751"/>
      <c r="BG74" s="3732"/>
      <c r="BH74" s="3751"/>
      <c r="BI74" s="3732"/>
      <c r="BJ74" s="3997"/>
    </row>
    <row r="75" spans="1:62" s="4" customFormat="1" ht="119.25" customHeight="1" x14ac:dyDescent="0.2">
      <c r="A75" s="3745"/>
      <c r="B75" s="3746"/>
      <c r="C75" s="3747"/>
      <c r="D75" s="3717"/>
      <c r="E75" s="3718"/>
      <c r="F75" s="3719"/>
      <c r="G75" s="3745"/>
      <c r="H75" s="3746"/>
      <c r="I75" s="3747"/>
      <c r="J75" s="471">
        <v>96</v>
      </c>
      <c r="K75" s="485" t="s">
        <v>1842</v>
      </c>
      <c r="L75" s="485" t="s">
        <v>1694</v>
      </c>
      <c r="M75" s="559">
        <v>3</v>
      </c>
      <c r="N75" s="559">
        <v>0</v>
      </c>
      <c r="O75" s="13"/>
      <c r="P75" s="3727"/>
      <c r="Q75" s="3725"/>
      <c r="R75" s="511">
        <f>+W75/S71*100</f>
        <v>5.6695652173913045</v>
      </c>
      <c r="S75" s="3704"/>
      <c r="T75" s="3725"/>
      <c r="U75" s="485" t="s">
        <v>1843</v>
      </c>
      <c r="V75" s="485" t="s">
        <v>1844</v>
      </c>
      <c r="W75" s="389">
        <v>16300000</v>
      </c>
      <c r="X75" s="389"/>
      <c r="Y75" s="389"/>
      <c r="Z75" s="484">
        <v>20</v>
      </c>
      <c r="AA75" s="471" t="s">
        <v>208</v>
      </c>
      <c r="AB75" s="3732"/>
      <c r="AC75" s="3732"/>
      <c r="AD75" s="3732"/>
      <c r="AE75" s="3732"/>
      <c r="AF75" s="3732"/>
      <c r="AG75" s="3732"/>
      <c r="AH75" s="3704"/>
      <c r="AI75" s="492"/>
      <c r="AJ75" s="3732"/>
      <c r="AK75" s="3732"/>
      <c r="AL75" s="3732"/>
      <c r="AM75" s="3732"/>
      <c r="AN75" s="3704"/>
      <c r="AO75" s="3704"/>
      <c r="AP75" s="3704"/>
      <c r="AQ75" s="3704"/>
      <c r="AR75" s="3704"/>
      <c r="AS75" s="3704"/>
      <c r="AT75" s="3704"/>
      <c r="AU75" s="3704"/>
      <c r="AV75" s="3704"/>
      <c r="AW75" s="3704"/>
      <c r="AX75" s="3704"/>
      <c r="AY75" s="389"/>
      <c r="AZ75" s="389"/>
      <c r="BA75" s="389"/>
      <c r="BB75" s="389"/>
      <c r="BC75" s="373"/>
      <c r="BD75" s="389"/>
      <c r="BE75" s="461"/>
      <c r="BF75" s="504">
        <v>42843</v>
      </c>
      <c r="BG75" s="383"/>
      <c r="BH75" s="504">
        <v>42844</v>
      </c>
      <c r="BI75" s="383"/>
      <c r="BJ75" s="3998"/>
    </row>
    <row r="76" spans="1:62" s="4" customFormat="1" ht="12.75" x14ac:dyDescent="0.2">
      <c r="A76" s="539"/>
      <c r="B76" s="540"/>
      <c r="C76" s="540"/>
      <c r="D76" s="540"/>
      <c r="E76" s="540"/>
      <c r="F76" s="541"/>
      <c r="G76" s="396">
        <v>22</v>
      </c>
      <c r="H76" s="3723" t="s">
        <v>1845</v>
      </c>
      <c r="I76" s="3723"/>
      <c r="J76" s="3723"/>
      <c r="K76" s="3723"/>
      <c r="L76" s="3723"/>
      <c r="M76" s="364"/>
      <c r="N76" s="364"/>
      <c r="O76" s="564"/>
      <c r="P76" s="17"/>
      <c r="Q76" s="564"/>
      <c r="R76" s="17"/>
      <c r="S76" s="17"/>
      <c r="T76" s="564"/>
      <c r="U76" s="564"/>
      <c r="V76" s="564"/>
      <c r="W76" s="312">
        <f>W78</f>
        <v>113300000</v>
      </c>
      <c r="X76" s="312">
        <f t="shared" ref="X76:Y76" si="14">+X77</f>
        <v>0</v>
      </c>
      <c r="Y76" s="312">
        <f t="shared" si="14"/>
        <v>0</v>
      </c>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1"/>
      <c r="BA76" s="312">
        <f t="shared" ref="BA76:BB76" si="15">+BA77</f>
        <v>0</v>
      </c>
      <c r="BB76" s="312">
        <f t="shared" si="15"/>
        <v>0</v>
      </c>
      <c r="BC76" s="377">
        <f>+BA76/W76</f>
        <v>0</v>
      </c>
      <c r="BD76" s="17"/>
      <c r="BE76" s="1598"/>
      <c r="BF76" s="388"/>
      <c r="BG76" s="388"/>
      <c r="BH76" s="388"/>
      <c r="BI76" s="388"/>
      <c r="BJ76" s="388"/>
    </row>
    <row r="77" spans="1:62" s="4" customFormat="1" ht="51" x14ac:dyDescent="0.2">
      <c r="A77" s="378"/>
      <c r="B77" s="378"/>
      <c r="C77" s="378"/>
      <c r="D77" s="2320"/>
      <c r="E77" s="378"/>
      <c r="F77" s="378"/>
      <c r="G77" s="2320"/>
      <c r="H77" s="378"/>
      <c r="I77" s="2321"/>
      <c r="J77" s="3726">
        <v>97</v>
      </c>
      <c r="K77" s="3733" t="s">
        <v>1846</v>
      </c>
      <c r="L77" s="3708" t="s">
        <v>1694</v>
      </c>
      <c r="M77" s="3734">
        <v>26</v>
      </c>
      <c r="N77" s="3734">
        <v>0</v>
      </c>
      <c r="O77" s="3708" t="s">
        <v>1847</v>
      </c>
      <c r="P77" s="3708">
        <v>93</v>
      </c>
      <c r="Q77" s="3733" t="s">
        <v>1848</v>
      </c>
      <c r="R77" s="3735" t="e">
        <f>+W77/S77*100</f>
        <v>#DIV/0!</v>
      </c>
      <c r="S77" s="3697">
        <f>SUM(W77)</f>
        <v>0</v>
      </c>
      <c r="T77" s="3733" t="s">
        <v>1849</v>
      </c>
      <c r="U77" s="3733" t="s">
        <v>1850</v>
      </c>
      <c r="V77" s="466" t="s">
        <v>2114</v>
      </c>
      <c r="W77" s="2326">
        <f>113300000-113300000</f>
        <v>0</v>
      </c>
      <c r="X77" s="3736"/>
      <c r="Y77" s="3702"/>
      <c r="Z77" s="3705">
        <v>35</v>
      </c>
      <c r="AA77" s="3708" t="s">
        <v>1700</v>
      </c>
      <c r="AB77" s="3701">
        <v>2732</v>
      </c>
      <c r="AC77" s="3701">
        <v>2732</v>
      </c>
      <c r="AD77" s="3701">
        <v>17360</v>
      </c>
      <c r="AE77" s="3701">
        <v>17360</v>
      </c>
      <c r="AF77" s="3701">
        <v>21116</v>
      </c>
      <c r="AG77" s="3701">
        <v>21116</v>
      </c>
      <c r="AH77" s="3697"/>
      <c r="AI77" s="3697"/>
      <c r="AJ77" s="3701">
        <v>4451</v>
      </c>
      <c r="AK77" s="3701">
        <v>4451</v>
      </c>
      <c r="AL77" s="3701">
        <v>56</v>
      </c>
      <c r="AM77" s="3701">
        <v>56</v>
      </c>
      <c r="AN77" s="3697"/>
      <c r="AO77" s="3697"/>
      <c r="AP77" s="3697"/>
      <c r="AQ77" s="3697"/>
      <c r="AR77" s="3697"/>
      <c r="AS77" s="3697"/>
      <c r="AT77" s="3697"/>
      <c r="AU77" s="3697"/>
      <c r="AV77" s="3697"/>
      <c r="AW77" s="3697"/>
      <c r="AX77" s="3697"/>
      <c r="AY77" s="3697"/>
      <c r="AZ77" s="3697"/>
      <c r="BA77" s="3697"/>
      <c r="BB77" s="3697"/>
      <c r="BC77" s="3698"/>
      <c r="BD77" s="3697"/>
      <c r="BE77" s="3699"/>
      <c r="BF77" s="3700">
        <v>42767</v>
      </c>
      <c r="BG77" s="3701"/>
      <c r="BH77" s="3700">
        <v>43038</v>
      </c>
      <c r="BI77" s="3701"/>
      <c r="BJ77" s="3696" t="s">
        <v>1704</v>
      </c>
    </row>
    <row r="78" spans="1:62" s="4" customFormat="1" ht="76.5" x14ac:dyDescent="0.2">
      <c r="A78" s="379"/>
      <c r="B78" s="379"/>
      <c r="C78" s="379"/>
      <c r="D78" s="2322"/>
      <c r="E78" s="379"/>
      <c r="F78" s="379"/>
      <c r="G78" s="2322"/>
      <c r="H78" s="379"/>
      <c r="I78" s="2323"/>
      <c r="J78" s="3729"/>
      <c r="K78" s="3733"/>
      <c r="L78" s="3708"/>
      <c r="M78" s="3734"/>
      <c r="N78" s="3734"/>
      <c r="O78" s="3708"/>
      <c r="P78" s="3708"/>
      <c r="Q78" s="3733"/>
      <c r="R78" s="3735"/>
      <c r="S78" s="3697"/>
      <c r="T78" s="3733"/>
      <c r="U78" s="3733"/>
      <c r="V78" s="2298" t="s">
        <v>2115</v>
      </c>
      <c r="W78" s="3702">
        <v>113300000</v>
      </c>
      <c r="X78" s="3737"/>
      <c r="Y78" s="3703"/>
      <c r="Z78" s="3706"/>
      <c r="AA78" s="3708"/>
      <c r="AB78" s="3701"/>
      <c r="AC78" s="3701"/>
      <c r="AD78" s="3701"/>
      <c r="AE78" s="3701"/>
      <c r="AF78" s="3701"/>
      <c r="AG78" s="3701"/>
      <c r="AH78" s="3697"/>
      <c r="AI78" s="3697"/>
      <c r="AJ78" s="3701"/>
      <c r="AK78" s="3701"/>
      <c r="AL78" s="3701"/>
      <c r="AM78" s="3701"/>
      <c r="AN78" s="3697"/>
      <c r="AO78" s="3697"/>
      <c r="AP78" s="3697"/>
      <c r="AQ78" s="3697"/>
      <c r="AR78" s="3697"/>
      <c r="AS78" s="3697"/>
      <c r="AT78" s="3697"/>
      <c r="AU78" s="3697"/>
      <c r="AV78" s="3697"/>
      <c r="AW78" s="3697"/>
      <c r="AX78" s="3697"/>
      <c r="AY78" s="3697"/>
      <c r="AZ78" s="3697"/>
      <c r="BA78" s="3697"/>
      <c r="BB78" s="3697"/>
      <c r="BC78" s="3698"/>
      <c r="BD78" s="3697"/>
      <c r="BE78" s="3699"/>
      <c r="BF78" s="3700"/>
      <c r="BG78" s="3701"/>
      <c r="BH78" s="3700"/>
      <c r="BI78" s="3701"/>
      <c r="BJ78" s="3696"/>
    </row>
    <row r="79" spans="1:62" s="4" customFormat="1" ht="45" customHeight="1" x14ac:dyDescent="0.2">
      <c r="A79" s="379"/>
      <c r="B79" s="379"/>
      <c r="C79" s="379"/>
      <c r="D79" s="2322"/>
      <c r="E79" s="379"/>
      <c r="F79" s="379"/>
      <c r="G79" s="2322"/>
      <c r="H79" s="379"/>
      <c r="I79" s="2323"/>
      <c r="J79" s="3729"/>
      <c r="K79" s="3733"/>
      <c r="L79" s="3708"/>
      <c r="M79" s="3734"/>
      <c r="N79" s="3734"/>
      <c r="O79" s="3708"/>
      <c r="P79" s="3708"/>
      <c r="Q79" s="3733"/>
      <c r="R79" s="3735"/>
      <c r="S79" s="3697"/>
      <c r="T79" s="3733"/>
      <c r="U79" s="3733"/>
      <c r="V79" s="2298" t="s">
        <v>2116</v>
      </c>
      <c r="W79" s="3703"/>
      <c r="X79" s="3737"/>
      <c r="Y79" s="3703"/>
      <c r="Z79" s="3706"/>
      <c r="AA79" s="3708"/>
      <c r="AB79" s="3701"/>
      <c r="AC79" s="3701"/>
      <c r="AD79" s="3701"/>
      <c r="AE79" s="3701"/>
      <c r="AF79" s="3701"/>
      <c r="AG79" s="3701"/>
      <c r="AH79" s="3697"/>
      <c r="AI79" s="3697"/>
      <c r="AJ79" s="3701"/>
      <c r="AK79" s="3701"/>
      <c r="AL79" s="3701"/>
      <c r="AM79" s="3701"/>
      <c r="AN79" s="3697"/>
      <c r="AO79" s="3697"/>
      <c r="AP79" s="3697"/>
      <c r="AQ79" s="3697"/>
      <c r="AR79" s="3697"/>
      <c r="AS79" s="3697"/>
      <c r="AT79" s="3697"/>
      <c r="AU79" s="3697"/>
      <c r="AV79" s="3697"/>
      <c r="AW79" s="3697"/>
      <c r="AX79" s="3697"/>
      <c r="AY79" s="3697"/>
      <c r="AZ79" s="3697"/>
      <c r="BA79" s="3697"/>
      <c r="BB79" s="3697"/>
      <c r="BC79" s="3698"/>
      <c r="BD79" s="3697"/>
      <c r="BE79" s="3699"/>
      <c r="BF79" s="3700"/>
      <c r="BG79" s="3701"/>
      <c r="BH79" s="3700"/>
      <c r="BI79" s="3701"/>
      <c r="BJ79" s="3696"/>
    </row>
    <row r="80" spans="1:62" s="4" customFormat="1" ht="63.75" x14ac:dyDescent="0.2">
      <c r="A80" s="2319"/>
      <c r="B80" s="2319"/>
      <c r="C80" s="2319"/>
      <c r="D80" s="2324"/>
      <c r="E80" s="2319"/>
      <c r="F80" s="2319"/>
      <c r="G80" s="2324"/>
      <c r="H80" s="2319"/>
      <c r="I80" s="2325"/>
      <c r="J80" s="3727"/>
      <c r="K80" s="3733"/>
      <c r="L80" s="3708"/>
      <c r="M80" s="3734"/>
      <c r="N80" s="3734"/>
      <c r="O80" s="3708"/>
      <c r="P80" s="3708"/>
      <c r="Q80" s="3733"/>
      <c r="R80" s="3735"/>
      <c r="S80" s="3697"/>
      <c r="T80" s="3733"/>
      <c r="U80" s="3733"/>
      <c r="V80" s="2298" t="s">
        <v>2117</v>
      </c>
      <c r="W80" s="3704"/>
      <c r="X80" s="3738"/>
      <c r="Y80" s="3704"/>
      <c r="Z80" s="3707"/>
      <c r="AA80" s="3708"/>
      <c r="AB80" s="3701"/>
      <c r="AC80" s="3701"/>
      <c r="AD80" s="3701"/>
      <c r="AE80" s="3701"/>
      <c r="AF80" s="3701"/>
      <c r="AG80" s="3701"/>
      <c r="AH80" s="3697"/>
      <c r="AI80" s="3697"/>
      <c r="AJ80" s="3701"/>
      <c r="AK80" s="3701"/>
      <c r="AL80" s="3701"/>
      <c r="AM80" s="3701"/>
      <c r="AN80" s="3697"/>
      <c r="AO80" s="3697"/>
      <c r="AP80" s="3697"/>
      <c r="AQ80" s="3697"/>
      <c r="AR80" s="3697"/>
      <c r="AS80" s="3697"/>
      <c r="AT80" s="3697"/>
      <c r="AU80" s="3697"/>
      <c r="AV80" s="3697"/>
      <c r="AW80" s="3697"/>
      <c r="AX80" s="3697"/>
      <c r="AY80" s="3697"/>
      <c r="AZ80" s="3697"/>
      <c r="BA80" s="3697"/>
      <c r="BB80" s="3697"/>
      <c r="BC80" s="3698"/>
      <c r="BD80" s="3697"/>
      <c r="BE80" s="3699"/>
      <c r="BF80" s="3700"/>
      <c r="BG80" s="3701"/>
      <c r="BH80" s="3700"/>
      <c r="BI80" s="3701"/>
      <c r="BJ80" s="3696"/>
    </row>
    <row r="81" spans="1:62" s="4" customFormat="1" ht="12.75" x14ac:dyDescent="0.2">
      <c r="A81" s="3782"/>
      <c r="B81" s="3782"/>
      <c r="C81" s="3783"/>
      <c r="D81" s="391">
        <v>7</v>
      </c>
      <c r="E81" s="3712" t="s">
        <v>1851</v>
      </c>
      <c r="F81" s="3713"/>
      <c r="G81" s="3713"/>
      <c r="H81" s="3713"/>
      <c r="I81" s="3713"/>
      <c r="J81" s="3713"/>
      <c r="K81" s="3713"/>
      <c r="L81" s="3713"/>
      <c r="M81" s="3713"/>
      <c r="N81" s="356"/>
      <c r="O81" s="15"/>
      <c r="P81" s="16"/>
      <c r="Q81" s="15"/>
      <c r="R81" s="392"/>
      <c r="S81" s="309"/>
      <c r="T81" s="15"/>
      <c r="U81" s="15"/>
      <c r="V81" s="15"/>
      <c r="W81" s="310"/>
      <c r="X81" s="310"/>
      <c r="Y81" s="310"/>
      <c r="Z81" s="21"/>
      <c r="AA81" s="16"/>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393"/>
      <c r="BA81" s="14"/>
      <c r="BB81" s="14"/>
      <c r="BC81" s="311"/>
      <c r="BD81" s="14"/>
      <c r="BE81" s="1599"/>
      <c r="BF81" s="394"/>
      <c r="BG81" s="394"/>
      <c r="BH81" s="394"/>
      <c r="BI81" s="394"/>
      <c r="BJ81" s="22"/>
    </row>
    <row r="82" spans="1:62" s="4" customFormat="1" ht="12.75" x14ac:dyDescent="0.2">
      <c r="A82" s="3784"/>
      <c r="B82" s="3784"/>
      <c r="C82" s="3785"/>
      <c r="D82" s="3788"/>
      <c r="E82" s="3789"/>
      <c r="F82" s="3790"/>
      <c r="G82" s="396">
        <v>23</v>
      </c>
      <c r="H82" s="3723" t="s">
        <v>1852</v>
      </c>
      <c r="I82" s="3723"/>
      <c r="J82" s="3723"/>
      <c r="K82" s="3723"/>
      <c r="L82" s="564"/>
      <c r="M82" s="364"/>
      <c r="N82" s="364"/>
      <c r="O82" s="564"/>
      <c r="P82" s="17"/>
      <c r="Q82" s="564"/>
      <c r="R82" s="17"/>
      <c r="S82" s="17"/>
      <c r="T82" s="564"/>
      <c r="U82" s="564"/>
      <c r="V82" s="564"/>
      <c r="W82" s="312">
        <f>SUM(W83:W89)</f>
        <v>103000000</v>
      </c>
      <c r="X82" s="312">
        <f t="shared" ref="X82:Y82" si="16">SUM(X83:X89)</f>
        <v>0</v>
      </c>
      <c r="Y82" s="312">
        <f t="shared" si="16"/>
        <v>0</v>
      </c>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1"/>
      <c r="BA82" s="312">
        <f t="shared" ref="BA82:BB82" si="17">SUM(BA83:BA89)</f>
        <v>0</v>
      </c>
      <c r="BB82" s="312">
        <f t="shared" si="17"/>
        <v>0</v>
      </c>
      <c r="BC82" s="377">
        <f>+BA82/W82</f>
        <v>0</v>
      </c>
      <c r="BD82" s="17"/>
      <c r="BE82" s="1598"/>
      <c r="BF82" s="388"/>
      <c r="BG82" s="388"/>
      <c r="BH82" s="388"/>
      <c r="BI82" s="388"/>
      <c r="BJ82" s="18"/>
    </row>
    <row r="83" spans="1:62" s="4" customFormat="1" ht="63.75" customHeight="1" x14ac:dyDescent="0.2">
      <c r="A83" s="3784"/>
      <c r="B83" s="3784"/>
      <c r="C83" s="3785"/>
      <c r="D83" s="3791"/>
      <c r="E83" s="3792"/>
      <c r="F83" s="3793"/>
      <c r="G83" s="3762"/>
      <c r="H83" s="3763"/>
      <c r="I83" s="3764"/>
      <c r="J83" s="471">
        <v>98</v>
      </c>
      <c r="K83" s="485" t="s">
        <v>1853</v>
      </c>
      <c r="L83" s="485" t="s">
        <v>1694</v>
      </c>
      <c r="M83" s="559">
        <v>55</v>
      </c>
      <c r="N83" s="559">
        <v>0</v>
      </c>
      <c r="O83" s="3724" t="s">
        <v>1854</v>
      </c>
      <c r="P83" s="3726">
        <v>94</v>
      </c>
      <c r="Q83" s="3724" t="s">
        <v>1855</v>
      </c>
      <c r="R83" s="28">
        <f>+W83/S83*100</f>
        <v>20</v>
      </c>
      <c r="S83" s="3702">
        <f>SUM(W83:W89)</f>
        <v>103000000</v>
      </c>
      <c r="T83" s="3724" t="s">
        <v>1856</v>
      </c>
      <c r="U83" s="485" t="s">
        <v>1857</v>
      </c>
      <c r="V83" s="411" t="s">
        <v>1858</v>
      </c>
      <c r="W83" s="389">
        <v>20600000</v>
      </c>
      <c r="X83" s="389"/>
      <c r="Y83" s="389"/>
      <c r="Z83" s="484">
        <v>35</v>
      </c>
      <c r="AA83" s="471" t="s">
        <v>1700</v>
      </c>
      <c r="AB83" s="3730">
        <v>2732</v>
      </c>
      <c r="AC83" s="3730">
        <v>2732</v>
      </c>
      <c r="AD83" s="3730">
        <v>17360</v>
      </c>
      <c r="AE83" s="547"/>
      <c r="AF83" s="3730">
        <v>21116</v>
      </c>
      <c r="AG83" s="547"/>
      <c r="AH83" s="3702"/>
      <c r="AI83" s="490"/>
      <c r="AJ83" s="3730">
        <v>4451</v>
      </c>
      <c r="AK83" s="547"/>
      <c r="AL83" s="3730">
        <v>56</v>
      </c>
      <c r="AM83" s="547"/>
      <c r="AN83" s="3702"/>
      <c r="AO83" s="3702"/>
      <c r="AP83" s="3702"/>
      <c r="AQ83" s="3702"/>
      <c r="AR83" s="3702"/>
      <c r="AS83" s="3702"/>
      <c r="AT83" s="3702"/>
      <c r="AU83" s="3702"/>
      <c r="AV83" s="3702"/>
      <c r="AW83" s="3702"/>
      <c r="AX83" s="3702"/>
      <c r="AY83" s="3702"/>
      <c r="AZ83" s="389"/>
      <c r="BA83" s="389"/>
      <c r="BB83" s="389"/>
      <c r="BC83" s="373"/>
      <c r="BD83" s="389"/>
      <c r="BE83" s="461"/>
      <c r="BF83" s="504">
        <v>42767</v>
      </c>
      <c r="BG83" s="383"/>
      <c r="BH83" s="504">
        <v>42769</v>
      </c>
      <c r="BI83" s="383"/>
      <c r="BJ83" s="3853" t="s">
        <v>1704</v>
      </c>
    </row>
    <row r="84" spans="1:62" s="4" customFormat="1" ht="84" customHeight="1" x14ac:dyDescent="0.2">
      <c r="A84" s="3784"/>
      <c r="B84" s="3784"/>
      <c r="C84" s="3785"/>
      <c r="D84" s="3791"/>
      <c r="E84" s="3792"/>
      <c r="F84" s="3793"/>
      <c r="G84" s="3765"/>
      <c r="H84" s="3766"/>
      <c r="I84" s="3767"/>
      <c r="J84" s="471">
        <v>99</v>
      </c>
      <c r="K84" s="485" t="s">
        <v>1859</v>
      </c>
      <c r="L84" s="485" t="s">
        <v>1694</v>
      </c>
      <c r="M84" s="559">
        <v>150</v>
      </c>
      <c r="N84" s="559">
        <v>24</v>
      </c>
      <c r="O84" s="3728"/>
      <c r="P84" s="3729"/>
      <c r="Q84" s="3728"/>
      <c r="R84" s="28">
        <f>+W84/S83*100</f>
        <v>40</v>
      </c>
      <c r="S84" s="3703"/>
      <c r="T84" s="3728"/>
      <c r="U84" s="485" t="s">
        <v>1860</v>
      </c>
      <c r="V84" s="411" t="s">
        <v>1861</v>
      </c>
      <c r="W84" s="389">
        <v>41200000</v>
      </c>
      <c r="X84" s="389"/>
      <c r="Y84" s="389"/>
      <c r="Z84" s="484">
        <v>35</v>
      </c>
      <c r="AA84" s="471" t="s">
        <v>1700</v>
      </c>
      <c r="AB84" s="3731"/>
      <c r="AC84" s="3731"/>
      <c r="AD84" s="3731"/>
      <c r="AE84" s="533"/>
      <c r="AF84" s="3731"/>
      <c r="AG84" s="533"/>
      <c r="AH84" s="3703"/>
      <c r="AI84" s="491"/>
      <c r="AJ84" s="3731"/>
      <c r="AK84" s="533"/>
      <c r="AL84" s="3731"/>
      <c r="AM84" s="533"/>
      <c r="AN84" s="3703"/>
      <c r="AO84" s="3703"/>
      <c r="AP84" s="3703"/>
      <c r="AQ84" s="3703"/>
      <c r="AR84" s="3703"/>
      <c r="AS84" s="3703"/>
      <c r="AT84" s="3703"/>
      <c r="AU84" s="3703"/>
      <c r="AV84" s="3703"/>
      <c r="AW84" s="3703"/>
      <c r="AX84" s="3703"/>
      <c r="AY84" s="3703"/>
      <c r="AZ84" s="389"/>
      <c r="BA84" s="389"/>
      <c r="BB84" s="389"/>
      <c r="BC84" s="373"/>
      <c r="BD84" s="389"/>
      <c r="BE84" s="461"/>
      <c r="BF84" s="504">
        <v>42767</v>
      </c>
      <c r="BG84" s="383"/>
      <c r="BH84" s="504">
        <v>42769</v>
      </c>
      <c r="BI84" s="383"/>
      <c r="BJ84" s="3827"/>
    </row>
    <row r="85" spans="1:62" s="4" customFormat="1" ht="76.5" x14ac:dyDescent="0.2">
      <c r="A85" s="3784"/>
      <c r="B85" s="3784"/>
      <c r="C85" s="3785"/>
      <c r="D85" s="3791"/>
      <c r="E85" s="3792"/>
      <c r="F85" s="3793"/>
      <c r="G85" s="3765"/>
      <c r="H85" s="3766"/>
      <c r="I85" s="3767"/>
      <c r="J85" s="471">
        <v>100</v>
      </c>
      <c r="K85" s="485" t="s">
        <v>1862</v>
      </c>
      <c r="L85" s="485" t="s">
        <v>1694</v>
      </c>
      <c r="M85" s="559">
        <v>6</v>
      </c>
      <c r="N85" s="559"/>
      <c r="O85" s="3728"/>
      <c r="P85" s="3729"/>
      <c r="Q85" s="3728"/>
      <c r="R85" s="28">
        <f>+W85/S83*100</f>
        <v>0</v>
      </c>
      <c r="S85" s="3703"/>
      <c r="T85" s="3728"/>
      <c r="U85" s="485" t="s">
        <v>1862</v>
      </c>
      <c r="V85" s="411" t="s">
        <v>1861</v>
      </c>
      <c r="W85" s="389">
        <v>0</v>
      </c>
      <c r="X85" s="389">
        <f t="shared" ref="X85" si="18">SUM(W85)</f>
        <v>0</v>
      </c>
      <c r="Y85" s="389"/>
      <c r="Z85" s="484"/>
      <c r="AA85" s="471"/>
      <c r="AB85" s="3731"/>
      <c r="AC85" s="3731"/>
      <c r="AD85" s="3731"/>
      <c r="AE85" s="533"/>
      <c r="AF85" s="3731"/>
      <c r="AG85" s="533"/>
      <c r="AH85" s="3703"/>
      <c r="AI85" s="491"/>
      <c r="AJ85" s="3731"/>
      <c r="AK85" s="533"/>
      <c r="AL85" s="3731"/>
      <c r="AM85" s="533"/>
      <c r="AN85" s="3703"/>
      <c r="AO85" s="3703"/>
      <c r="AP85" s="3703"/>
      <c r="AQ85" s="3703"/>
      <c r="AR85" s="3703"/>
      <c r="AS85" s="3703"/>
      <c r="AT85" s="3703"/>
      <c r="AU85" s="3703"/>
      <c r="AV85" s="3703"/>
      <c r="AW85" s="3703"/>
      <c r="AX85" s="3703"/>
      <c r="AY85" s="3703"/>
      <c r="AZ85" s="389"/>
      <c r="BA85" s="389"/>
      <c r="BB85" s="389"/>
      <c r="BC85" s="373"/>
      <c r="BD85" s="389"/>
      <c r="BE85" s="461"/>
      <c r="BF85" s="504">
        <v>42767</v>
      </c>
      <c r="BG85" s="383"/>
      <c r="BH85" s="504">
        <v>42769</v>
      </c>
      <c r="BI85" s="383"/>
      <c r="BJ85" s="3827"/>
    </row>
    <row r="86" spans="1:62" s="4" customFormat="1" ht="84.75" customHeight="1" x14ac:dyDescent="0.2">
      <c r="A86" s="3784"/>
      <c r="B86" s="3784"/>
      <c r="C86" s="3785"/>
      <c r="D86" s="3791"/>
      <c r="E86" s="3792"/>
      <c r="F86" s="3793"/>
      <c r="G86" s="3765"/>
      <c r="H86" s="3766"/>
      <c r="I86" s="3767"/>
      <c r="J86" s="471">
        <v>101</v>
      </c>
      <c r="K86" s="485" t="s">
        <v>1863</v>
      </c>
      <c r="L86" s="485" t="s">
        <v>1694</v>
      </c>
      <c r="M86" s="559">
        <v>54</v>
      </c>
      <c r="N86" s="559">
        <v>26</v>
      </c>
      <c r="O86" s="3728"/>
      <c r="P86" s="3729"/>
      <c r="Q86" s="3728"/>
      <c r="R86" s="28">
        <f>+W86/S83*100</f>
        <v>35</v>
      </c>
      <c r="S86" s="3703"/>
      <c r="T86" s="3728"/>
      <c r="U86" s="485" t="s">
        <v>1864</v>
      </c>
      <c r="V86" s="485" t="s">
        <v>1865</v>
      </c>
      <c r="W86" s="389">
        <v>36050000</v>
      </c>
      <c r="X86" s="389"/>
      <c r="Y86" s="389"/>
      <c r="Z86" s="484">
        <v>35</v>
      </c>
      <c r="AA86" s="471" t="s">
        <v>1700</v>
      </c>
      <c r="AB86" s="3731"/>
      <c r="AC86" s="3731"/>
      <c r="AD86" s="3731"/>
      <c r="AE86" s="533">
        <v>17360</v>
      </c>
      <c r="AF86" s="3731"/>
      <c r="AG86" s="533">
        <v>21116</v>
      </c>
      <c r="AH86" s="3703"/>
      <c r="AI86" s="491"/>
      <c r="AJ86" s="3731"/>
      <c r="AK86" s="533">
        <v>4451</v>
      </c>
      <c r="AL86" s="3731"/>
      <c r="AM86" s="533">
        <v>56</v>
      </c>
      <c r="AN86" s="3703"/>
      <c r="AO86" s="3703"/>
      <c r="AP86" s="3703"/>
      <c r="AQ86" s="3703"/>
      <c r="AR86" s="3703"/>
      <c r="AS86" s="3703"/>
      <c r="AT86" s="3703"/>
      <c r="AU86" s="3703"/>
      <c r="AV86" s="3703"/>
      <c r="AW86" s="3703"/>
      <c r="AX86" s="3703"/>
      <c r="AY86" s="3703"/>
      <c r="AZ86" s="389"/>
      <c r="BA86" s="389"/>
      <c r="BB86" s="389"/>
      <c r="BC86" s="373"/>
      <c r="BD86" s="389"/>
      <c r="BE86" s="461"/>
      <c r="BF86" s="504">
        <v>42790</v>
      </c>
      <c r="BG86" s="383"/>
      <c r="BH86" s="504">
        <v>42826</v>
      </c>
      <c r="BI86" s="383"/>
      <c r="BJ86" s="3827"/>
    </row>
    <row r="87" spans="1:62" s="4" customFormat="1" ht="76.5" x14ac:dyDescent="0.2">
      <c r="A87" s="3784"/>
      <c r="B87" s="3784"/>
      <c r="C87" s="3785"/>
      <c r="D87" s="3791"/>
      <c r="E87" s="3792"/>
      <c r="F87" s="3793"/>
      <c r="G87" s="3765"/>
      <c r="H87" s="3766"/>
      <c r="I87" s="3767"/>
      <c r="J87" s="3708">
        <v>102</v>
      </c>
      <c r="K87" s="3733" t="s">
        <v>1866</v>
      </c>
      <c r="L87" s="3724" t="s">
        <v>1694</v>
      </c>
      <c r="M87" s="3772">
        <v>4</v>
      </c>
      <c r="N87" s="3748">
        <v>0</v>
      </c>
      <c r="O87" s="3728"/>
      <c r="P87" s="3729"/>
      <c r="Q87" s="3728"/>
      <c r="R87" s="3776">
        <f>+W87/S83*100</f>
        <v>5</v>
      </c>
      <c r="S87" s="3703"/>
      <c r="T87" s="3728"/>
      <c r="U87" s="3724" t="s">
        <v>1867</v>
      </c>
      <c r="V87" s="485" t="s">
        <v>1868</v>
      </c>
      <c r="W87" s="3702">
        <v>5150000</v>
      </c>
      <c r="X87" s="412"/>
      <c r="Y87" s="490"/>
      <c r="Z87" s="3756">
        <v>35</v>
      </c>
      <c r="AA87" s="3702" t="s">
        <v>1700</v>
      </c>
      <c r="AB87" s="3731"/>
      <c r="AC87" s="3731"/>
      <c r="AD87" s="3731"/>
      <c r="AE87" s="533"/>
      <c r="AF87" s="3731"/>
      <c r="AG87" s="533"/>
      <c r="AH87" s="3703"/>
      <c r="AI87" s="491"/>
      <c r="AJ87" s="3731"/>
      <c r="AK87" s="533"/>
      <c r="AL87" s="3731"/>
      <c r="AM87" s="533"/>
      <c r="AN87" s="3703"/>
      <c r="AO87" s="3703"/>
      <c r="AP87" s="3703"/>
      <c r="AQ87" s="3703"/>
      <c r="AR87" s="3703"/>
      <c r="AS87" s="3703"/>
      <c r="AT87" s="3703"/>
      <c r="AU87" s="3703"/>
      <c r="AV87" s="3703"/>
      <c r="AW87" s="3703"/>
      <c r="AX87" s="3703"/>
      <c r="AY87" s="3703"/>
      <c r="AZ87" s="3702"/>
      <c r="BA87" s="3702"/>
      <c r="BB87" s="3702"/>
      <c r="BC87" s="3752"/>
      <c r="BD87" s="3702"/>
      <c r="BE87" s="461"/>
      <c r="BF87" s="504">
        <v>42878</v>
      </c>
      <c r="BG87" s="3730"/>
      <c r="BH87" s="504">
        <v>42878</v>
      </c>
      <c r="BI87" s="3730"/>
      <c r="BJ87" s="3827"/>
    </row>
    <row r="88" spans="1:62" s="4" customFormat="1" ht="79.5" customHeight="1" x14ac:dyDescent="0.2">
      <c r="A88" s="3784"/>
      <c r="B88" s="3784"/>
      <c r="C88" s="3785"/>
      <c r="D88" s="3791"/>
      <c r="E88" s="3792"/>
      <c r="F88" s="3793"/>
      <c r="G88" s="3765"/>
      <c r="H88" s="3766"/>
      <c r="I88" s="3767"/>
      <c r="J88" s="3708"/>
      <c r="K88" s="3733"/>
      <c r="L88" s="3728"/>
      <c r="M88" s="3773"/>
      <c r="N88" s="3775"/>
      <c r="O88" s="3728"/>
      <c r="P88" s="3729"/>
      <c r="Q88" s="3728"/>
      <c r="R88" s="3777"/>
      <c r="S88" s="3703"/>
      <c r="T88" s="3728"/>
      <c r="U88" s="3728"/>
      <c r="V88" s="485" t="s">
        <v>1869</v>
      </c>
      <c r="W88" s="3703"/>
      <c r="X88" s="412"/>
      <c r="Y88" s="491"/>
      <c r="Z88" s="3779"/>
      <c r="AA88" s="3703"/>
      <c r="AB88" s="3731"/>
      <c r="AC88" s="3731"/>
      <c r="AD88" s="3731"/>
      <c r="AE88" s="533"/>
      <c r="AF88" s="3731"/>
      <c r="AG88" s="533"/>
      <c r="AH88" s="3703"/>
      <c r="AI88" s="491"/>
      <c r="AJ88" s="3731"/>
      <c r="AK88" s="533"/>
      <c r="AL88" s="3731"/>
      <c r="AM88" s="533"/>
      <c r="AN88" s="3703"/>
      <c r="AO88" s="3703"/>
      <c r="AP88" s="3703"/>
      <c r="AQ88" s="3703"/>
      <c r="AR88" s="3703"/>
      <c r="AS88" s="3703"/>
      <c r="AT88" s="3703"/>
      <c r="AU88" s="3703"/>
      <c r="AV88" s="3703"/>
      <c r="AW88" s="3703"/>
      <c r="AX88" s="3703"/>
      <c r="AY88" s="3703"/>
      <c r="AZ88" s="3703"/>
      <c r="BA88" s="3703"/>
      <c r="BB88" s="3703"/>
      <c r="BC88" s="3771"/>
      <c r="BD88" s="3703"/>
      <c r="BE88" s="461"/>
      <c r="BF88" s="504">
        <v>42880</v>
      </c>
      <c r="BG88" s="3731"/>
      <c r="BH88" s="504">
        <v>42880</v>
      </c>
      <c r="BI88" s="3731"/>
      <c r="BJ88" s="3827"/>
    </row>
    <row r="89" spans="1:62" s="4" customFormat="1" ht="80.25" customHeight="1" x14ac:dyDescent="0.2">
      <c r="A89" s="3786"/>
      <c r="B89" s="3786"/>
      <c r="C89" s="3787"/>
      <c r="D89" s="3794"/>
      <c r="E89" s="3795"/>
      <c r="F89" s="3796"/>
      <c r="G89" s="3768"/>
      <c r="H89" s="3769"/>
      <c r="I89" s="3770"/>
      <c r="J89" s="3708"/>
      <c r="K89" s="3733"/>
      <c r="L89" s="3725"/>
      <c r="M89" s="3774"/>
      <c r="N89" s="3749"/>
      <c r="O89" s="3725"/>
      <c r="P89" s="3727"/>
      <c r="Q89" s="3725"/>
      <c r="R89" s="3778"/>
      <c r="S89" s="3704"/>
      <c r="T89" s="3725"/>
      <c r="U89" s="3725"/>
      <c r="V89" s="485" t="s">
        <v>1870</v>
      </c>
      <c r="W89" s="3704"/>
      <c r="X89" s="412"/>
      <c r="Y89" s="492"/>
      <c r="Z89" s="3757"/>
      <c r="AA89" s="3704"/>
      <c r="AB89" s="3732"/>
      <c r="AC89" s="3732"/>
      <c r="AD89" s="3732"/>
      <c r="AE89" s="534"/>
      <c r="AF89" s="3732"/>
      <c r="AG89" s="534"/>
      <c r="AH89" s="3704"/>
      <c r="AI89" s="492"/>
      <c r="AJ89" s="3732"/>
      <c r="AK89" s="534"/>
      <c r="AL89" s="3732"/>
      <c r="AM89" s="534"/>
      <c r="AN89" s="3704"/>
      <c r="AO89" s="3704"/>
      <c r="AP89" s="3704"/>
      <c r="AQ89" s="3704"/>
      <c r="AR89" s="3704"/>
      <c r="AS89" s="3704"/>
      <c r="AT89" s="3704"/>
      <c r="AU89" s="3704"/>
      <c r="AV89" s="3704"/>
      <c r="AW89" s="3704"/>
      <c r="AX89" s="3704"/>
      <c r="AY89" s="3704"/>
      <c r="AZ89" s="3704"/>
      <c r="BA89" s="3704"/>
      <c r="BB89" s="3704"/>
      <c r="BC89" s="3753"/>
      <c r="BD89" s="3704"/>
      <c r="BE89" s="461"/>
      <c r="BF89" s="504">
        <v>43032</v>
      </c>
      <c r="BG89" s="3732"/>
      <c r="BH89" s="504">
        <v>43032</v>
      </c>
      <c r="BI89" s="3732"/>
      <c r="BJ89" s="3854"/>
    </row>
    <row r="90" spans="1:62" s="4" customFormat="1" ht="12.75" x14ac:dyDescent="0.2">
      <c r="A90" s="413"/>
      <c r="B90" s="544"/>
      <c r="C90" s="544"/>
      <c r="D90" s="3714"/>
      <c r="E90" s="3715"/>
      <c r="F90" s="3716"/>
      <c r="G90" s="396">
        <v>24</v>
      </c>
      <c r="H90" s="3720" t="s">
        <v>1871</v>
      </c>
      <c r="I90" s="3720"/>
      <c r="J90" s="3720"/>
      <c r="K90" s="3720"/>
      <c r="L90" s="3720"/>
      <c r="M90" s="364"/>
      <c r="N90" s="364"/>
      <c r="O90" s="564"/>
      <c r="P90" s="538"/>
      <c r="Q90" s="564"/>
      <c r="R90" s="365"/>
      <c r="S90" s="366"/>
      <c r="T90" s="564"/>
      <c r="U90" s="564"/>
      <c r="V90" s="564"/>
      <c r="W90" s="366">
        <f>SUM(W91:W97)</f>
        <v>193000000</v>
      </c>
      <c r="X90" s="366">
        <f t="shared" ref="X90:Y90" si="19">SUM(X91:X97)</f>
        <v>72000000</v>
      </c>
      <c r="Y90" s="366">
        <f t="shared" si="19"/>
        <v>0</v>
      </c>
      <c r="Z90" s="367"/>
      <c r="AA90" s="538"/>
      <c r="AB90" s="538"/>
      <c r="AC90" s="538"/>
      <c r="AD90" s="538"/>
      <c r="AE90" s="538"/>
      <c r="AF90" s="538"/>
      <c r="AG90" s="538"/>
      <c r="AH90" s="538"/>
      <c r="AI90" s="538"/>
      <c r="AJ90" s="538"/>
      <c r="AK90" s="538"/>
      <c r="AL90" s="538"/>
      <c r="AM90" s="538"/>
      <c r="AN90" s="538"/>
      <c r="AO90" s="538"/>
      <c r="AP90" s="538"/>
      <c r="AQ90" s="538"/>
      <c r="AR90" s="538"/>
      <c r="AS90" s="538"/>
      <c r="AT90" s="538"/>
      <c r="AU90" s="538"/>
      <c r="AV90" s="538"/>
      <c r="AW90" s="538"/>
      <c r="AX90" s="538"/>
      <c r="AY90" s="538"/>
      <c r="AZ90" s="10"/>
      <c r="BA90" s="366">
        <f t="shared" ref="BA90:BB90" si="20">SUM(BA91:BA97)</f>
        <v>72000000</v>
      </c>
      <c r="BB90" s="366">
        <f t="shared" si="20"/>
        <v>0</v>
      </c>
      <c r="BC90" s="377">
        <f>+BA90/W90</f>
        <v>0.37305699481865284</v>
      </c>
      <c r="BD90" s="538"/>
      <c r="BE90" s="1598"/>
      <c r="BF90" s="414"/>
      <c r="BG90" s="414"/>
      <c r="BH90" s="414"/>
      <c r="BI90" s="414"/>
      <c r="BJ90" s="18"/>
    </row>
    <row r="91" spans="1:62" s="4" customFormat="1" ht="75" customHeight="1" x14ac:dyDescent="0.2">
      <c r="A91" s="561"/>
      <c r="B91" s="561"/>
      <c r="C91" s="561"/>
      <c r="D91" s="3761"/>
      <c r="E91" s="3721"/>
      <c r="F91" s="3722"/>
      <c r="G91" s="3762"/>
      <c r="H91" s="3763"/>
      <c r="I91" s="3764"/>
      <c r="J91" s="471">
        <v>103</v>
      </c>
      <c r="K91" s="485" t="s">
        <v>1872</v>
      </c>
      <c r="L91" s="485" t="s">
        <v>1694</v>
      </c>
      <c r="M91" s="559">
        <v>7.5</v>
      </c>
      <c r="N91" s="559">
        <v>3</v>
      </c>
      <c r="O91" s="3724" t="s">
        <v>1873</v>
      </c>
      <c r="P91" s="3726">
        <v>95</v>
      </c>
      <c r="Q91" s="3724" t="s">
        <v>1874</v>
      </c>
      <c r="R91" s="511">
        <f>+W91/S91*100</f>
        <v>11.088082901554404</v>
      </c>
      <c r="S91" s="3702">
        <f>SUM(W91:W97)</f>
        <v>193000000</v>
      </c>
      <c r="T91" s="3724" t="s">
        <v>1875</v>
      </c>
      <c r="U91" s="3724" t="s">
        <v>1876</v>
      </c>
      <c r="V91" s="485" t="s">
        <v>1877</v>
      </c>
      <c r="W91" s="389">
        <v>21400000</v>
      </c>
      <c r="X91" s="369">
        <v>20000000</v>
      </c>
      <c r="Y91" s="369"/>
      <c r="Z91" s="484">
        <v>35</v>
      </c>
      <c r="AA91" s="471" t="s">
        <v>1700</v>
      </c>
      <c r="AB91" s="3730">
        <v>2732</v>
      </c>
      <c r="AC91" s="415"/>
      <c r="AD91" s="3730">
        <v>17360</v>
      </c>
      <c r="AE91" s="415"/>
      <c r="AF91" s="3730">
        <v>21116</v>
      </c>
      <c r="AG91" s="3730">
        <v>21116</v>
      </c>
      <c r="AH91" s="3730"/>
      <c r="AI91" s="547"/>
      <c r="AJ91" s="3730">
        <v>4451</v>
      </c>
      <c r="AK91" s="3730">
        <v>4451</v>
      </c>
      <c r="AL91" s="3730">
        <v>56</v>
      </c>
      <c r="AM91" s="3730">
        <v>56</v>
      </c>
      <c r="AN91" s="3702"/>
      <c r="AO91" s="3702"/>
      <c r="AP91" s="3702"/>
      <c r="AQ91" s="3702"/>
      <c r="AR91" s="3702"/>
      <c r="AS91" s="3702"/>
      <c r="AT91" s="3702"/>
      <c r="AU91" s="3702"/>
      <c r="AV91" s="3702"/>
      <c r="AW91" s="3702"/>
      <c r="AX91" s="3702"/>
      <c r="AY91" s="3702"/>
      <c r="AZ91" s="389">
        <v>2</v>
      </c>
      <c r="BA91" s="389">
        <f>+X91</f>
        <v>20000000</v>
      </c>
      <c r="BB91" s="389">
        <f>+Y91</f>
        <v>0</v>
      </c>
      <c r="BC91" s="373">
        <f>BB91/BA91</f>
        <v>0</v>
      </c>
      <c r="BD91" s="471" t="s">
        <v>1700</v>
      </c>
      <c r="BE91" s="461" t="s">
        <v>1878</v>
      </c>
      <c r="BF91" s="504">
        <v>42794</v>
      </c>
      <c r="BG91" s="504">
        <v>42816</v>
      </c>
      <c r="BH91" s="504">
        <v>43038</v>
      </c>
      <c r="BI91" s="504">
        <v>42968</v>
      </c>
      <c r="BJ91" s="3853" t="s">
        <v>1704</v>
      </c>
    </row>
    <row r="92" spans="1:62" s="4" customFormat="1" ht="72.75" customHeight="1" x14ac:dyDescent="0.2">
      <c r="A92" s="561"/>
      <c r="B92" s="561"/>
      <c r="C92" s="561"/>
      <c r="D92" s="3761"/>
      <c r="E92" s="3721"/>
      <c r="F92" s="3722"/>
      <c r="G92" s="3765"/>
      <c r="H92" s="3766"/>
      <c r="I92" s="3767"/>
      <c r="J92" s="471">
        <v>104</v>
      </c>
      <c r="K92" s="485" t="s">
        <v>1879</v>
      </c>
      <c r="L92" s="485" t="s">
        <v>1694</v>
      </c>
      <c r="M92" s="559">
        <v>27</v>
      </c>
      <c r="N92" s="559">
        <v>12</v>
      </c>
      <c r="O92" s="3728"/>
      <c r="P92" s="3729"/>
      <c r="Q92" s="3728"/>
      <c r="R92" s="511">
        <f>+W92/S91*100</f>
        <v>16.632124352331605</v>
      </c>
      <c r="S92" s="3703"/>
      <c r="T92" s="3728"/>
      <c r="U92" s="3728"/>
      <c r="V92" s="485" t="s">
        <v>1880</v>
      </c>
      <c r="W92" s="389">
        <v>32100000</v>
      </c>
      <c r="X92" s="369"/>
      <c r="Y92" s="369"/>
      <c r="Z92" s="484">
        <v>35</v>
      </c>
      <c r="AA92" s="471" t="s">
        <v>1700</v>
      </c>
      <c r="AB92" s="3731"/>
      <c r="AC92" s="416"/>
      <c r="AD92" s="3731"/>
      <c r="AE92" s="416"/>
      <c r="AF92" s="3731"/>
      <c r="AG92" s="3731"/>
      <c r="AH92" s="3731"/>
      <c r="AI92" s="533"/>
      <c r="AJ92" s="3731"/>
      <c r="AK92" s="3731"/>
      <c r="AL92" s="3731"/>
      <c r="AM92" s="3731"/>
      <c r="AN92" s="3703"/>
      <c r="AO92" s="3703"/>
      <c r="AP92" s="3703"/>
      <c r="AQ92" s="3703"/>
      <c r="AR92" s="3703"/>
      <c r="AS92" s="3703"/>
      <c r="AT92" s="3703"/>
      <c r="AU92" s="3703"/>
      <c r="AV92" s="3703"/>
      <c r="AW92" s="3703"/>
      <c r="AX92" s="3703"/>
      <c r="AY92" s="3703"/>
      <c r="AZ92" s="389"/>
      <c r="BA92" s="389"/>
      <c r="BB92" s="389"/>
      <c r="BC92" s="373"/>
      <c r="BD92" s="471" t="s">
        <v>1700</v>
      </c>
      <c r="BE92" s="461"/>
      <c r="BF92" s="504">
        <v>42767</v>
      </c>
      <c r="BG92" s="383"/>
      <c r="BH92" s="504">
        <v>43069</v>
      </c>
      <c r="BI92" s="383"/>
      <c r="BJ92" s="3827"/>
    </row>
    <row r="93" spans="1:62" s="4" customFormat="1" ht="60" customHeight="1" x14ac:dyDescent="0.2">
      <c r="A93" s="512"/>
      <c r="B93" s="512"/>
      <c r="C93" s="512"/>
      <c r="D93" s="3761"/>
      <c r="E93" s="3721"/>
      <c r="F93" s="3722"/>
      <c r="G93" s="3765"/>
      <c r="H93" s="3766"/>
      <c r="I93" s="3767"/>
      <c r="J93" s="3726">
        <v>105</v>
      </c>
      <c r="K93" s="3724" t="s">
        <v>1881</v>
      </c>
      <c r="L93" s="3724" t="s">
        <v>1694</v>
      </c>
      <c r="M93" s="3758">
        <v>47</v>
      </c>
      <c r="N93" s="3758">
        <v>48</v>
      </c>
      <c r="O93" s="3728"/>
      <c r="P93" s="3729"/>
      <c r="Q93" s="3728"/>
      <c r="R93" s="3754">
        <f>+W93/S91*100</f>
        <v>16.632124352331605</v>
      </c>
      <c r="S93" s="3703"/>
      <c r="T93" s="3728"/>
      <c r="U93" s="3728"/>
      <c r="V93" s="3724" t="s">
        <v>1882</v>
      </c>
      <c r="W93" s="3702">
        <v>32100000</v>
      </c>
      <c r="X93" s="468"/>
      <c r="Y93" s="468"/>
      <c r="Z93" s="3756">
        <v>20</v>
      </c>
      <c r="AA93" s="3726" t="s">
        <v>208</v>
      </c>
      <c r="AB93" s="3731"/>
      <c r="AC93" s="416">
        <v>2732</v>
      </c>
      <c r="AD93" s="3731"/>
      <c r="AE93" s="416">
        <v>17360</v>
      </c>
      <c r="AF93" s="3731"/>
      <c r="AG93" s="3731"/>
      <c r="AH93" s="3731"/>
      <c r="AI93" s="533"/>
      <c r="AJ93" s="3731"/>
      <c r="AK93" s="3731"/>
      <c r="AL93" s="3731"/>
      <c r="AM93" s="3731"/>
      <c r="AN93" s="3703"/>
      <c r="AO93" s="3703"/>
      <c r="AP93" s="3703"/>
      <c r="AQ93" s="3703"/>
      <c r="AR93" s="3703"/>
      <c r="AS93" s="3703"/>
      <c r="AT93" s="3703"/>
      <c r="AU93" s="3703"/>
      <c r="AV93" s="3703"/>
      <c r="AW93" s="3703"/>
      <c r="AX93" s="3703"/>
      <c r="AY93" s="3703"/>
      <c r="AZ93" s="3702"/>
      <c r="BA93" s="3702"/>
      <c r="BB93" s="3702"/>
      <c r="BC93" s="3752"/>
      <c r="BD93" s="3726" t="s">
        <v>208</v>
      </c>
      <c r="BE93" s="461"/>
      <c r="BF93" s="3750">
        <v>42775</v>
      </c>
      <c r="BG93" s="3730"/>
      <c r="BH93" s="3750">
        <v>42775</v>
      </c>
      <c r="BI93" s="3730"/>
      <c r="BJ93" s="3827"/>
    </row>
    <row r="94" spans="1:62" s="4" customFormat="1" ht="12.75" x14ac:dyDescent="0.2">
      <c r="A94" s="512"/>
      <c r="B94" s="512"/>
      <c r="C94" s="512"/>
      <c r="D94" s="3761"/>
      <c r="E94" s="3721"/>
      <c r="F94" s="3722"/>
      <c r="G94" s="3765"/>
      <c r="H94" s="3766"/>
      <c r="I94" s="3767"/>
      <c r="J94" s="3727"/>
      <c r="K94" s="3725"/>
      <c r="L94" s="3725"/>
      <c r="M94" s="3759"/>
      <c r="N94" s="3760"/>
      <c r="O94" s="3728"/>
      <c r="P94" s="3729"/>
      <c r="Q94" s="3728"/>
      <c r="R94" s="3755"/>
      <c r="S94" s="3703"/>
      <c r="T94" s="3728"/>
      <c r="U94" s="3728"/>
      <c r="V94" s="3725"/>
      <c r="W94" s="3704"/>
      <c r="X94" s="470"/>
      <c r="Y94" s="470"/>
      <c r="Z94" s="3757"/>
      <c r="AA94" s="3727"/>
      <c r="AB94" s="3731"/>
      <c r="AC94" s="416"/>
      <c r="AD94" s="3731"/>
      <c r="AE94" s="416"/>
      <c r="AF94" s="3731"/>
      <c r="AG94" s="3731"/>
      <c r="AH94" s="3731"/>
      <c r="AI94" s="533"/>
      <c r="AJ94" s="3731"/>
      <c r="AK94" s="3731"/>
      <c r="AL94" s="3731"/>
      <c r="AM94" s="3731"/>
      <c r="AN94" s="3703"/>
      <c r="AO94" s="3703"/>
      <c r="AP94" s="3703"/>
      <c r="AQ94" s="3703"/>
      <c r="AR94" s="3703"/>
      <c r="AS94" s="3703"/>
      <c r="AT94" s="3703"/>
      <c r="AU94" s="3703"/>
      <c r="AV94" s="3703"/>
      <c r="AW94" s="3703"/>
      <c r="AX94" s="3703"/>
      <c r="AY94" s="3703"/>
      <c r="AZ94" s="3704"/>
      <c r="BA94" s="3704"/>
      <c r="BB94" s="3704"/>
      <c r="BC94" s="3753"/>
      <c r="BD94" s="3727"/>
      <c r="BE94" s="461"/>
      <c r="BF94" s="3751"/>
      <c r="BG94" s="3732"/>
      <c r="BH94" s="3751"/>
      <c r="BI94" s="3732"/>
      <c r="BJ94" s="3827"/>
    </row>
    <row r="95" spans="1:62" s="4" customFormat="1" ht="58.5" customHeight="1" x14ac:dyDescent="0.2">
      <c r="A95" s="512"/>
      <c r="B95" s="512"/>
      <c r="C95" s="512"/>
      <c r="D95" s="3761"/>
      <c r="E95" s="3721"/>
      <c r="F95" s="3722"/>
      <c r="G95" s="3765"/>
      <c r="H95" s="3766"/>
      <c r="I95" s="3767"/>
      <c r="J95" s="471">
        <v>106</v>
      </c>
      <c r="K95" s="485" t="s">
        <v>1883</v>
      </c>
      <c r="L95" s="485" t="s">
        <v>1694</v>
      </c>
      <c r="M95" s="559">
        <v>1</v>
      </c>
      <c r="N95" s="559">
        <v>0</v>
      </c>
      <c r="O95" s="3728"/>
      <c r="P95" s="3729"/>
      <c r="Q95" s="3728"/>
      <c r="R95" s="511">
        <f>+W95/S91*100</f>
        <v>27.7720207253886</v>
      </c>
      <c r="S95" s="3703"/>
      <c r="T95" s="3728"/>
      <c r="U95" s="3728"/>
      <c r="V95" s="485" t="s">
        <v>1884</v>
      </c>
      <c r="W95" s="369">
        <v>53600000</v>
      </c>
      <c r="X95" s="369">
        <v>52000000</v>
      </c>
      <c r="Y95" s="369"/>
      <c r="Z95" s="484">
        <v>20</v>
      </c>
      <c r="AA95" s="471" t="s">
        <v>208</v>
      </c>
      <c r="AB95" s="3731"/>
      <c r="AC95" s="416"/>
      <c r="AD95" s="3731"/>
      <c r="AE95" s="416"/>
      <c r="AF95" s="3731"/>
      <c r="AG95" s="3731"/>
      <c r="AH95" s="3731"/>
      <c r="AI95" s="533"/>
      <c r="AJ95" s="3731"/>
      <c r="AK95" s="3731"/>
      <c r="AL95" s="3731"/>
      <c r="AM95" s="3731"/>
      <c r="AN95" s="3703"/>
      <c r="AO95" s="3703"/>
      <c r="AP95" s="3703"/>
      <c r="AQ95" s="3703"/>
      <c r="AR95" s="3703"/>
      <c r="AS95" s="3703"/>
      <c r="AT95" s="3703"/>
      <c r="AU95" s="3703"/>
      <c r="AV95" s="3703"/>
      <c r="AW95" s="3703"/>
      <c r="AX95" s="3703"/>
      <c r="AY95" s="3703"/>
      <c r="AZ95" s="389">
        <v>1</v>
      </c>
      <c r="BA95" s="389">
        <f>+X95</f>
        <v>52000000</v>
      </c>
      <c r="BB95" s="389">
        <f>+Y95</f>
        <v>0</v>
      </c>
      <c r="BC95" s="373">
        <f>BB95/BA95</f>
        <v>0</v>
      </c>
      <c r="BD95" s="472" t="s">
        <v>208</v>
      </c>
      <c r="BE95" s="461" t="s">
        <v>1885</v>
      </c>
      <c r="BF95" s="504">
        <v>42767</v>
      </c>
      <c r="BG95" s="504">
        <v>42796</v>
      </c>
      <c r="BH95" s="504">
        <v>42795</v>
      </c>
      <c r="BI95" s="504">
        <v>42936</v>
      </c>
      <c r="BJ95" s="3827"/>
    </row>
    <row r="96" spans="1:62" s="4" customFormat="1" ht="54" customHeight="1" x14ac:dyDescent="0.2">
      <c r="A96" s="530"/>
      <c r="B96" s="530"/>
      <c r="C96" s="530"/>
      <c r="D96" s="3717"/>
      <c r="E96" s="3718"/>
      <c r="F96" s="3719"/>
      <c r="G96" s="3765"/>
      <c r="H96" s="3766"/>
      <c r="I96" s="3767"/>
      <c r="J96" s="3726">
        <v>107</v>
      </c>
      <c r="K96" s="3724" t="s">
        <v>1886</v>
      </c>
      <c r="L96" s="3724" t="s">
        <v>1694</v>
      </c>
      <c r="M96" s="3748">
        <v>1</v>
      </c>
      <c r="N96" s="3748">
        <v>1</v>
      </c>
      <c r="O96" s="3728"/>
      <c r="P96" s="3729"/>
      <c r="Q96" s="3728"/>
      <c r="R96" s="511">
        <f>+W96/S91*100</f>
        <v>25.647668393782386</v>
      </c>
      <c r="S96" s="3703"/>
      <c r="T96" s="3728"/>
      <c r="U96" s="3728"/>
      <c r="V96" s="3724" t="s">
        <v>1887</v>
      </c>
      <c r="W96" s="389">
        <v>49500000</v>
      </c>
      <c r="X96" s="389"/>
      <c r="Y96" s="389"/>
      <c r="Z96" s="484">
        <v>35</v>
      </c>
      <c r="AA96" s="471" t="s">
        <v>1700</v>
      </c>
      <c r="AB96" s="3731"/>
      <c r="AC96" s="416"/>
      <c r="AD96" s="3731"/>
      <c r="AE96" s="416"/>
      <c r="AF96" s="3731"/>
      <c r="AG96" s="3731"/>
      <c r="AH96" s="3731"/>
      <c r="AI96" s="533"/>
      <c r="AJ96" s="3731"/>
      <c r="AK96" s="3731"/>
      <c r="AL96" s="3731"/>
      <c r="AM96" s="3731"/>
      <c r="AN96" s="3703"/>
      <c r="AO96" s="3703"/>
      <c r="AP96" s="3703"/>
      <c r="AQ96" s="3703"/>
      <c r="AR96" s="3703"/>
      <c r="AS96" s="3703"/>
      <c r="AT96" s="3703"/>
      <c r="AU96" s="3703"/>
      <c r="AV96" s="3703"/>
      <c r="AW96" s="3703"/>
      <c r="AX96" s="3703"/>
      <c r="AY96" s="3703"/>
      <c r="AZ96" s="389"/>
      <c r="BA96" s="389"/>
      <c r="BB96" s="389"/>
      <c r="BC96" s="525"/>
      <c r="BD96" s="472" t="s">
        <v>1700</v>
      </c>
      <c r="BE96" s="1601"/>
      <c r="BF96" s="504">
        <v>42767</v>
      </c>
      <c r="BG96" s="383"/>
      <c r="BH96" s="504">
        <v>42916</v>
      </c>
      <c r="BI96" s="383"/>
      <c r="BJ96" s="3827"/>
    </row>
    <row r="97" spans="1:62" s="4" customFormat="1" ht="59.25" customHeight="1" x14ac:dyDescent="0.2">
      <c r="A97" s="512"/>
      <c r="B97" s="512"/>
      <c r="C97" s="512"/>
      <c r="D97" s="545"/>
      <c r="E97" s="545"/>
      <c r="F97" s="546"/>
      <c r="G97" s="3768"/>
      <c r="H97" s="3769"/>
      <c r="I97" s="3770"/>
      <c r="J97" s="3727"/>
      <c r="K97" s="3725"/>
      <c r="L97" s="3725"/>
      <c r="M97" s="3749"/>
      <c r="N97" s="3749"/>
      <c r="O97" s="3725"/>
      <c r="P97" s="3727"/>
      <c r="Q97" s="3725"/>
      <c r="R97" s="511">
        <f>+W97/S91*100</f>
        <v>2.2279792746113989</v>
      </c>
      <c r="S97" s="3704"/>
      <c r="T97" s="3725"/>
      <c r="U97" s="3725"/>
      <c r="V97" s="3725"/>
      <c r="W97" s="389">
        <v>4300000</v>
      </c>
      <c r="X97" s="389"/>
      <c r="Y97" s="389"/>
      <c r="Z97" s="484">
        <v>20</v>
      </c>
      <c r="AA97" s="471" t="s">
        <v>208</v>
      </c>
      <c r="AB97" s="3732"/>
      <c r="AC97" s="417"/>
      <c r="AD97" s="3732"/>
      <c r="AE97" s="417"/>
      <c r="AF97" s="3732"/>
      <c r="AG97" s="3732"/>
      <c r="AH97" s="3732"/>
      <c r="AI97" s="534"/>
      <c r="AJ97" s="3732"/>
      <c r="AK97" s="3732"/>
      <c r="AL97" s="3732"/>
      <c r="AM97" s="3732"/>
      <c r="AN97" s="3704"/>
      <c r="AO97" s="3704"/>
      <c r="AP97" s="3704"/>
      <c r="AQ97" s="3704"/>
      <c r="AR97" s="3704"/>
      <c r="AS97" s="3704"/>
      <c r="AT97" s="3704"/>
      <c r="AU97" s="3704"/>
      <c r="AV97" s="3704"/>
      <c r="AW97" s="3704"/>
      <c r="AX97" s="3704"/>
      <c r="AY97" s="3704"/>
      <c r="AZ97" s="381"/>
      <c r="BA97" s="381"/>
      <c r="BB97" s="381"/>
      <c r="BC97" s="418"/>
      <c r="BD97" s="473" t="s">
        <v>208</v>
      </c>
      <c r="BE97" s="1601"/>
      <c r="BF97" s="504">
        <v>42767</v>
      </c>
      <c r="BG97" s="383"/>
      <c r="BH97" s="504">
        <v>42916</v>
      </c>
      <c r="BI97" s="383"/>
      <c r="BJ97" s="3854"/>
    </row>
    <row r="98" spans="1:62" s="4" customFormat="1" ht="12.75" x14ac:dyDescent="0.2">
      <c r="A98" s="565"/>
      <c r="B98" s="565"/>
      <c r="C98" s="419"/>
      <c r="D98" s="420">
        <v>8</v>
      </c>
      <c r="E98" s="3712" t="s">
        <v>1888</v>
      </c>
      <c r="F98" s="3713"/>
      <c r="G98" s="3713"/>
      <c r="H98" s="3713"/>
      <c r="I98" s="3713"/>
      <c r="J98" s="3713"/>
      <c r="K98" s="3713"/>
      <c r="L98" s="15"/>
      <c r="M98" s="356"/>
      <c r="N98" s="356"/>
      <c r="O98" s="15"/>
      <c r="P98" s="16"/>
      <c r="Q98" s="15"/>
      <c r="R98" s="392"/>
      <c r="S98" s="309"/>
      <c r="T98" s="15"/>
      <c r="U98" s="15"/>
      <c r="V98" s="15"/>
      <c r="W98" s="310"/>
      <c r="X98" s="310"/>
      <c r="Y98" s="310"/>
      <c r="Z98" s="21"/>
      <c r="AA98" s="16"/>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393"/>
      <c r="BA98" s="14"/>
      <c r="BB98" s="14"/>
      <c r="BC98" s="311"/>
      <c r="BD98" s="14"/>
      <c r="BE98" s="1602"/>
      <c r="BF98" s="394"/>
      <c r="BG98" s="394"/>
      <c r="BH98" s="394"/>
      <c r="BI98" s="394"/>
      <c r="BJ98" s="22"/>
    </row>
    <row r="99" spans="1:62" s="4" customFormat="1" ht="12.75" x14ac:dyDescent="0.2">
      <c r="A99" s="542"/>
      <c r="B99" s="542"/>
      <c r="C99" s="421"/>
      <c r="D99" s="3715"/>
      <c r="E99" s="3715"/>
      <c r="F99" s="3716"/>
      <c r="G99" s="396">
        <v>25</v>
      </c>
      <c r="H99" s="3723" t="s">
        <v>1889</v>
      </c>
      <c r="I99" s="3723"/>
      <c r="J99" s="3723"/>
      <c r="K99" s="3723"/>
      <c r="L99" s="564"/>
      <c r="M99" s="364"/>
      <c r="N99" s="364"/>
      <c r="O99" s="564"/>
      <c r="P99" s="17"/>
      <c r="Q99" s="564"/>
      <c r="R99" s="17"/>
      <c r="S99" s="17"/>
      <c r="T99" s="564"/>
      <c r="U99" s="564"/>
      <c r="V99" s="564"/>
      <c r="W99" s="312">
        <f>SUM(W100:W101)</f>
        <v>80000000</v>
      </c>
      <c r="X99" s="312">
        <f t="shared" ref="X99:Y99" si="21">SUM(X100:X101)</f>
        <v>0</v>
      </c>
      <c r="Y99" s="312">
        <f t="shared" si="21"/>
        <v>0</v>
      </c>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1"/>
      <c r="BA99" s="312">
        <f t="shared" ref="BA99:BB99" si="22">SUM(BA100:BA101)</f>
        <v>0</v>
      </c>
      <c r="BB99" s="312">
        <f t="shared" si="22"/>
        <v>0</v>
      </c>
      <c r="BC99" s="377">
        <f>+BA99/W99</f>
        <v>0</v>
      </c>
      <c r="BD99" s="17"/>
      <c r="BE99" s="1598"/>
      <c r="BF99" s="388"/>
      <c r="BG99" s="388"/>
      <c r="BH99" s="388"/>
      <c r="BI99" s="388"/>
      <c r="BJ99" s="18"/>
    </row>
    <row r="100" spans="1:62" s="4" customFormat="1" ht="89.25" customHeight="1" x14ac:dyDescent="0.2">
      <c r="A100" s="542"/>
      <c r="B100" s="542"/>
      <c r="C100" s="421"/>
      <c r="D100" s="3721"/>
      <c r="E100" s="3721"/>
      <c r="F100" s="3722"/>
      <c r="G100" s="560"/>
      <c r="H100" s="561"/>
      <c r="I100" s="561"/>
      <c r="J100" s="471">
        <v>108</v>
      </c>
      <c r="K100" s="485" t="s">
        <v>1890</v>
      </c>
      <c r="L100" s="485" t="s">
        <v>1694</v>
      </c>
      <c r="M100" s="422">
        <v>4</v>
      </c>
      <c r="N100" s="422">
        <v>0</v>
      </c>
      <c r="O100" s="3724" t="s">
        <v>1891</v>
      </c>
      <c r="P100" s="3726">
        <v>96</v>
      </c>
      <c r="Q100" s="3724" t="s">
        <v>1892</v>
      </c>
      <c r="R100" s="511">
        <f>+W100/S100*100</f>
        <v>12.5</v>
      </c>
      <c r="S100" s="3702">
        <f>SUM(W100:W101)</f>
        <v>80000000</v>
      </c>
      <c r="T100" s="3724" t="s">
        <v>1893</v>
      </c>
      <c r="U100" s="485" t="s">
        <v>1894</v>
      </c>
      <c r="V100" s="485" t="s">
        <v>1895</v>
      </c>
      <c r="W100" s="389">
        <v>10000000</v>
      </c>
      <c r="X100" s="389"/>
      <c r="Y100" s="389"/>
      <c r="Z100" s="484">
        <v>20</v>
      </c>
      <c r="AA100" s="471" t="s">
        <v>208</v>
      </c>
      <c r="AB100" s="3730">
        <v>2732</v>
      </c>
      <c r="AC100" s="3730">
        <v>2732</v>
      </c>
      <c r="AD100" s="3730">
        <v>17360</v>
      </c>
      <c r="AE100" s="3730">
        <v>17360</v>
      </c>
      <c r="AF100" s="3730">
        <v>21116</v>
      </c>
      <c r="AG100" s="3730">
        <v>21116</v>
      </c>
      <c r="AH100" s="3702"/>
      <c r="AI100" s="490"/>
      <c r="AJ100" s="3730">
        <v>4451</v>
      </c>
      <c r="AK100" s="3730">
        <v>4451</v>
      </c>
      <c r="AL100" s="3730">
        <v>56</v>
      </c>
      <c r="AM100" s="3730">
        <v>56</v>
      </c>
      <c r="AN100" s="3702"/>
      <c r="AO100" s="3702"/>
      <c r="AP100" s="3702"/>
      <c r="AQ100" s="3702"/>
      <c r="AR100" s="3702"/>
      <c r="AS100" s="3702"/>
      <c r="AT100" s="3702"/>
      <c r="AU100" s="3702"/>
      <c r="AV100" s="3702"/>
      <c r="AW100" s="3702"/>
      <c r="AX100" s="3702"/>
      <c r="AY100" s="3702"/>
      <c r="AZ100" s="389"/>
      <c r="BA100" s="389"/>
      <c r="BB100" s="389"/>
      <c r="BC100" s="373"/>
      <c r="BD100" s="471" t="s">
        <v>208</v>
      </c>
      <c r="BE100" s="461"/>
      <c r="BF100" s="504">
        <v>43066</v>
      </c>
      <c r="BG100" s="383"/>
      <c r="BH100" s="504">
        <v>43069</v>
      </c>
      <c r="BI100" s="383"/>
      <c r="BJ100" s="411" t="s">
        <v>1704</v>
      </c>
    </row>
    <row r="101" spans="1:62" s="4" customFormat="1" ht="102" customHeight="1" x14ac:dyDescent="0.2">
      <c r="A101" s="542"/>
      <c r="B101" s="542"/>
      <c r="C101" s="421"/>
      <c r="D101" s="3721"/>
      <c r="E101" s="3721"/>
      <c r="F101" s="3722"/>
      <c r="G101" s="562"/>
      <c r="H101" s="563"/>
      <c r="I101" s="563"/>
      <c r="J101" s="471">
        <v>109</v>
      </c>
      <c r="K101" s="485" t="s">
        <v>1896</v>
      </c>
      <c r="L101" s="485" t="s">
        <v>1694</v>
      </c>
      <c r="M101" s="422">
        <v>52</v>
      </c>
      <c r="N101" s="422">
        <v>0</v>
      </c>
      <c r="O101" s="3725"/>
      <c r="P101" s="3727"/>
      <c r="Q101" s="3725"/>
      <c r="R101" s="511">
        <f>+W101/S100*100</f>
        <v>87.5</v>
      </c>
      <c r="S101" s="3704"/>
      <c r="T101" s="3725"/>
      <c r="U101" s="485" t="s">
        <v>1897</v>
      </c>
      <c r="V101" s="482" t="s">
        <v>1898</v>
      </c>
      <c r="W101" s="389">
        <v>70000000</v>
      </c>
      <c r="X101" s="389"/>
      <c r="Y101" s="389"/>
      <c r="Z101" s="484">
        <v>20</v>
      </c>
      <c r="AA101" s="471" t="s">
        <v>208</v>
      </c>
      <c r="AB101" s="3732"/>
      <c r="AC101" s="3732"/>
      <c r="AD101" s="3732"/>
      <c r="AE101" s="3732"/>
      <c r="AF101" s="3732"/>
      <c r="AG101" s="3732"/>
      <c r="AH101" s="3704"/>
      <c r="AI101" s="492"/>
      <c r="AJ101" s="3732"/>
      <c r="AK101" s="3732"/>
      <c r="AL101" s="3732"/>
      <c r="AM101" s="3732"/>
      <c r="AN101" s="3704"/>
      <c r="AO101" s="3704"/>
      <c r="AP101" s="3704"/>
      <c r="AQ101" s="3704"/>
      <c r="AR101" s="3704"/>
      <c r="AS101" s="3704"/>
      <c r="AT101" s="3704"/>
      <c r="AU101" s="3704"/>
      <c r="AV101" s="3704"/>
      <c r="AW101" s="3704"/>
      <c r="AX101" s="3704"/>
      <c r="AY101" s="3704"/>
      <c r="AZ101" s="389"/>
      <c r="BA101" s="389"/>
      <c r="BB101" s="389"/>
      <c r="BC101" s="373"/>
      <c r="BD101" s="471" t="s">
        <v>208</v>
      </c>
      <c r="BE101" s="461"/>
      <c r="BF101" s="504">
        <v>42767</v>
      </c>
      <c r="BG101" s="383"/>
      <c r="BH101" s="504">
        <v>42774</v>
      </c>
      <c r="BI101" s="383"/>
      <c r="BJ101" s="411"/>
    </row>
    <row r="102" spans="1:62" s="4" customFormat="1" ht="12.75" x14ac:dyDescent="0.2">
      <c r="A102" s="542"/>
      <c r="B102" s="542"/>
      <c r="C102" s="421"/>
      <c r="D102" s="3721"/>
      <c r="E102" s="3721"/>
      <c r="F102" s="3722"/>
      <c r="G102" s="396">
        <v>26</v>
      </c>
      <c r="H102" s="3723" t="s">
        <v>1899</v>
      </c>
      <c r="I102" s="3723"/>
      <c r="J102" s="3723"/>
      <c r="K102" s="3723"/>
      <c r="L102" s="564"/>
      <c r="M102" s="364"/>
      <c r="N102" s="364"/>
      <c r="O102" s="564"/>
      <c r="P102" s="17"/>
      <c r="Q102" s="564"/>
      <c r="R102" s="17"/>
      <c r="S102" s="17"/>
      <c r="T102" s="564"/>
      <c r="U102" s="564"/>
      <c r="V102" s="564"/>
      <c r="W102" s="312">
        <f>+W103</f>
        <v>1200000000</v>
      </c>
      <c r="X102" s="312">
        <f t="shared" ref="X102:Y102" si="23">+X103</f>
        <v>0</v>
      </c>
      <c r="Y102" s="312">
        <f t="shared" si="23"/>
        <v>0</v>
      </c>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1"/>
      <c r="BA102" s="312">
        <f t="shared" ref="BA102:BB102" si="24">+BA103</f>
        <v>0</v>
      </c>
      <c r="BB102" s="312">
        <f t="shared" si="24"/>
        <v>0</v>
      </c>
      <c r="BC102" s="377">
        <f>+BA102/W102</f>
        <v>0</v>
      </c>
      <c r="BD102" s="17"/>
      <c r="BE102" s="1598"/>
      <c r="BF102" s="388"/>
      <c r="BG102" s="388"/>
      <c r="BH102" s="388"/>
      <c r="BI102" s="388"/>
      <c r="BJ102" s="18"/>
    </row>
    <row r="103" spans="1:62" s="4" customFormat="1" ht="119.25" customHeight="1" x14ac:dyDescent="0.2">
      <c r="A103" s="542" t="s">
        <v>171</v>
      </c>
      <c r="B103" s="542"/>
      <c r="C103" s="421"/>
      <c r="D103" s="3721"/>
      <c r="E103" s="3721"/>
      <c r="F103" s="3722"/>
      <c r="G103" s="562"/>
      <c r="H103" s="563"/>
      <c r="I103" s="563"/>
      <c r="J103" s="471">
        <v>110</v>
      </c>
      <c r="K103" s="485" t="s">
        <v>1900</v>
      </c>
      <c r="L103" s="485" t="s">
        <v>1694</v>
      </c>
      <c r="M103" s="422">
        <v>200</v>
      </c>
      <c r="N103" s="422">
        <v>0</v>
      </c>
      <c r="O103" s="485" t="s">
        <v>1901</v>
      </c>
      <c r="P103" s="423">
        <v>97</v>
      </c>
      <c r="Q103" s="13" t="s">
        <v>1902</v>
      </c>
      <c r="R103" s="511">
        <f>+W103/S103*100</f>
        <v>100</v>
      </c>
      <c r="S103" s="424">
        <f>SUM(W103)</f>
        <v>1200000000</v>
      </c>
      <c r="T103" s="485" t="s">
        <v>1903</v>
      </c>
      <c r="U103" s="485" t="s">
        <v>1904</v>
      </c>
      <c r="V103" s="485" t="s">
        <v>1905</v>
      </c>
      <c r="W103" s="389">
        <v>1200000000</v>
      </c>
      <c r="X103" s="389"/>
      <c r="Y103" s="389"/>
      <c r="Z103" s="484">
        <v>25</v>
      </c>
      <c r="AA103" s="471" t="s">
        <v>1906</v>
      </c>
      <c r="AB103" s="383">
        <v>2732</v>
      </c>
      <c r="AC103" s="383">
        <v>2732</v>
      </c>
      <c r="AD103" s="383">
        <v>17360</v>
      </c>
      <c r="AE103" s="383">
        <v>17360</v>
      </c>
      <c r="AF103" s="383">
        <v>21116</v>
      </c>
      <c r="AG103" s="383">
        <v>21116</v>
      </c>
      <c r="AH103" s="389"/>
      <c r="AI103" s="389"/>
      <c r="AJ103" s="383">
        <v>4451</v>
      </c>
      <c r="AK103" s="383">
        <v>4451</v>
      </c>
      <c r="AL103" s="383">
        <v>56</v>
      </c>
      <c r="AM103" s="383">
        <v>56</v>
      </c>
      <c r="AN103" s="389"/>
      <c r="AO103" s="389"/>
      <c r="AP103" s="389"/>
      <c r="AQ103" s="389"/>
      <c r="AR103" s="389"/>
      <c r="AS103" s="389"/>
      <c r="AT103" s="389"/>
      <c r="AU103" s="389"/>
      <c r="AV103" s="389"/>
      <c r="AW103" s="389"/>
      <c r="AX103" s="389"/>
      <c r="AY103" s="389"/>
      <c r="AZ103" s="389"/>
      <c r="BA103" s="389"/>
      <c r="BB103" s="389"/>
      <c r="BC103" s="373"/>
      <c r="BD103" s="389" t="s">
        <v>1907</v>
      </c>
      <c r="BE103" s="461"/>
      <c r="BF103" s="504">
        <v>42772</v>
      </c>
      <c r="BG103" s="383"/>
      <c r="BH103" s="504">
        <v>43069</v>
      </c>
      <c r="BI103" s="383"/>
      <c r="BJ103" s="411" t="s">
        <v>1704</v>
      </c>
    </row>
    <row r="104" spans="1:62" s="4" customFormat="1" ht="12.75" x14ac:dyDescent="0.2">
      <c r="A104" s="542"/>
      <c r="B104" s="542"/>
      <c r="C104" s="421"/>
      <c r="D104" s="3721"/>
      <c r="E104" s="3721"/>
      <c r="F104" s="3722"/>
      <c r="G104" s="396">
        <v>27</v>
      </c>
      <c r="H104" s="3723" t="s">
        <v>1908</v>
      </c>
      <c r="I104" s="3723"/>
      <c r="J104" s="3723"/>
      <c r="K104" s="3723"/>
      <c r="L104" s="564"/>
      <c r="M104" s="364"/>
      <c r="N104" s="364"/>
      <c r="O104" s="564"/>
      <c r="P104" s="17"/>
      <c r="Q104" s="564"/>
      <c r="R104" s="17"/>
      <c r="S104" s="17"/>
      <c r="T104" s="564"/>
      <c r="U104" s="564"/>
      <c r="V104" s="564"/>
      <c r="W104" s="312">
        <f>+W105</f>
        <v>17987346928</v>
      </c>
      <c r="X104" s="312">
        <f t="shared" ref="X104:Y104" si="25">+X105</f>
        <v>3364558679.1399999</v>
      </c>
      <c r="Y104" s="312">
        <f t="shared" si="25"/>
        <v>3011615080.1399999</v>
      </c>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1"/>
      <c r="BA104" s="312">
        <f t="shared" ref="BA104:BB104" si="26">+BA105</f>
        <v>3364558679.1399999</v>
      </c>
      <c r="BB104" s="312">
        <f t="shared" si="26"/>
        <v>3011615080.1399999</v>
      </c>
      <c r="BC104" s="377">
        <f>+BA104/W104</f>
        <v>0.18705141411947529</v>
      </c>
      <c r="BD104" s="17"/>
      <c r="BE104" s="1598"/>
      <c r="BF104" s="388"/>
      <c r="BG104" s="388"/>
      <c r="BH104" s="388"/>
      <c r="BI104" s="388"/>
      <c r="BJ104" s="18"/>
    </row>
    <row r="105" spans="1:62" s="4" customFormat="1" ht="159" customHeight="1" x14ac:dyDescent="0.2">
      <c r="A105" s="542"/>
      <c r="B105" s="542"/>
      <c r="C105" s="421"/>
      <c r="D105" s="3721"/>
      <c r="E105" s="3721"/>
      <c r="F105" s="3722"/>
      <c r="G105" s="562"/>
      <c r="H105" s="563"/>
      <c r="I105" s="563"/>
      <c r="J105" s="471">
        <v>111</v>
      </c>
      <c r="K105" s="485" t="s">
        <v>1909</v>
      </c>
      <c r="L105" s="485" t="s">
        <v>1910</v>
      </c>
      <c r="M105" s="483">
        <v>1</v>
      </c>
      <c r="N105" s="483">
        <v>1</v>
      </c>
      <c r="O105" s="485" t="s">
        <v>1911</v>
      </c>
      <c r="P105" s="471">
        <v>98</v>
      </c>
      <c r="Q105" s="485" t="s">
        <v>1912</v>
      </c>
      <c r="R105" s="511">
        <f>+W105/S105*100</f>
        <v>100</v>
      </c>
      <c r="S105" s="389">
        <f>SUM(W105)</f>
        <v>17987346928</v>
      </c>
      <c r="T105" s="485" t="s">
        <v>1913</v>
      </c>
      <c r="U105" s="485" t="s">
        <v>1914</v>
      </c>
      <c r="V105" s="485" t="s">
        <v>1915</v>
      </c>
      <c r="W105" s="369">
        <f>3085946928+13636400000+1265000000</f>
        <v>17987346928</v>
      </c>
      <c r="X105" s="425">
        <v>3364558679.1399999</v>
      </c>
      <c r="Y105" s="389">
        <v>3011615080.1399999</v>
      </c>
      <c r="Z105" s="484">
        <v>25</v>
      </c>
      <c r="AA105" s="471" t="s">
        <v>1906</v>
      </c>
      <c r="AB105" s="383">
        <v>2732</v>
      </c>
      <c r="AC105" s="383">
        <v>2732</v>
      </c>
      <c r="AD105" s="383">
        <v>17360</v>
      </c>
      <c r="AE105" s="383">
        <v>17360</v>
      </c>
      <c r="AF105" s="383">
        <v>21116</v>
      </c>
      <c r="AG105" s="383">
        <v>21116</v>
      </c>
      <c r="AH105" s="389"/>
      <c r="AI105" s="389"/>
      <c r="AJ105" s="383">
        <v>4451</v>
      </c>
      <c r="AK105" s="383">
        <v>4451</v>
      </c>
      <c r="AL105" s="383">
        <v>56</v>
      </c>
      <c r="AM105" s="383">
        <v>56</v>
      </c>
      <c r="AN105" s="389"/>
      <c r="AO105" s="389"/>
      <c r="AP105" s="389"/>
      <c r="AQ105" s="389"/>
      <c r="AR105" s="389"/>
      <c r="AS105" s="389"/>
      <c r="AT105" s="389"/>
      <c r="AU105" s="389"/>
      <c r="AV105" s="389"/>
      <c r="AW105" s="389"/>
      <c r="AX105" s="389"/>
      <c r="AY105" s="389"/>
      <c r="AZ105" s="389"/>
      <c r="BA105" s="389">
        <f>+X105</f>
        <v>3364558679.1399999</v>
      </c>
      <c r="BB105" s="389">
        <f>+Y105</f>
        <v>3011615080.1399999</v>
      </c>
      <c r="BC105" s="373">
        <f>BB105/BA105</f>
        <v>0.89509958581248039</v>
      </c>
      <c r="BD105" s="471" t="s">
        <v>1906</v>
      </c>
      <c r="BE105" s="461"/>
      <c r="BF105" s="504">
        <v>42736</v>
      </c>
      <c r="BG105" s="383"/>
      <c r="BH105" s="504">
        <v>43100</v>
      </c>
      <c r="BI105" s="383"/>
      <c r="BJ105" s="411" t="s">
        <v>1704</v>
      </c>
    </row>
    <row r="106" spans="1:62" s="4" customFormat="1" ht="12.75" x14ac:dyDescent="0.2">
      <c r="A106" s="542"/>
      <c r="B106" s="542"/>
      <c r="C106" s="421"/>
      <c r="D106" s="3721"/>
      <c r="E106" s="3721"/>
      <c r="F106" s="3722"/>
      <c r="G106" s="396">
        <v>28</v>
      </c>
      <c r="H106" s="3723" t="s">
        <v>1916</v>
      </c>
      <c r="I106" s="3723"/>
      <c r="J106" s="3723"/>
      <c r="K106" s="3723"/>
      <c r="L106" s="564"/>
      <c r="M106" s="364"/>
      <c r="N106" s="364"/>
      <c r="O106" s="564"/>
      <c r="P106" s="494"/>
      <c r="Q106" s="564"/>
      <c r="R106" s="426"/>
      <c r="S106" s="312"/>
      <c r="T106" s="564"/>
      <c r="U106" s="564"/>
      <c r="V106" s="564"/>
      <c r="W106" s="313">
        <f>SUM(W107:W109)</f>
        <v>42600000</v>
      </c>
      <c r="X106" s="313">
        <f t="shared" ref="X106:Y106" si="27">SUM(X107:X109)</f>
        <v>0</v>
      </c>
      <c r="Y106" s="313">
        <f t="shared" si="27"/>
        <v>0</v>
      </c>
      <c r="Z106" s="19"/>
      <c r="AA106" s="494"/>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1"/>
      <c r="BA106" s="313">
        <f t="shared" ref="BA106:BB106" si="28">SUM(BA107:BA109)</f>
        <v>0</v>
      </c>
      <c r="BB106" s="313">
        <f t="shared" si="28"/>
        <v>0</v>
      </c>
      <c r="BC106" s="377">
        <f>+BA106/W106</f>
        <v>0</v>
      </c>
      <c r="BD106" s="26"/>
      <c r="BE106" s="1598"/>
      <c r="BF106" s="427"/>
      <c r="BG106" s="427"/>
      <c r="BH106" s="427"/>
      <c r="BI106" s="427"/>
      <c r="BJ106" s="18"/>
    </row>
    <row r="107" spans="1:62" s="4" customFormat="1" ht="76.5" customHeight="1" x14ac:dyDescent="0.2">
      <c r="A107" s="542"/>
      <c r="B107" s="542"/>
      <c r="C107" s="421"/>
      <c r="D107" s="3721"/>
      <c r="E107" s="3721"/>
      <c r="F107" s="3722"/>
      <c r="G107" s="3739"/>
      <c r="H107" s="3740"/>
      <c r="I107" s="3741"/>
      <c r="J107" s="3726">
        <v>112</v>
      </c>
      <c r="K107" s="3724" t="s">
        <v>1917</v>
      </c>
      <c r="L107" s="3724" t="s">
        <v>1694</v>
      </c>
      <c r="M107" s="3748">
        <v>20</v>
      </c>
      <c r="N107" s="3748">
        <v>0</v>
      </c>
      <c r="O107" s="3724" t="s">
        <v>1918</v>
      </c>
      <c r="P107" s="3726">
        <v>100</v>
      </c>
      <c r="Q107" s="3724" t="s">
        <v>1919</v>
      </c>
      <c r="R107" s="511">
        <f>+W107/S107*100</f>
        <v>1.6901408450704223</v>
      </c>
      <c r="S107" s="3702">
        <f>SUM(W107:W109)</f>
        <v>42600000</v>
      </c>
      <c r="T107" s="3724" t="s">
        <v>1920</v>
      </c>
      <c r="U107" s="3724" t="s">
        <v>1921</v>
      </c>
      <c r="V107" s="3724" t="s">
        <v>1922</v>
      </c>
      <c r="W107" s="389">
        <v>720000</v>
      </c>
      <c r="X107" s="389"/>
      <c r="Y107" s="389"/>
      <c r="Z107" s="484">
        <v>35</v>
      </c>
      <c r="AA107" s="471" t="s">
        <v>1700</v>
      </c>
      <c r="AB107" s="3730">
        <v>2732</v>
      </c>
      <c r="AC107" s="3730">
        <v>2732</v>
      </c>
      <c r="AD107" s="3730">
        <v>17360</v>
      </c>
      <c r="AE107" s="3730">
        <v>17360</v>
      </c>
      <c r="AF107" s="3730">
        <v>21116</v>
      </c>
      <c r="AG107" s="3730">
        <v>21116</v>
      </c>
      <c r="AH107" s="3702"/>
      <c r="AI107" s="490"/>
      <c r="AJ107" s="3730">
        <v>4451</v>
      </c>
      <c r="AK107" s="3730">
        <v>4451</v>
      </c>
      <c r="AL107" s="3730">
        <v>56</v>
      </c>
      <c r="AM107" s="3730">
        <v>56</v>
      </c>
      <c r="AN107" s="3702"/>
      <c r="AO107" s="3702"/>
      <c r="AP107" s="3702"/>
      <c r="AQ107" s="3702"/>
      <c r="AR107" s="3702"/>
      <c r="AS107" s="3702"/>
      <c r="AT107" s="3702"/>
      <c r="AU107" s="3702"/>
      <c r="AV107" s="3702"/>
      <c r="AW107" s="3702"/>
      <c r="AX107" s="3702"/>
      <c r="AY107" s="490"/>
      <c r="AZ107" s="490"/>
      <c r="BA107" s="490"/>
      <c r="BB107" s="490"/>
      <c r="BC107" s="522"/>
      <c r="BD107" s="472" t="s">
        <v>1700</v>
      </c>
      <c r="BE107" s="1601"/>
      <c r="BF107" s="3702" t="s">
        <v>1923</v>
      </c>
      <c r="BG107" s="3730"/>
      <c r="BH107" s="3702" t="s">
        <v>1923</v>
      </c>
      <c r="BI107" s="3730"/>
      <c r="BJ107" s="3853" t="s">
        <v>1704</v>
      </c>
    </row>
    <row r="108" spans="1:62" s="4" customFormat="1" ht="59.25" customHeight="1" x14ac:dyDescent="0.2">
      <c r="A108" s="542"/>
      <c r="B108" s="542"/>
      <c r="C108" s="421"/>
      <c r="D108" s="3721"/>
      <c r="E108" s="3721"/>
      <c r="F108" s="3722"/>
      <c r="G108" s="3742"/>
      <c r="H108" s="3743"/>
      <c r="I108" s="3744"/>
      <c r="J108" s="3727"/>
      <c r="K108" s="3725"/>
      <c r="L108" s="3725"/>
      <c r="M108" s="3749"/>
      <c r="N108" s="3749"/>
      <c r="O108" s="3728"/>
      <c r="P108" s="3729"/>
      <c r="Q108" s="3728"/>
      <c r="R108" s="511">
        <f>+W108/S107*100</f>
        <v>70.422535211267601</v>
      </c>
      <c r="S108" s="3703"/>
      <c r="T108" s="3728"/>
      <c r="U108" s="3728"/>
      <c r="V108" s="3725"/>
      <c r="W108" s="389">
        <v>30000000</v>
      </c>
      <c r="X108" s="389"/>
      <c r="Y108" s="389"/>
      <c r="Z108" s="484">
        <v>20</v>
      </c>
      <c r="AA108" s="471" t="s">
        <v>208</v>
      </c>
      <c r="AB108" s="3731"/>
      <c r="AC108" s="3731"/>
      <c r="AD108" s="3731"/>
      <c r="AE108" s="3731"/>
      <c r="AF108" s="3731"/>
      <c r="AG108" s="3731"/>
      <c r="AH108" s="3703"/>
      <c r="AI108" s="491"/>
      <c r="AJ108" s="3731"/>
      <c r="AK108" s="3731"/>
      <c r="AL108" s="3731"/>
      <c r="AM108" s="3731"/>
      <c r="AN108" s="3703"/>
      <c r="AO108" s="3703"/>
      <c r="AP108" s="3703"/>
      <c r="AQ108" s="3703"/>
      <c r="AR108" s="3703"/>
      <c r="AS108" s="3703"/>
      <c r="AT108" s="3703"/>
      <c r="AU108" s="3703"/>
      <c r="AV108" s="3703"/>
      <c r="AW108" s="3703"/>
      <c r="AX108" s="3703"/>
      <c r="AY108" s="492"/>
      <c r="AZ108" s="492"/>
      <c r="BA108" s="492"/>
      <c r="BB108" s="492"/>
      <c r="BC108" s="523"/>
      <c r="BD108" s="473" t="s">
        <v>208</v>
      </c>
      <c r="BE108" s="1601"/>
      <c r="BF108" s="3704"/>
      <c r="BG108" s="3732"/>
      <c r="BH108" s="3704"/>
      <c r="BI108" s="3732"/>
      <c r="BJ108" s="3827"/>
    </row>
    <row r="109" spans="1:62" s="4" customFormat="1" ht="94.5" customHeight="1" x14ac:dyDescent="0.2">
      <c r="A109" s="566"/>
      <c r="B109" s="566"/>
      <c r="C109" s="428"/>
      <c r="D109" s="3718"/>
      <c r="E109" s="3718"/>
      <c r="F109" s="3719"/>
      <c r="G109" s="3745"/>
      <c r="H109" s="3746"/>
      <c r="I109" s="3747"/>
      <c r="J109" s="471">
        <v>113</v>
      </c>
      <c r="K109" s="485" t="s">
        <v>1924</v>
      </c>
      <c r="L109" s="485" t="s">
        <v>1694</v>
      </c>
      <c r="M109" s="382">
        <v>3</v>
      </c>
      <c r="N109" s="515">
        <v>0</v>
      </c>
      <c r="O109" s="3725"/>
      <c r="P109" s="3727"/>
      <c r="Q109" s="3725"/>
      <c r="R109" s="511">
        <f>+W109/S107*100</f>
        <v>27.887323943661972</v>
      </c>
      <c r="S109" s="3704"/>
      <c r="T109" s="3725"/>
      <c r="U109" s="3725"/>
      <c r="V109" s="485" t="s">
        <v>1925</v>
      </c>
      <c r="W109" s="389">
        <v>11880000</v>
      </c>
      <c r="X109" s="389"/>
      <c r="Y109" s="389"/>
      <c r="Z109" s="484">
        <v>35</v>
      </c>
      <c r="AA109" s="471" t="s">
        <v>1700</v>
      </c>
      <c r="AB109" s="3732"/>
      <c r="AC109" s="3732"/>
      <c r="AD109" s="3732"/>
      <c r="AE109" s="3732"/>
      <c r="AF109" s="3732"/>
      <c r="AG109" s="3732"/>
      <c r="AH109" s="3704"/>
      <c r="AI109" s="492"/>
      <c r="AJ109" s="3732"/>
      <c r="AK109" s="3732"/>
      <c r="AL109" s="3732"/>
      <c r="AM109" s="3732"/>
      <c r="AN109" s="3704"/>
      <c r="AO109" s="3704"/>
      <c r="AP109" s="3704"/>
      <c r="AQ109" s="3704"/>
      <c r="AR109" s="3704"/>
      <c r="AS109" s="3704"/>
      <c r="AT109" s="3704"/>
      <c r="AU109" s="3704"/>
      <c r="AV109" s="3704"/>
      <c r="AW109" s="3704"/>
      <c r="AX109" s="3704"/>
      <c r="AY109" s="389"/>
      <c r="AZ109" s="389"/>
      <c r="BA109" s="389"/>
      <c r="BB109" s="389"/>
      <c r="BC109" s="373"/>
      <c r="BD109" s="473" t="s">
        <v>1700</v>
      </c>
      <c r="BE109" s="461"/>
      <c r="BF109" s="504">
        <v>43035</v>
      </c>
      <c r="BG109" s="383"/>
      <c r="BH109" s="504">
        <v>43035</v>
      </c>
      <c r="BI109" s="383"/>
      <c r="BJ109" s="3854"/>
    </row>
    <row r="110" spans="1:62" s="4" customFormat="1" ht="12.75" x14ac:dyDescent="0.2">
      <c r="A110" s="3709"/>
      <c r="B110" s="3709"/>
      <c r="C110" s="3709"/>
      <c r="D110" s="391">
        <v>16</v>
      </c>
      <c r="E110" s="3712" t="s">
        <v>586</v>
      </c>
      <c r="F110" s="3713"/>
      <c r="G110" s="3713"/>
      <c r="H110" s="3713"/>
      <c r="I110" s="3713"/>
      <c r="J110" s="3713"/>
      <c r="K110" s="3713"/>
      <c r="L110" s="15"/>
      <c r="M110" s="356"/>
      <c r="N110" s="356"/>
      <c r="O110" s="15"/>
      <c r="P110" s="16"/>
      <c r="Q110" s="15"/>
      <c r="R110" s="392"/>
      <c r="S110" s="309"/>
      <c r="T110" s="15"/>
      <c r="U110" s="15"/>
      <c r="V110" s="15"/>
      <c r="W110" s="310"/>
      <c r="X110" s="310"/>
      <c r="Y110" s="310"/>
      <c r="Z110" s="21"/>
      <c r="AA110" s="16"/>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393"/>
      <c r="BA110" s="14"/>
      <c r="BB110" s="14"/>
      <c r="BC110" s="311"/>
      <c r="BD110" s="14"/>
      <c r="BE110" s="1603"/>
      <c r="BF110" s="394"/>
      <c r="BG110" s="394"/>
      <c r="BH110" s="394"/>
      <c r="BI110" s="394"/>
      <c r="BJ110" s="22"/>
    </row>
    <row r="111" spans="1:62" s="4" customFormat="1" ht="12.75" x14ac:dyDescent="0.2">
      <c r="A111" s="3710"/>
      <c r="B111" s="3710"/>
      <c r="C111" s="3710"/>
      <c r="D111" s="3714"/>
      <c r="E111" s="3715"/>
      <c r="F111" s="3716"/>
      <c r="G111" s="396">
        <v>57</v>
      </c>
      <c r="H111" s="3720" t="s">
        <v>1926</v>
      </c>
      <c r="I111" s="3720"/>
      <c r="J111" s="3720"/>
      <c r="K111" s="3720"/>
      <c r="L111" s="564"/>
      <c r="M111" s="364"/>
      <c r="N111" s="364"/>
      <c r="O111" s="564"/>
      <c r="P111" s="494"/>
      <c r="Q111" s="564"/>
      <c r="R111" s="426"/>
      <c r="S111" s="312"/>
      <c r="T111" s="564"/>
      <c r="U111" s="564"/>
      <c r="V111" s="564"/>
      <c r="W111" s="313">
        <f>+W112</f>
        <v>40000000</v>
      </c>
      <c r="X111" s="313">
        <f t="shared" ref="X111:Y111" si="29">+X112</f>
        <v>0</v>
      </c>
      <c r="Y111" s="313">
        <f t="shared" si="29"/>
        <v>0</v>
      </c>
      <c r="Z111" s="19"/>
      <c r="AA111" s="494"/>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1"/>
      <c r="BA111" s="313">
        <f t="shared" ref="BA111:BB111" si="30">+BA112</f>
        <v>0</v>
      </c>
      <c r="BB111" s="313">
        <f t="shared" si="30"/>
        <v>0</v>
      </c>
      <c r="BC111" s="377">
        <f>+BA111/W111</f>
        <v>0</v>
      </c>
      <c r="BD111" s="17"/>
      <c r="BE111" s="1598"/>
      <c r="BF111" s="427"/>
      <c r="BG111" s="427"/>
      <c r="BH111" s="427"/>
      <c r="BI111" s="427"/>
      <c r="BJ111" s="18"/>
    </row>
    <row r="112" spans="1:62" s="4" customFormat="1" ht="114" customHeight="1" x14ac:dyDescent="0.2">
      <c r="A112" s="3711"/>
      <c r="B112" s="3711"/>
      <c r="C112" s="3711"/>
      <c r="D112" s="3717"/>
      <c r="E112" s="3718"/>
      <c r="F112" s="3719"/>
      <c r="G112" s="562"/>
      <c r="H112" s="563"/>
      <c r="I112" s="563"/>
      <c r="J112" s="471">
        <v>182</v>
      </c>
      <c r="K112" s="485" t="s">
        <v>1927</v>
      </c>
      <c r="L112" s="485" t="s">
        <v>1694</v>
      </c>
      <c r="M112" s="382">
        <v>1</v>
      </c>
      <c r="N112" s="382">
        <v>1</v>
      </c>
      <c r="O112" s="485" t="s">
        <v>1928</v>
      </c>
      <c r="P112" s="471">
        <v>101</v>
      </c>
      <c r="Q112" s="485" t="s">
        <v>1929</v>
      </c>
      <c r="R112" s="511">
        <f>+W112/S112*100</f>
        <v>100</v>
      </c>
      <c r="S112" s="424">
        <f>SUM(W112)</f>
        <v>40000000</v>
      </c>
      <c r="T112" s="485" t="s">
        <v>1930</v>
      </c>
      <c r="U112" s="485" t="s">
        <v>1927</v>
      </c>
      <c r="V112" s="485" t="s">
        <v>1931</v>
      </c>
      <c r="W112" s="389">
        <v>40000000</v>
      </c>
      <c r="X112" s="389"/>
      <c r="Y112" s="389"/>
      <c r="Z112" s="484">
        <v>20</v>
      </c>
      <c r="AA112" s="471" t="s">
        <v>208</v>
      </c>
      <c r="AB112" s="383">
        <v>2732</v>
      </c>
      <c r="AC112" s="383">
        <v>2732</v>
      </c>
      <c r="AD112" s="383">
        <v>17360</v>
      </c>
      <c r="AE112" s="383">
        <v>17360</v>
      </c>
      <c r="AF112" s="383">
        <v>21116</v>
      </c>
      <c r="AG112" s="383">
        <v>21116</v>
      </c>
      <c r="AH112" s="389"/>
      <c r="AI112" s="389"/>
      <c r="AJ112" s="383">
        <v>4451</v>
      </c>
      <c r="AK112" s="383">
        <v>4451</v>
      </c>
      <c r="AL112" s="383">
        <v>56</v>
      </c>
      <c r="AM112" s="383">
        <v>56</v>
      </c>
      <c r="AN112" s="389"/>
      <c r="AO112" s="389"/>
      <c r="AP112" s="389"/>
      <c r="AQ112" s="389"/>
      <c r="AR112" s="389"/>
      <c r="AS112" s="389"/>
      <c r="AT112" s="389"/>
      <c r="AU112" s="389"/>
      <c r="AV112" s="389"/>
      <c r="AW112" s="389"/>
      <c r="AX112" s="389"/>
      <c r="AY112" s="389"/>
      <c r="AZ112" s="389"/>
      <c r="BA112" s="389"/>
      <c r="BB112" s="389"/>
      <c r="BC112" s="429">
        <f>+BA112/W112</f>
        <v>0</v>
      </c>
      <c r="BD112" s="471" t="s">
        <v>208</v>
      </c>
      <c r="BE112" s="461"/>
      <c r="BF112" s="504">
        <v>42767</v>
      </c>
      <c r="BG112" s="383"/>
      <c r="BH112" s="504">
        <v>42795</v>
      </c>
      <c r="BI112" s="383"/>
      <c r="BJ112" s="411" t="s">
        <v>1704</v>
      </c>
    </row>
    <row r="113" spans="1:72" s="445" customFormat="1" ht="27" customHeight="1" x14ac:dyDescent="0.2">
      <c r="A113" s="430"/>
      <c r="B113" s="431"/>
      <c r="C113" s="431"/>
      <c r="D113" s="431"/>
      <c r="E113" s="431"/>
      <c r="F113" s="431"/>
      <c r="G113" s="431"/>
      <c r="H113" s="431"/>
      <c r="I113" s="431"/>
      <c r="J113" s="432"/>
      <c r="K113" s="433"/>
      <c r="L113" s="434"/>
      <c r="M113" s="435"/>
      <c r="N113" s="435"/>
      <c r="O113" s="436"/>
      <c r="P113" s="437"/>
      <c r="Q113" s="433"/>
      <c r="R113" s="438" t="s">
        <v>140</v>
      </c>
      <c r="S113" s="2023">
        <f>+S13+S23+S35+S38+S48+S71+S77+S83+S91+S100+S103+S105+S107+S112</f>
        <v>144614367756</v>
      </c>
      <c r="T113" s="2024"/>
      <c r="U113" s="2025"/>
      <c r="V113" s="2026"/>
      <c r="W113" s="2023">
        <f>+W12+W22+W34+W37+W47+W70+W76+W82+W90+W99+W102+W104+W106+W111</f>
        <v>144727667756</v>
      </c>
      <c r="X113" s="2023">
        <f t="shared" ref="X113:Y113" si="31">+X12+X22+X34+X37+X47+X70+X76+X82+X90+X99+X102+X104+X106+X111</f>
        <v>26097825482.139999</v>
      </c>
      <c r="Y113" s="2023">
        <f t="shared" si="31"/>
        <v>24794540167.139999</v>
      </c>
      <c r="Z113" s="440"/>
      <c r="AA113" s="441"/>
      <c r="AB113" s="431"/>
      <c r="AC113" s="431"/>
      <c r="AD113" s="431"/>
      <c r="AE113" s="431"/>
      <c r="AF113" s="431"/>
      <c r="AG113" s="431"/>
      <c r="AH113" s="431"/>
      <c r="AI113" s="431"/>
      <c r="AJ113" s="431"/>
      <c r="AK113" s="431"/>
      <c r="AL113" s="431"/>
      <c r="AM113" s="431"/>
      <c r="AN113" s="431"/>
      <c r="AO113" s="431"/>
      <c r="AP113" s="431"/>
      <c r="AQ113" s="431"/>
      <c r="AR113" s="431"/>
      <c r="AS113" s="431"/>
      <c r="AT113" s="431"/>
      <c r="AU113" s="431"/>
      <c r="AV113" s="431"/>
      <c r="AW113" s="431"/>
      <c r="AX113" s="431"/>
      <c r="AY113" s="431"/>
      <c r="AZ113" s="442"/>
      <c r="BA113" s="439">
        <f>+BA12+BA22+BA34+BA37+BA47+BA70+BA76+BA82+BA90+BA99+BA102+BA104+BA106+BA111</f>
        <v>36011583782.139999</v>
      </c>
      <c r="BB113" s="439">
        <f>+BB12+BB22+BB34+BB37+BB47+BB70+BB76+BB82+BB90+BB99+BB102+BB104+BB106+BB111</f>
        <v>25453164404.139999</v>
      </c>
      <c r="BC113" s="453">
        <f>BB113/BA113</f>
        <v>0.70680491472201057</v>
      </c>
      <c r="BD113" s="431"/>
      <c r="BE113" s="431"/>
      <c r="BF113" s="443"/>
      <c r="BG113" s="443"/>
      <c r="BH113" s="432"/>
      <c r="BI113" s="432"/>
      <c r="BJ113" s="444"/>
    </row>
    <row r="114" spans="1:72" ht="27" customHeight="1" x14ac:dyDescent="0.2">
      <c r="S114" s="448"/>
      <c r="W114" s="449"/>
      <c r="X114" s="449"/>
      <c r="Y114" s="449"/>
    </row>
    <row r="115" spans="1:72" ht="12.75" x14ac:dyDescent="0.2">
      <c r="A115" s="1"/>
      <c r="G115" s="495"/>
      <c r="H115" s="1596"/>
      <c r="K115" s="1596"/>
      <c r="L115" s="495"/>
      <c r="M115" s="1604"/>
      <c r="N115" s="1604"/>
      <c r="O115" s="1605"/>
      <c r="P115" s="1"/>
      <c r="Q115" s="1606"/>
      <c r="R115" s="1"/>
      <c r="S115" s="1596"/>
      <c r="T115" s="554"/>
      <c r="U115" s="1607"/>
      <c r="V115" s="1607"/>
      <c r="W115" s="1608"/>
      <c r="X115" s="1608"/>
      <c r="Y115" s="1608"/>
      <c r="Z115" s="1609"/>
      <c r="AA115" s="34"/>
      <c r="BF115" s="1"/>
      <c r="BG115" s="1"/>
      <c r="BH115" s="1"/>
      <c r="BI115" s="1"/>
      <c r="BJ115" s="1596"/>
      <c r="BT115" s="1610"/>
    </row>
    <row r="116" spans="1:72" ht="18" customHeight="1" x14ac:dyDescent="0.2">
      <c r="A116" s="1"/>
      <c r="G116" s="495"/>
      <c r="H116" s="1596"/>
      <c r="K116" s="1596"/>
      <c r="L116" s="495"/>
      <c r="M116" s="1604"/>
      <c r="N116" s="1604"/>
      <c r="O116" s="1611" t="s">
        <v>1932</v>
      </c>
      <c r="P116" s="1612"/>
      <c r="Q116" s="1613"/>
      <c r="R116" s="1"/>
      <c r="S116" s="1596"/>
      <c r="T116" s="554"/>
      <c r="U116" s="1607"/>
      <c r="V116" s="1607"/>
      <c r="W116" s="1608"/>
      <c r="X116" s="1608"/>
      <c r="Y116" s="1608"/>
      <c r="Z116" s="1609"/>
      <c r="AA116" s="34"/>
      <c r="BF116" s="1"/>
      <c r="BG116" s="1"/>
      <c r="BH116" s="1"/>
      <c r="BI116" s="1"/>
      <c r="BJ116" s="1596"/>
      <c r="BT116" s="1610"/>
    </row>
    <row r="117" spans="1:72" ht="12.75" x14ac:dyDescent="0.2">
      <c r="A117" s="1"/>
      <c r="G117" s="495"/>
      <c r="H117" s="1596"/>
      <c r="K117" s="1596"/>
      <c r="L117" s="495"/>
      <c r="M117" s="1604"/>
      <c r="N117" s="1604"/>
      <c r="O117" s="1614" t="s">
        <v>1933</v>
      </c>
      <c r="P117" s="1"/>
      <c r="Q117" s="1606"/>
      <c r="R117" s="1"/>
      <c r="S117" s="1596"/>
      <c r="T117" s="1596"/>
      <c r="U117" s="1615"/>
      <c r="V117" s="1615"/>
      <c r="W117" s="1616"/>
      <c r="X117" s="1617"/>
      <c r="Y117" s="1616"/>
      <c r="Z117" s="1618"/>
      <c r="AA117" s="34"/>
      <c r="BF117" s="1"/>
      <c r="BG117" s="1"/>
      <c r="BH117" s="1"/>
      <c r="BI117" s="1"/>
      <c r="BJ117" s="1596"/>
      <c r="BT117" s="1610"/>
    </row>
    <row r="118" spans="1:72" ht="12.75" x14ac:dyDescent="0.2">
      <c r="A118" s="1"/>
      <c r="G118" s="495"/>
      <c r="H118" s="1596"/>
      <c r="K118" s="1596"/>
      <c r="L118" s="495"/>
      <c r="M118" s="1604"/>
      <c r="N118" s="1604"/>
      <c r="O118" s="1605"/>
      <c r="P118" s="1"/>
      <c r="Q118" s="1606"/>
      <c r="R118" s="1"/>
      <c r="S118" s="1596"/>
      <c r="T118" s="1596"/>
      <c r="U118" s="1615"/>
      <c r="V118" s="1615"/>
      <c r="W118" s="1616"/>
      <c r="X118" s="1616"/>
      <c r="Y118" s="1616"/>
      <c r="Z118" s="1618"/>
      <c r="AA118" s="34"/>
      <c r="BF118" s="1"/>
      <c r="BG118" s="1"/>
      <c r="BH118" s="1"/>
      <c r="BI118" s="1"/>
      <c r="BJ118" s="1596"/>
      <c r="BT118" s="1610"/>
    </row>
    <row r="119" spans="1:72" ht="12.75" x14ac:dyDescent="0.2">
      <c r="A119" s="1"/>
      <c r="G119" s="495"/>
      <c r="H119" s="1596"/>
      <c r="K119" s="1596"/>
      <c r="L119" s="495"/>
      <c r="M119" s="1604"/>
      <c r="N119" s="1604"/>
      <c r="O119" s="1605"/>
      <c r="P119" s="1"/>
      <c r="Q119" s="1606"/>
      <c r="R119" s="1"/>
      <c r="S119" s="1596"/>
      <c r="T119" s="1596"/>
      <c r="U119" s="1619"/>
      <c r="V119" s="1615"/>
      <c r="W119" s="1616"/>
      <c r="X119" s="1616"/>
      <c r="Y119" s="1616"/>
      <c r="Z119" s="1618"/>
      <c r="AA119" s="34"/>
      <c r="BF119" s="1"/>
      <c r="BG119" s="1"/>
      <c r="BH119" s="1"/>
      <c r="BI119" s="1"/>
      <c r="BJ119" s="1596"/>
      <c r="BT119" s="1610"/>
    </row>
  </sheetData>
  <sheetProtection password="CBEB" sheet="1" objects="1" scenarios="1"/>
  <mergeCells count="597">
    <mergeCell ref="BJ23:BJ29"/>
    <mergeCell ref="BJ48:BJ69"/>
    <mergeCell ref="BJ71:BJ75"/>
    <mergeCell ref="BJ83:BJ89"/>
    <mergeCell ref="BJ91:BJ97"/>
    <mergeCell ref="BJ107:BJ109"/>
    <mergeCell ref="T7:T9"/>
    <mergeCell ref="U7:U9"/>
    <mergeCell ref="H7:I9"/>
    <mergeCell ref="J7:J9"/>
    <mergeCell ref="K7:K9"/>
    <mergeCell ref="L7:L9"/>
    <mergeCell ref="M7:N8"/>
    <mergeCell ref="O7:O9"/>
    <mergeCell ref="AT8:AU8"/>
    <mergeCell ref="AV8:AW8"/>
    <mergeCell ref="BE8:BE9"/>
    <mergeCell ref="BF8:BG8"/>
    <mergeCell ref="BH8:BI8"/>
    <mergeCell ref="BA8:BA9"/>
    <mergeCell ref="BB8:BB9"/>
    <mergeCell ref="BC8:BC9"/>
    <mergeCell ref="BD8:BD9"/>
    <mergeCell ref="V16:V19"/>
    <mergeCell ref="A1:BH4"/>
    <mergeCell ref="A5:M6"/>
    <mergeCell ref="O5:AA6"/>
    <mergeCell ref="AB5:AY6"/>
    <mergeCell ref="AZ5:BJ6"/>
    <mergeCell ref="A7:A9"/>
    <mergeCell ref="B7:C9"/>
    <mergeCell ref="D7:D9"/>
    <mergeCell ref="E7:F9"/>
    <mergeCell ref="G7:G9"/>
    <mergeCell ref="AZ7:BE7"/>
    <mergeCell ref="BF7:BI7"/>
    <mergeCell ref="BJ7:BJ9"/>
    <mergeCell ref="AB8:AC8"/>
    <mergeCell ref="AD8:AE8"/>
    <mergeCell ref="AF8:AG8"/>
    <mergeCell ref="AH8:AI8"/>
    <mergeCell ref="AJ8:AK8"/>
    <mergeCell ref="AL8:AM8"/>
    <mergeCell ref="AN8:AO8"/>
    <mergeCell ref="AB7:AM7"/>
    <mergeCell ref="AN7:AY7"/>
    <mergeCell ref="AP8:AQ8"/>
    <mergeCell ref="AR8:AS8"/>
    <mergeCell ref="AX8:AY8"/>
    <mergeCell ref="AZ8:AZ9"/>
    <mergeCell ref="V7:V9"/>
    <mergeCell ref="W7:Y8"/>
    <mergeCell ref="Z7:Z9"/>
    <mergeCell ref="AA7:AA9"/>
    <mergeCell ref="P7:P9"/>
    <mergeCell ref="Q7:Q9"/>
    <mergeCell ref="R7:R9"/>
    <mergeCell ref="S7:S9"/>
    <mergeCell ref="Q13:Q21"/>
    <mergeCell ref="R13:R15"/>
    <mergeCell ref="S13:S21"/>
    <mergeCell ref="O16:O20"/>
    <mergeCell ref="R16:R20"/>
    <mergeCell ref="BF13:BF15"/>
    <mergeCell ref="BF16:BF20"/>
    <mergeCell ref="B13:C13"/>
    <mergeCell ref="E13:F13"/>
    <mergeCell ref="H13:I13"/>
    <mergeCell ref="J13:J15"/>
    <mergeCell ref="K13:K15"/>
    <mergeCell ref="L13:L15"/>
    <mergeCell ref="M13:M15"/>
    <mergeCell ref="T13:T21"/>
    <mergeCell ref="U13:U15"/>
    <mergeCell ref="V13:V15"/>
    <mergeCell ref="AB13:AB21"/>
    <mergeCell ref="AC13:AC21"/>
    <mergeCell ref="AD13:AD21"/>
    <mergeCell ref="U16:U20"/>
    <mergeCell ref="BJ13:BJ21"/>
    <mergeCell ref="J16:J20"/>
    <mergeCell ref="K16:K20"/>
    <mergeCell ref="L16:L20"/>
    <mergeCell ref="M16:M20"/>
    <mergeCell ref="N16:N20"/>
    <mergeCell ref="AX13:AX21"/>
    <mergeCell ref="AZ13:AZ15"/>
    <mergeCell ref="BA13:BA15"/>
    <mergeCell ref="BB13:BB15"/>
    <mergeCell ref="BC13:BC15"/>
    <mergeCell ref="BE13:BE15"/>
    <mergeCell ref="AZ16:AZ20"/>
    <mergeCell ref="BA16:BA20"/>
    <mergeCell ref="BB16:BB20"/>
    <mergeCell ref="BC16:BC20"/>
    <mergeCell ref="AL13:AL21"/>
    <mergeCell ref="AN13:AN21"/>
    <mergeCell ref="AP13:AP21"/>
    <mergeCell ref="AR13:AR21"/>
    <mergeCell ref="BE16:BE20"/>
    <mergeCell ref="N13:N15"/>
    <mergeCell ref="O13:O15"/>
    <mergeCell ref="P13:P21"/>
    <mergeCell ref="BG16:BG20"/>
    <mergeCell ref="BH16:BH20"/>
    <mergeCell ref="BI16:BI20"/>
    <mergeCell ref="X19:X20"/>
    <mergeCell ref="Y19:Y20"/>
    <mergeCell ref="Z19:Z20"/>
    <mergeCell ref="AA19:AA20"/>
    <mergeCell ref="BD19:BD20"/>
    <mergeCell ref="AT13:AT21"/>
    <mergeCell ref="AV13:AV21"/>
    <mergeCell ref="AE13:AE21"/>
    <mergeCell ref="AF13:AF21"/>
    <mergeCell ref="AH13:AH21"/>
    <mergeCell ref="AI13:AI21"/>
    <mergeCell ref="AJ13:AJ21"/>
    <mergeCell ref="AK13:AK21"/>
    <mergeCell ref="BG13:BG15"/>
    <mergeCell ref="BH13:BH15"/>
    <mergeCell ref="BI13:BI15"/>
    <mergeCell ref="A22:F22"/>
    <mergeCell ref="H22:M22"/>
    <mergeCell ref="A23:C33"/>
    <mergeCell ref="D23:F33"/>
    <mergeCell ref="G23:G33"/>
    <mergeCell ref="H23:H33"/>
    <mergeCell ref="I23:I33"/>
    <mergeCell ref="J25:J27"/>
    <mergeCell ref="K25:K27"/>
    <mergeCell ref="L25:L27"/>
    <mergeCell ref="BI25:BI27"/>
    <mergeCell ref="J30:J33"/>
    <mergeCell ref="K30:K33"/>
    <mergeCell ref="L30:L33"/>
    <mergeCell ref="M30:M33"/>
    <mergeCell ref="N30:N33"/>
    <mergeCell ref="U30:U33"/>
    <mergeCell ref="AZ25:AZ27"/>
    <mergeCell ref="BA25:BA27"/>
    <mergeCell ref="BB25:BB27"/>
    <mergeCell ref="BC25:BC27"/>
    <mergeCell ref="BD25:BD27"/>
    <mergeCell ref="BE25:BE27"/>
    <mergeCell ref="M25:M27"/>
    <mergeCell ref="N25:N27"/>
    <mergeCell ref="R25:R27"/>
    <mergeCell ref="U25:U27"/>
    <mergeCell ref="W25:W27"/>
    <mergeCell ref="X25:X27"/>
    <mergeCell ref="AT23:AT33"/>
    <mergeCell ref="AU23:AU33"/>
    <mergeCell ref="BH30:BH33"/>
    <mergeCell ref="BI30:BI33"/>
    <mergeCell ref="BJ30:BJ33"/>
    <mergeCell ref="R31:R33"/>
    <mergeCell ref="W31:W33"/>
    <mergeCell ref="Z31:Z33"/>
    <mergeCell ref="AA31:AA33"/>
    <mergeCell ref="AZ30:AZ33"/>
    <mergeCell ref="BA30:BA33"/>
    <mergeCell ref="BB30:BB33"/>
    <mergeCell ref="BC30:BC33"/>
    <mergeCell ref="BD30:BD33"/>
    <mergeCell ref="BE30:BE33"/>
    <mergeCell ref="AV23:AV33"/>
    <mergeCell ref="AW23:AW33"/>
    <mergeCell ref="AX23:AX33"/>
    <mergeCell ref="AY23:AY33"/>
    <mergeCell ref="AN23:AN33"/>
    <mergeCell ref="AO23:AO33"/>
    <mergeCell ref="AP23:AP33"/>
    <mergeCell ref="AQ23:AQ33"/>
    <mergeCell ref="AR23:AR33"/>
    <mergeCell ref="AS23:AS33"/>
    <mergeCell ref="AD23:AD33"/>
    <mergeCell ref="BG25:BG27"/>
    <mergeCell ref="BH25:BH27"/>
    <mergeCell ref="A34:F34"/>
    <mergeCell ref="H34:M34"/>
    <mergeCell ref="A35:C35"/>
    <mergeCell ref="D35:F35"/>
    <mergeCell ref="G35:I35"/>
    <mergeCell ref="A36:C36"/>
    <mergeCell ref="E36:K36"/>
    <mergeCell ref="BF30:BF33"/>
    <mergeCell ref="BG30:BG33"/>
    <mergeCell ref="AF23:AF33"/>
    <mergeCell ref="AH23:AH33"/>
    <mergeCell ref="AJ23:AJ33"/>
    <mergeCell ref="AL23:AL33"/>
    <mergeCell ref="AM23:AM33"/>
    <mergeCell ref="O23:O33"/>
    <mergeCell ref="P23:P33"/>
    <mergeCell ref="Q23:Q33"/>
    <mergeCell ref="S23:S33"/>
    <mergeCell ref="T23:T33"/>
    <mergeCell ref="AB23:AB33"/>
    <mergeCell ref="Y25:Y27"/>
    <mergeCell ref="D37:F46"/>
    <mergeCell ref="H37:K37"/>
    <mergeCell ref="P38:P46"/>
    <mergeCell ref="Q38:Q46"/>
    <mergeCell ref="S38:S46"/>
    <mergeCell ref="T38:T46"/>
    <mergeCell ref="J39:J40"/>
    <mergeCell ref="K39:K40"/>
    <mergeCell ref="L39:L40"/>
    <mergeCell ref="M39:M40"/>
    <mergeCell ref="R39:R40"/>
    <mergeCell ref="U39:U40"/>
    <mergeCell ref="V39:V40"/>
    <mergeCell ref="W39:W40"/>
    <mergeCell ref="AT38:AT46"/>
    <mergeCell ref="AU38:AU46"/>
    <mergeCell ref="AV38:AV46"/>
    <mergeCell ref="AW38:AW46"/>
    <mergeCell ref="AX38:AX46"/>
    <mergeCell ref="BH39:BH40"/>
    <mergeCell ref="AY38:AY46"/>
    <mergeCell ref="AN38:AN46"/>
    <mergeCell ref="AO38:AO46"/>
    <mergeCell ref="AP38:AP46"/>
    <mergeCell ref="AQ38:AQ46"/>
    <mergeCell ref="AR38:AR46"/>
    <mergeCell ref="AS38:AS46"/>
    <mergeCell ref="AB38:AB46"/>
    <mergeCell ref="AD38:AD46"/>
    <mergeCell ref="AF38:AF46"/>
    <mergeCell ref="AH38:AH46"/>
    <mergeCell ref="AJ38:AJ46"/>
    <mergeCell ref="AL38:AL46"/>
    <mergeCell ref="BI39:BI40"/>
    <mergeCell ref="BJ39:BJ40"/>
    <mergeCell ref="V42:V44"/>
    <mergeCell ref="H47:K47"/>
    <mergeCell ref="A48:C69"/>
    <mergeCell ref="D48:F69"/>
    <mergeCell ref="G48:I69"/>
    <mergeCell ref="J48:J54"/>
    <mergeCell ref="K48:K54"/>
    <mergeCell ref="BB39:BB40"/>
    <mergeCell ref="BC39:BC40"/>
    <mergeCell ref="BD39:BD40"/>
    <mergeCell ref="BE39:BE40"/>
    <mergeCell ref="BF39:BF40"/>
    <mergeCell ref="BG39:BG40"/>
    <mergeCell ref="X39:X40"/>
    <mergeCell ref="Y39:Y40"/>
    <mergeCell ref="Z39:Z40"/>
    <mergeCell ref="AA39:AA40"/>
    <mergeCell ref="AZ39:AZ40"/>
    <mergeCell ref="BA39:BA40"/>
    <mergeCell ref="N39:N40"/>
    <mergeCell ref="O39:O40"/>
    <mergeCell ref="U48:U54"/>
    <mergeCell ref="BB48:BB54"/>
    <mergeCell ref="BC48:BC54"/>
    <mergeCell ref="BD48:BD54"/>
    <mergeCell ref="AE48:AE69"/>
    <mergeCell ref="AF48:AF69"/>
    <mergeCell ref="AJ48:AJ69"/>
    <mergeCell ref="AK48:AK69"/>
    <mergeCell ref="AL48:AL69"/>
    <mergeCell ref="AM48:AM69"/>
    <mergeCell ref="BB60:BB64"/>
    <mergeCell ref="BC60:BC64"/>
    <mergeCell ref="BD60:BD64"/>
    <mergeCell ref="BH57:BH58"/>
    <mergeCell ref="BI57:BI58"/>
    <mergeCell ref="J60:J64"/>
    <mergeCell ref="K60:K64"/>
    <mergeCell ref="L60:L64"/>
    <mergeCell ref="M60:M64"/>
    <mergeCell ref="N60:N64"/>
    <mergeCell ref="U60:U64"/>
    <mergeCell ref="AZ60:AZ64"/>
    <mergeCell ref="AZ57:AZ58"/>
    <mergeCell ref="BA57:BA58"/>
    <mergeCell ref="BB57:BB58"/>
    <mergeCell ref="BC57:BC58"/>
    <mergeCell ref="BF57:BF58"/>
    <mergeCell ref="BG57:BG58"/>
    <mergeCell ref="J57:J58"/>
    <mergeCell ref="K57:K58"/>
    <mergeCell ref="L57:L58"/>
    <mergeCell ref="M57:M58"/>
    <mergeCell ref="N57:N58"/>
    <mergeCell ref="R57:R58"/>
    <mergeCell ref="S48:S69"/>
    <mergeCell ref="T48:T69"/>
    <mergeCell ref="J66:J67"/>
    <mergeCell ref="K66:K67"/>
    <mergeCell ref="L66:L67"/>
    <mergeCell ref="M66:M67"/>
    <mergeCell ref="N66:N67"/>
    <mergeCell ref="R66:R67"/>
    <mergeCell ref="U66:U67"/>
    <mergeCell ref="Z66:Z67"/>
    <mergeCell ref="AA66:AA67"/>
    <mergeCell ref="BA60:BA64"/>
    <mergeCell ref="AB48:AB69"/>
    <mergeCell ref="AC48:AC69"/>
    <mergeCell ref="AD48:AD69"/>
    <mergeCell ref="U57:U58"/>
    <mergeCell ref="V57:V58"/>
    <mergeCell ref="L48:L54"/>
    <mergeCell ref="M48:M54"/>
    <mergeCell ref="N48:N54"/>
    <mergeCell ref="O48:O69"/>
    <mergeCell ref="P48:P69"/>
    <mergeCell ref="Q48:Q69"/>
    <mergeCell ref="AZ48:AZ54"/>
    <mergeCell ref="BA48:BA54"/>
    <mergeCell ref="BG60:BG64"/>
    <mergeCell ref="BI60:BI64"/>
    <mergeCell ref="BI66:BI67"/>
    <mergeCell ref="H70:L70"/>
    <mergeCell ref="A71:C75"/>
    <mergeCell ref="D71:F75"/>
    <mergeCell ref="G71:I75"/>
    <mergeCell ref="P71:P75"/>
    <mergeCell ref="Q71:Q75"/>
    <mergeCell ref="S71:S75"/>
    <mergeCell ref="T71:T75"/>
    <mergeCell ref="AZ66:AZ67"/>
    <mergeCell ref="BA66:BA67"/>
    <mergeCell ref="BB66:BB67"/>
    <mergeCell ref="BC66:BC67"/>
    <mergeCell ref="BD66:BD67"/>
    <mergeCell ref="BG66:BG67"/>
    <mergeCell ref="M73:M74"/>
    <mergeCell ref="N73:N74"/>
    <mergeCell ref="O73:O74"/>
    <mergeCell ref="AO71:AO75"/>
    <mergeCell ref="AP71:AP75"/>
    <mergeCell ref="AQ71:AQ75"/>
    <mergeCell ref="AR71:AR75"/>
    <mergeCell ref="A81:C89"/>
    <mergeCell ref="E81:M81"/>
    <mergeCell ref="D82:F89"/>
    <mergeCell ref="H82:K82"/>
    <mergeCell ref="G83:I89"/>
    <mergeCell ref="O83:O89"/>
    <mergeCell ref="AS71:AS75"/>
    <mergeCell ref="AH71:AH75"/>
    <mergeCell ref="AJ71:AJ75"/>
    <mergeCell ref="AK71:AK75"/>
    <mergeCell ref="AL71:AL75"/>
    <mergeCell ref="AM71:AM75"/>
    <mergeCell ref="AN71:AN75"/>
    <mergeCell ref="AB71:AB75"/>
    <mergeCell ref="AC71:AC75"/>
    <mergeCell ref="AD71:AD75"/>
    <mergeCell ref="AE71:AE75"/>
    <mergeCell ref="AF71:AF75"/>
    <mergeCell ref="AG71:AG75"/>
    <mergeCell ref="U87:U89"/>
    <mergeCell ref="W87:W89"/>
    <mergeCell ref="U73:U74"/>
    <mergeCell ref="AS83:AS89"/>
    <mergeCell ref="W78:W80"/>
    <mergeCell ref="BF73:BF74"/>
    <mergeCell ref="BG73:BG74"/>
    <mergeCell ref="BH73:BH74"/>
    <mergeCell ref="BI73:BI74"/>
    <mergeCell ref="AU71:AU75"/>
    <mergeCell ref="AV71:AV75"/>
    <mergeCell ref="AW71:AW75"/>
    <mergeCell ref="AX71:AX75"/>
    <mergeCell ref="H76:L76"/>
    <mergeCell ref="AT71:AT75"/>
    <mergeCell ref="V73:V74"/>
    <mergeCell ref="AT83:AT89"/>
    <mergeCell ref="AD83:AD89"/>
    <mergeCell ref="AF83:AF89"/>
    <mergeCell ref="AH83:AH89"/>
    <mergeCell ref="AJ83:AJ89"/>
    <mergeCell ref="AL83:AL89"/>
    <mergeCell ref="AN83:AN89"/>
    <mergeCell ref="J73:J74"/>
    <mergeCell ref="K73:K74"/>
    <mergeCell ref="L73:L74"/>
    <mergeCell ref="L87:L89"/>
    <mergeCell ref="M87:M89"/>
    <mergeCell ref="N87:N89"/>
    <mergeCell ref="AO83:AO89"/>
    <mergeCell ref="AP83:AP89"/>
    <mergeCell ref="AQ83:AQ89"/>
    <mergeCell ref="P83:P89"/>
    <mergeCell ref="Q83:Q89"/>
    <mergeCell ref="S83:S89"/>
    <mergeCell ref="T83:T89"/>
    <mergeCell ref="AB83:AB89"/>
    <mergeCell ref="AC83:AC89"/>
    <mergeCell ref="R87:R89"/>
    <mergeCell ref="Z87:Z89"/>
    <mergeCell ref="BG87:BG89"/>
    <mergeCell ref="BI87:BI89"/>
    <mergeCell ref="D90:F96"/>
    <mergeCell ref="H90:L90"/>
    <mergeCell ref="G91:I97"/>
    <mergeCell ref="O91:O97"/>
    <mergeCell ref="P91:P97"/>
    <mergeCell ref="Q91:Q97"/>
    <mergeCell ref="S91:S97"/>
    <mergeCell ref="AA87:AA89"/>
    <mergeCell ref="AZ87:AZ89"/>
    <mergeCell ref="BA87:BA89"/>
    <mergeCell ref="BB87:BB89"/>
    <mergeCell ref="BC87:BC89"/>
    <mergeCell ref="BD87:BD89"/>
    <mergeCell ref="AU83:AU89"/>
    <mergeCell ref="AV83:AV89"/>
    <mergeCell ref="AW83:AW89"/>
    <mergeCell ref="AX83:AX89"/>
    <mergeCell ref="AY83:AY89"/>
    <mergeCell ref="J87:J89"/>
    <mergeCell ref="K87:K89"/>
    <mergeCell ref="AX91:AX97"/>
    <mergeCell ref="AR83:AR89"/>
    <mergeCell ref="M93:M94"/>
    <mergeCell ref="N93:N94"/>
    <mergeCell ref="AO91:AO97"/>
    <mergeCell ref="AP91:AP97"/>
    <mergeCell ref="AQ91:AQ97"/>
    <mergeCell ref="AR91:AR97"/>
    <mergeCell ref="AS91:AS97"/>
    <mergeCell ref="AT91:AT97"/>
    <mergeCell ref="AH91:AH97"/>
    <mergeCell ref="AJ91:AJ97"/>
    <mergeCell ref="AK91:AK97"/>
    <mergeCell ref="AL91:AL97"/>
    <mergeCell ref="AM91:AM97"/>
    <mergeCell ref="AN91:AN97"/>
    <mergeCell ref="T91:T97"/>
    <mergeCell ref="U91:U97"/>
    <mergeCell ref="AB91:AB97"/>
    <mergeCell ref="AD91:AD97"/>
    <mergeCell ref="AF91:AF97"/>
    <mergeCell ref="AG91:AG97"/>
    <mergeCell ref="BH93:BH94"/>
    <mergeCell ref="BI93:BI94"/>
    <mergeCell ref="J96:J97"/>
    <mergeCell ref="K96:K97"/>
    <mergeCell ref="L96:L97"/>
    <mergeCell ref="M96:M97"/>
    <mergeCell ref="N96:N97"/>
    <mergeCell ref="V96:V97"/>
    <mergeCell ref="BA93:BA94"/>
    <mergeCell ref="BB93:BB94"/>
    <mergeCell ref="BC93:BC94"/>
    <mergeCell ref="BD93:BD94"/>
    <mergeCell ref="BF93:BF94"/>
    <mergeCell ref="BG93:BG94"/>
    <mergeCell ref="R93:R94"/>
    <mergeCell ref="V93:V94"/>
    <mergeCell ref="W93:W94"/>
    <mergeCell ref="Z93:Z94"/>
    <mergeCell ref="AA93:AA94"/>
    <mergeCell ref="AZ93:AZ94"/>
    <mergeCell ref="AU91:AU97"/>
    <mergeCell ref="AV91:AV97"/>
    <mergeCell ref="AW91:AW97"/>
    <mergeCell ref="AY91:AY97"/>
    <mergeCell ref="AH100:AH101"/>
    <mergeCell ref="AJ100:AJ101"/>
    <mergeCell ref="AK100:AK101"/>
    <mergeCell ref="AL100:AL101"/>
    <mergeCell ref="S100:S101"/>
    <mergeCell ref="T100:T101"/>
    <mergeCell ref="AB100:AB101"/>
    <mergeCell ref="AC100:AC101"/>
    <mergeCell ref="AD100:AD101"/>
    <mergeCell ref="AE100:AE101"/>
    <mergeCell ref="AY100:AY101"/>
    <mergeCell ref="H102:K102"/>
    <mergeCell ref="H104:K104"/>
    <mergeCell ref="H106:K106"/>
    <mergeCell ref="G107:I109"/>
    <mergeCell ref="J107:J108"/>
    <mergeCell ref="K107:K108"/>
    <mergeCell ref="L107:L108"/>
    <mergeCell ref="M107:M108"/>
    <mergeCell ref="N107:N108"/>
    <mergeCell ref="AS100:AS101"/>
    <mergeCell ref="AT100:AT101"/>
    <mergeCell ref="AU100:AU101"/>
    <mergeCell ref="AV100:AV101"/>
    <mergeCell ref="AW100:AW101"/>
    <mergeCell ref="AX100:AX101"/>
    <mergeCell ref="AM100:AM101"/>
    <mergeCell ref="AN100:AN101"/>
    <mergeCell ref="AO100:AO101"/>
    <mergeCell ref="AP100:AP101"/>
    <mergeCell ref="AQ100:AQ101"/>
    <mergeCell ref="AR100:AR101"/>
    <mergeCell ref="AF100:AF101"/>
    <mergeCell ref="AG100:AG101"/>
    <mergeCell ref="S107:S109"/>
    <mergeCell ref="T107:T109"/>
    <mergeCell ref="U107:U109"/>
    <mergeCell ref="V107:V108"/>
    <mergeCell ref="AB107:AB109"/>
    <mergeCell ref="AC107:AC109"/>
    <mergeCell ref="BI107:BI108"/>
    <mergeCell ref="AQ107:AQ109"/>
    <mergeCell ref="AR107:AR109"/>
    <mergeCell ref="AS107:AS109"/>
    <mergeCell ref="AT107:AT109"/>
    <mergeCell ref="AU107:AU109"/>
    <mergeCell ref="AV107:AV109"/>
    <mergeCell ref="AK107:AK109"/>
    <mergeCell ref="AL107:AL109"/>
    <mergeCell ref="AM107:AM109"/>
    <mergeCell ref="AN107:AN109"/>
    <mergeCell ref="AO107:AO109"/>
    <mergeCell ref="AP107:AP109"/>
    <mergeCell ref="AW107:AW109"/>
    <mergeCell ref="AX107:AX109"/>
    <mergeCell ref="BF107:BF108"/>
    <mergeCell ref="BG107:BG108"/>
    <mergeCell ref="BH107:BH108"/>
    <mergeCell ref="AD107:AD109"/>
    <mergeCell ref="AE107:AE109"/>
    <mergeCell ref="AF107:AF109"/>
    <mergeCell ref="AG107:AG109"/>
    <mergeCell ref="AH107:AH109"/>
    <mergeCell ref="AJ107:AJ109"/>
    <mergeCell ref="P77:P80"/>
    <mergeCell ref="J77:J80"/>
    <mergeCell ref="K77:K80"/>
    <mergeCell ref="L77:L80"/>
    <mergeCell ref="M77:M80"/>
    <mergeCell ref="N77:N80"/>
    <mergeCell ref="O77:O80"/>
    <mergeCell ref="Q77:Q80"/>
    <mergeCell ref="Q100:Q101"/>
    <mergeCell ref="Q107:Q109"/>
    <mergeCell ref="J93:J94"/>
    <mergeCell ref="K93:K94"/>
    <mergeCell ref="L93:L94"/>
    <mergeCell ref="R77:R80"/>
    <mergeCell ref="S77:S80"/>
    <mergeCell ref="T77:T80"/>
    <mergeCell ref="U77:U80"/>
    <mergeCell ref="X77:X80"/>
    <mergeCell ref="A110:C112"/>
    <mergeCell ref="E110:K110"/>
    <mergeCell ref="D111:F112"/>
    <mergeCell ref="H111:K111"/>
    <mergeCell ref="E98:K98"/>
    <mergeCell ref="D99:F109"/>
    <mergeCell ref="H99:K99"/>
    <mergeCell ref="O100:O101"/>
    <mergeCell ref="P100:P101"/>
    <mergeCell ref="O107:O109"/>
    <mergeCell ref="P107:P109"/>
    <mergeCell ref="Y77:Y80"/>
    <mergeCell ref="Z77:Z80"/>
    <mergeCell ref="AA77:AA80"/>
    <mergeCell ref="AB77:AB80"/>
    <mergeCell ref="AC77:AC80"/>
    <mergeCell ref="AD77:AD80"/>
    <mergeCell ref="AE77:AE80"/>
    <mergeCell ref="AF77:AF80"/>
    <mergeCell ref="AG77:AG80"/>
    <mergeCell ref="AH77:AH80"/>
    <mergeCell ref="AI77:AI80"/>
    <mergeCell ref="AJ77:AJ80"/>
    <mergeCell ref="AS77:AS80"/>
    <mergeCell ref="AT77:AT80"/>
    <mergeCell ref="AU77:AU80"/>
    <mergeCell ref="AV77:AV80"/>
    <mergeCell ref="AW77:AW80"/>
    <mergeCell ref="AX77:AX80"/>
    <mergeCell ref="AY77:AY80"/>
    <mergeCell ref="AZ77:AZ80"/>
    <mergeCell ref="AK77:AK80"/>
    <mergeCell ref="AL77:AL80"/>
    <mergeCell ref="AM77:AM80"/>
    <mergeCell ref="AN77:AN80"/>
    <mergeCell ref="AO77:AO80"/>
    <mergeCell ref="AP77:AP80"/>
    <mergeCell ref="AQ77:AQ80"/>
    <mergeCell ref="AR77:AR80"/>
    <mergeCell ref="BJ77:BJ80"/>
    <mergeCell ref="BA77:BA80"/>
    <mergeCell ref="BB77:BB80"/>
    <mergeCell ref="BC77:BC80"/>
    <mergeCell ref="BD77:BD80"/>
    <mergeCell ref="BE77:BE80"/>
    <mergeCell ref="BF77:BF80"/>
    <mergeCell ref="BG77:BG80"/>
    <mergeCell ref="BH77:BH80"/>
    <mergeCell ref="BI77:BI80"/>
  </mergeCells>
  <pageMargins left="0.70866141732283472" right="0.70866141732283472" top="0.35433070866141736" bottom="0.35433070866141736" header="0.31496062992125984" footer="0.31496062992125984"/>
  <pageSetup paperSize="5" scale="27" fitToHeight="0" orientation="landscape"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theme="0"/>
  </sheetPr>
  <dimension ref="A1:BH105"/>
  <sheetViews>
    <sheetView showGridLines="0" topLeftCell="A4" zoomScale="60" zoomScaleNormal="60" zoomScaleSheetLayoutView="53" workbookViewId="0">
      <selection activeCell="A4" sqref="A4:BE4"/>
    </sheetView>
  </sheetViews>
  <sheetFormatPr baseColWidth="10" defaultRowHeight="14.25" x14ac:dyDescent="0.2"/>
  <cols>
    <col min="1" max="1" width="10.5703125" style="38" customWidth="1"/>
    <col min="2" max="2" width="11" style="38" customWidth="1"/>
    <col min="3" max="3" width="12.140625" style="38" customWidth="1"/>
    <col min="4" max="4" width="11.28515625" style="38" customWidth="1"/>
    <col min="5" max="5" width="11.42578125" style="38" customWidth="1"/>
    <col min="6" max="6" width="13.85546875" style="155" customWidth="1"/>
    <col min="7" max="7" width="20.5703125" style="38" customWidth="1"/>
    <col min="8" max="8" width="30" style="38" customWidth="1"/>
    <col min="9" max="9" width="29.42578125" style="38" customWidth="1"/>
    <col min="10" max="10" width="22.5703125" style="38" customWidth="1"/>
    <col min="11" max="11" width="20.140625" style="38" customWidth="1"/>
    <col min="12" max="12" width="31.5703125" style="38" customWidth="1"/>
    <col min="13" max="13" width="12" style="38" customWidth="1"/>
    <col min="14" max="14" width="29.42578125" style="38" customWidth="1"/>
    <col min="15" max="15" width="13.85546875" style="38" customWidth="1"/>
    <col min="16" max="16" width="30" style="151" customWidth="1"/>
    <col min="17" max="17" width="35.5703125" style="38" customWidth="1"/>
    <col min="18" max="18" width="46.7109375" style="38" customWidth="1"/>
    <col min="19" max="19" width="35.140625" style="38" customWidth="1"/>
    <col min="20" max="22" width="25.42578125" style="151" customWidth="1"/>
    <col min="23" max="23" width="12.42578125" style="38" customWidth="1"/>
    <col min="24" max="24" width="15.140625" style="38" customWidth="1"/>
    <col min="25" max="25" width="16" style="38" customWidth="1"/>
    <col min="26" max="26" width="13.85546875" style="38" customWidth="1"/>
    <col min="27" max="27" width="14.85546875" style="38" customWidth="1"/>
    <col min="28" max="28" width="12.140625" style="38" customWidth="1"/>
    <col min="29" max="29" width="12.5703125" style="38" customWidth="1"/>
    <col min="30" max="30" width="13.42578125" style="38" customWidth="1"/>
    <col min="31" max="31" width="14.140625" style="38" customWidth="1"/>
    <col min="32" max="32" width="10.5703125" style="38" customWidth="1"/>
    <col min="33" max="33" width="9.5703125" style="38" customWidth="1"/>
    <col min="34" max="34" width="10.5703125" style="38" customWidth="1"/>
    <col min="35" max="35" width="11.140625" style="38" customWidth="1"/>
    <col min="36" max="36" width="9.5703125" style="38" customWidth="1"/>
    <col min="37" max="37" width="9.28515625" style="38" customWidth="1"/>
    <col min="38" max="38" width="11.85546875" style="38" customWidth="1"/>
    <col min="39" max="39" width="13.140625" style="38" customWidth="1"/>
    <col min="40" max="40" width="11.85546875" style="38" customWidth="1"/>
    <col min="41" max="41" width="8.5703125" style="38" customWidth="1"/>
    <col min="42" max="42" width="11.5703125" style="38" customWidth="1"/>
    <col min="43" max="43" width="13.42578125" style="38" customWidth="1"/>
    <col min="44" max="44" width="12.140625" style="38" customWidth="1"/>
    <col min="45" max="45" width="11.42578125" style="38" customWidth="1"/>
    <col min="46" max="46" width="11.85546875" style="38" customWidth="1"/>
    <col min="47" max="47" width="16" style="38" customWidth="1"/>
    <col min="48" max="48" width="27.42578125" style="38" customWidth="1"/>
    <col min="49" max="49" width="23.5703125" style="38" customWidth="1"/>
    <col min="50" max="51" width="23.85546875" style="145" customWidth="1"/>
    <col min="52" max="52" width="29.140625" style="146" customWidth="1"/>
    <col min="53" max="53" width="21.42578125" style="38" customWidth="1"/>
    <col min="54" max="54" width="26.7109375" style="38" customWidth="1"/>
    <col min="55" max="56" width="18" style="38" customWidth="1"/>
    <col min="57" max="58" width="21.42578125" style="38" customWidth="1"/>
    <col min="59" max="59" width="34.28515625" style="38" customWidth="1"/>
    <col min="60" max="282" width="11.42578125" style="38"/>
    <col min="283" max="283" width="14.140625" style="38" customWidth="1"/>
    <col min="284" max="284" width="11.42578125" style="38"/>
    <col min="285" max="285" width="14.140625" style="38" customWidth="1"/>
    <col min="286" max="286" width="11.42578125" style="38"/>
    <col min="287" max="287" width="14.28515625" style="38" customWidth="1"/>
    <col min="288" max="288" width="11.42578125" style="38"/>
    <col min="289" max="289" width="30" style="38" customWidth="1"/>
    <col min="290" max="290" width="29.42578125" style="38" customWidth="1"/>
    <col min="291" max="291" width="11.42578125" style="38"/>
    <col min="292" max="292" width="18.7109375" style="38" customWidth="1"/>
    <col min="293" max="293" width="28.140625" style="38" customWidth="1"/>
    <col min="294" max="294" width="11.42578125" style="38"/>
    <col min="295" max="295" width="19.5703125" style="38" customWidth="1"/>
    <col min="296" max="296" width="36.42578125" style="38" customWidth="1"/>
    <col min="297" max="297" width="46.7109375" style="38" customWidth="1"/>
    <col min="298" max="298" width="28" style="38" customWidth="1"/>
    <col min="299" max="299" width="16.42578125" style="38" customWidth="1"/>
    <col min="300" max="300" width="12.42578125" style="38" customWidth="1"/>
    <col min="301" max="312" width="11.42578125" style="38"/>
    <col min="313" max="313" width="13" style="38" customWidth="1"/>
    <col min="314" max="314" width="14.7109375" style="38" customWidth="1"/>
    <col min="315" max="315" width="34.28515625" style="38" customWidth="1"/>
    <col min="316" max="538" width="11.42578125" style="38"/>
    <col min="539" max="539" width="14.140625" style="38" customWidth="1"/>
    <col min="540" max="540" width="11.42578125" style="38"/>
    <col min="541" max="541" width="14.140625" style="38" customWidth="1"/>
    <col min="542" max="542" width="11.42578125" style="38"/>
    <col min="543" max="543" width="14.28515625" style="38" customWidth="1"/>
    <col min="544" max="544" width="11.42578125" style="38"/>
    <col min="545" max="545" width="30" style="38" customWidth="1"/>
    <col min="546" max="546" width="29.42578125" style="38" customWidth="1"/>
    <col min="547" max="547" width="11.42578125" style="38"/>
    <col min="548" max="548" width="18.7109375" style="38" customWidth="1"/>
    <col min="549" max="549" width="28.140625" style="38" customWidth="1"/>
    <col min="550" max="550" width="11.42578125" style="38"/>
    <col min="551" max="551" width="19.5703125" style="38" customWidth="1"/>
    <col min="552" max="552" width="36.42578125" style="38" customWidth="1"/>
    <col min="553" max="553" width="46.7109375" style="38" customWidth="1"/>
    <col min="554" max="554" width="28" style="38" customWidth="1"/>
    <col min="555" max="555" width="16.42578125" style="38" customWidth="1"/>
    <col min="556" max="556" width="12.42578125" style="38" customWidth="1"/>
    <col min="557" max="568" width="11.42578125" style="38"/>
    <col min="569" max="569" width="13" style="38" customWidth="1"/>
    <col min="570" max="570" width="14.7109375" style="38" customWidth="1"/>
    <col min="571" max="571" width="34.28515625" style="38" customWidth="1"/>
    <col min="572" max="794" width="11.42578125" style="38"/>
    <col min="795" max="795" width="14.140625" style="38" customWidth="1"/>
    <col min="796" max="796" width="11.42578125" style="38"/>
    <col min="797" max="797" width="14.140625" style="38" customWidth="1"/>
    <col min="798" max="798" width="11.42578125" style="38"/>
    <col min="799" max="799" width="14.28515625" style="38" customWidth="1"/>
    <col min="800" max="800" width="11.42578125" style="38"/>
    <col min="801" max="801" width="30" style="38" customWidth="1"/>
    <col min="802" max="802" width="29.42578125" style="38" customWidth="1"/>
    <col min="803" max="803" width="11.42578125" style="38"/>
    <col min="804" max="804" width="18.7109375" style="38" customWidth="1"/>
    <col min="805" max="805" width="28.140625" style="38" customWidth="1"/>
    <col min="806" max="806" width="11.42578125" style="38"/>
    <col min="807" max="807" width="19.5703125" style="38" customWidth="1"/>
    <col min="808" max="808" width="36.42578125" style="38" customWidth="1"/>
    <col min="809" max="809" width="46.7109375" style="38" customWidth="1"/>
    <col min="810" max="810" width="28" style="38" customWidth="1"/>
    <col min="811" max="811" width="16.42578125" style="38" customWidth="1"/>
    <col min="812" max="812" width="12.42578125" style="38" customWidth="1"/>
    <col min="813" max="824" width="11.42578125" style="38"/>
    <col min="825" max="825" width="13" style="38" customWidth="1"/>
    <col min="826" max="826" width="14.7109375" style="38" customWidth="1"/>
    <col min="827" max="827" width="34.28515625" style="38" customWidth="1"/>
    <col min="828" max="1050" width="11.42578125" style="38"/>
    <col min="1051" max="1051" width="14.140625" style="38" customWidth="1"/>
    <col min="1052" max="1052" width="11.42578125" style="38"/>
    <col min="1053" max="1053" width="14.140625" style="38" customWidth="1"/>
    <col min="1054" max="1054" width="11.42578125" style="38"/>
    <col min="1055" max="1055" width="14.28515625" style="38" customWidth="1"/>
    <col min="1056" max="1056" width="11.42578125" style="38"/>
    <col min="1057" max="1057" width="30" style="38" customWidth="1"/>
    <col min="1058" max="1058" width="29.42578125" style="38" customWidth="1"/>
    <col min="1059" max="1059" width="11.42578125" style="38"/>
    <col min="1060" max="1060" width="18.7109375" style="38" customWidth="1"/>
    <col min="1061" max="1061" width="28.140625" style="38" customWidth="1"/>
    <col min="1062" max="1062" width="11.42578125" style="38"/>
    <col min="1063" max="1063" width="19.5703125" style="38" customWidth="1"/>
    <col min="1064" max="1064" width="36.42578125" style="38" customWidth="1"/>
    <col min="1065" max="1065" width="46.7109375" style="38" customWidth="1"/>
    <col min="1066" max="1066" width="28" style="38" customWidth="1"/>
    <col min="1067" max="1067" width="16.42578125" style="38" customWidth="1"/>
    <col min="1068" max="1068" width="12.42578125" style="38" customWidth="1"/>
    <col min="1069" max="1080" width="11.42578125" style="38"/>
    <col min="1081" max="1081" width="13" style="38" customWidth="1"/>
    <col min="1082" max="1082" width="14.7109375" style="38" customWidth="1"/>
    <col min="1083" max="1083" width="34.28515625" style="38" customWidth="1"/>
    <col min="1084" max="1306" width="11.42578125" style="38"/>
    <col min="1307" max="1307" width="14.140625" style="38" customWidth="1"/>
    <col min="1308" max="1308" width="11.42578125" style="38"/>
    <col min="1309" max="1309" width="14.140625" style="38" customWidth="1"/>
    <col min="1310" max="1310" width="11.42578125" style="38"/>
    <col min="1311" max="1311" width="14.28515625" style="38" customWidth="1"/>
    <col min="1312" max="1312" width="11.42578125" style="38"/>
    <col min="1313" max="1313" width="30" style="38" customWidth="1"/>
    <col min="1314" max="1314" width="29.42578125" style="38" customWidth="1"/>
    <col min="1315" max="1315" width="11.42578125" style="38"/>
    <col min="1316" max="1316" width="18.7109375" style="38" customWidth="1"/>
    <col min="1317" max="1317" width="28.140625" style="38" customWidth="1"/>
    <col min="1318" max="1318" width="11.42578125" style="38"/>
    <col min="1319" max="1319" width="19.5703125" style="38" customWidth="1"/>
    <col min="1320" max="1320" width="36.42578125" style="38" customWidth="1"/>
    <col min="1321" max="1321" width="46.7109375" style="38" customWidth="1"/>
    <col min="1322" max="1322" width="28" style="38" customWidth="1"/>
    <col min="1323" max="1323" width="16.42578125" style="38" customWidth="1"/>
    <col min="1324" max="1324" width="12.42578125" style="38" customWidth="1"/>
    <col min="1325" max="1336" width="11.42578125" style="38"/>
    <col min="1337" max="1337" width="13" style="38" customWidth="1"/>
    <col min="1338" max="1338" width="14.7109375" style="38" customWidth="1"/>
    <col min="1339" max="1339" width="34.28515625" style="38" customWidth="1"/>
    <col min="1340" max="1562" width="11.42578125" style="38"/>
    <col min="1563" max="1563" width="14.140625" style="38" customWidth="1"/>
    <col min="1564" max="1564" width="11.42578125" style="38"/>
    <col min="1565" max="1565" width="14.140625" style="38" customWidth="1"/>
    <col min="1566" max="1566" width="11.42578125" style="38"/>
    <col min="1567" max="1567" width="14.28515625" style="38" customWidth="1"/>
    <col min="1568" max="1568" width="11.42578125" style="38"/>
    <col min="1569" max="1569" width="30" style="38" customWidth="1"/>
    <col min="1570" max="1570" width="29.42578125" style="38" customWidth="1"/>
    <col min="1571" max="1571" width="11.42578125" style="38"/>
    <col min="1572" max="1572" width="18.7109375" style="38" customWidth="1"/>
    <col min="1573" max="1573" width="28.140625" style="38" customWidth="1"/>
    <col min="1574" max="1574" width="11.42578125" style="38"/>
    <col min="1575" max="1575" width="19.5703125" style="38" customWidth="1"/>
    <col min="1576" max="1576" width="36.42578125" style="38" customWidth="1"/>
    <col min="1577" max="1577" width="46.7109375" style="38" customWidth="1"/>
    <col min="1578" max="1578" width="28" style="38" customWidth="1"/>
    <col min="1579" max="1579" width="16.42578125" style="38" customWidth="1"/>
    <col min="1580" max="1580" width="12.42578125" style="38" customWidth="1"/>
    <col min="1581" max="1592" width="11.42578125" style="38"/>
    <col min="1593" max="1593" width="13" style="38" customWidth="1"/>
    <col min="1594" max="1594" width="14.7109375" style="38" customWidth="1"/>
    <col min="1595" max="1595" width="34.28515625" style="38" customWidth="1"/>
    <col min="1596" max="1818" width="11.42578125" style="38"/>
    <col min="1819" max="1819" width="14.140625" style="38" customWidth="1"/>
    <col min="1820" max="1820" width="11.42578125" style="38"/>
    <col min="1821" max="1821" width="14.140625" style="38" customWidth="1"/>
    <col min="1822" max="1822" width="11.42578125" style="38"/>
    <col min="1823" max="1823" width="14.28515625" style="38" customWidth="1"/>
    <col min="1824" max="1824" width="11.42578125" style="38"/>
    <col min="1825" max="1825" width="30" style="38" customWidth="1"/>
    <col min="1826" max="1826" width="29.42578125" style="38" customWidth="1"/>
    <col min="1827" max="1827" width="11.42578125" style="38"/>
    <col min="1828" max="1828" width="18.7109375" style="38" customWidth="1"/>
    <col min="1829" max="1829" width="28.140625" style="38" customWidth="1"/>
    <col min="1830" max="1830" width="11.42578125" style="38"/>
    <col min="1831" max="1831" width="19.5703125" style="38" customWidth="1"/>
    <col min="1832" max="1832" width="36.42578125" style="38" customWidth="1"/>
    <col min="1833" max="1833" width="46.7109375" style="38" customWidth="1"/>
    <col min="1834" max="1834" width="28" style="38" customWidth="1"/>
    <col min="1835" max="1835" width="16.42578125" style="38" customWidth="1"/>
    <col min="1836" max="1836" width="12.42578125" style="38" customWidth="1"/>
    <col min="1837" max="1848" width="11.42578125" style="38"/>
    <col min="1849" max="1849" width="13" style="38" customWidth="1"/>
    <col min="1850" max="1850" width="14.7109375" style="38" customWidth="1"/>
    <col min="1851" max="1851" width="34.28515625" style="38" customWidth="1"/>
    <col min="1852" max="2074" width="11.42578125" style="38"/>
    <col min="2075" max="2075" width="14.140625" style="38" customWidth="1"/>
    <col min="2076" max="2076" width="11.42578125" style="38"/>
    <col min="2077" max="2077" width="14.140625" style="38" customWidth="1"/>
    <col min="2078" max="2078" width="11.42578125" style="38"/>
    <col min="2079" max="2079" width="14.28515625" style="38" customWidth="1"/>
    <col min="2080" max="2080" width="11.42578125" style="38"/>
    <col min="2081" max="2081" width="30" style="38" customWidth="1"/>
    <col min="2082" max="2082" width="29.42578125" style="38" customWidth="1"/>
    <col min="2083" max="2083" width="11.42578125" style="38"/>
    <col min="2084" max="2084" width="18.7109375" style="38" customWidth="1"/>
    <col min="2085" max="2085" width="28.140625" style="38" customWidth="1"/>
    <col min="2086" max="2086" width="11.42578125" style="38"/>
    <col min="2087" max="2087" width="19.5703125" style="38" customWidth="1"/>
    <col min="2088" max="2088" width="36.42578125" style="38" customWidth="1"/>
    <col min="2089" max="2089" width="46.7109375" style="38" customWidth="1"/>
    <col min="2090" max="2090" width="28" style="38" customWidth="1"/>
    <col min="2091" max="2091" width="16.42578125" style="38" customWidth="1"/>
    <col min="2092" max="2092" width="12.42578125" style="38" customWidth="1"/>
    <col min="2093" max="2104" width="11.42578125" style="38"/>
    <col min="2105" max="2105" width="13" style="38" customWidth="1"/>
    <col min="2106" max="2106" width="14.7109375" style="38" customWidth="1"/>
    <col min="2107" max="2107" width="34.28515625" style="38" customWidth="1"/>
    <col min="2108" max="2330" width="11.42578125" style="38"/>
    <col min="2331" max="2331" width="14.140625" style="38" customWidth="1"/>
    <col min="2332" max="2332" width="11.42578125" style="38"/>
    <col min="2333" max="2333" width="14.140625" style="38" customWidth="1"/>
    <col min="2334" max="2334" width="11.42578125" style="38"/>
    <col min="2335" max="2335" width="14.28515625" style="38" customWidth="1"/>
    <col min="2336" max="2336" width="11.42578125" style="38"/>
    <col min="2337" max="2337" width="30" style="38" customWidth="1"/>
    <col min="2338" max="2338" width="29.42578125" style="38" customWidth="1"/>
    <col min="2339" max="2339" width="11.42578125" style="38"/>
    <col min="2340" max="2340" width="18.7109375" style="38" customWidth="1"/>
    <col min="2341" max="2341" width="28.140625" style="38" customWidth="1"/>
    <col min="2342" max="2342" width="11.42578125" style="38"/>
    <col min="2343" max="2343" width="19.5703125" style="38" customWidth="1"/>
    <col min="2344" max="2344" width="36.42578125" style="38" customWidth="1"/>
    <col min="2345" max="2345" width="46.7109375" style="38" customWidth="1"/>
    <col min="2346" max="2346" width="28" style="38" customWidth="1"/>
    <col min="2347" max="2347" width="16.42578125" style="38" customWidth="1"/>
    <col min="2348" max="2348" width="12.42578125" style="38" customWidth="1"/>
    <col min="2349" max="2360" width="11.42578125" style="38"/>
    <col min="2361" max="2361" width="13" style="38" customWidth="1"/>
    <col min="2362" max="2362" width="14.7109375" style="38" customWidth="1"/>
    <col min="2363" max="2363" width="34.28515625" style="38" customWidth="1"/>
    <col min="2364" max="2586" width="11.42578125" style="38"/>
    <col min="2587" max="2587" width="14.140625" style="38" customWidth="1"/>
    <col min="2588" max="2588" width="11.42578125" style="38"/>
    <col min="2589" max="2589" width="14.140625" style="38" customWidth="1"/>
    <col min="2590" max="2590" width="11.42578125" style="38"/>
    <col min="2591" max="2591" width="14.28515625" style="38" customWidth="1"/>
    <col min="2592" max="2592" width="11.42578125" style="38"/>
    <col min="2593" max="2593" width="30" style="38" customWidth="1"/>
    <col min="2594" max="2594" width="29.42578125" style="38" customWidth="1"/>
    <col min="2595" max="2595" width="11.42578125" style="38"/>
    <col min="2596" max="2596" width="18.7109375" style="38" customWidth="1"/>
    <col min="2597" max="2597" width="28.140625" style="38" customWidth="1"/>
    <col min="2598" max="2598" width="11.42578125" style="38"/>
    <col min="2599" max="2599" width="19.5703125" style="38" customWidth="1"/>
    <col min="2600" max="2600" width="36.42578125" style="38" customWidth="1"/>
    <col min="2601" max="2601" width="46.7109375" style="38" customWidth="1"/>
    <col min="2602" max="2602" width="28" style="38" customWidth="1"/>
    <col min="2603" max="2603" width="16.42578125" style="38" customWidth="1"/>
    <col min="2604" max="2604" width="12.42578125" style="38" customWidth="1"/>
    <col min="2605" max="2616" width="11.42578125" style="38"/>
    <col min="2617" max="2617" width="13" style="38" customWidth="1"/>
    <col min="2618" max="2618" width="14.7109375" style="38" customWidth="1"/>
    <col min="2619" max="2619" width="34.28515625" style="38" customWidth="1"/>
    <col min="2620" max="2842" width="11.42578125" style="38"/>
    <col min="2843" max="2843" width="14.140625" style="38" customWidth="1"/>
    <col min="2844" max="2844" width="11.42578125" style="38"/>
    <col min="2845" max="2845" width="14.140625" style="38" customWidth="1"/>
    <col min="2846" max="2846" width="11.42578125" style="38"/>
    <col min="2847" max="2847" width="14.28515625" style="38" customWidth="1"/>
    <col min="2848" max="2848" width="11.42578125" style="38"/>
    <col min="2849" max="2849" width="30" style="38" customWidth="1"/>
    <col min="2850" max="2850" width="29.42578125" style="38" customWidth="1"/>
    <col min="2851" max="2851" width="11.42578125" style="38"/>
    <col min="2852" max="2852" width="18.7109375" style="38" customWidth="1"/>
    <col min="2853" max="2853" width="28.140625" style="38" customWidth="1"/>
    <col min="2854" max="2854" width="11.42578125" style="38"/>
    <col min="2855" max="2855" width="19.5703125" style="38" customWidth="1"/>
    <col min="2856" max="2856" width="36.42578125" style="38" customWidth="1"/>
    <col min="2857" max="2857" width="46.7109375" style="38" customWidth="1"/>
    <col min="2858" max="2858" width="28" style="38" customWidth="1"/>
    <col min="2859" max="2859" width="16.42578125" style="38" customWidth="1"/>
    <col min="2860" max="2860" width="12.42578125" style="38" customWidth="1"/>
    <col min="2861" max="2872" width="11.42578125" style="38"/>
    <col min="2873" max="2873" width="13" style="38" customWidth="1"/>
    <col min="2874" max="2874" width="14.7109375" style="38" customWidth="1"/>
    <col min="2875" max="2875" width="34.28515625" style="38" customWidth="1"/>
    <col min="2876" max="3098" width="11.42578125" style="38"/>
    <col min="3099" max="3099" width="14.140625" style="38" customWidth="1"/>
    <col min="3100" max="3100" width="11.42578125" style="38"/>
    <col min="3101" max="3101" width="14.140625" style="38" customWidth="1"/>
    <col min="3102" max="3102" width="11.42578125" style="38"/>
    <col min="3103" max="3103" width="14.28515625" style="38" customWidth="1"/>
    <col min="3104" max="3104" width="11.42578125" style="38"/>
    <col min="3105" max="3105" width="30" style="38" customWidth="1"/>
    <col min="3106" max="3106" width="29.42578125" style="38" customWidth="1"/>
    <col min="3107" max="3107" width="11.42578125" style="38"/>
    <col min="3108" max="3108" width="18.7109375" style="38" customWidth="1"/>
    <col min="3109" max="3109" width="28.140625" style="38" customWidth="1"/>
    <col min="3110" max="3110" width="11.42578125" style="38"/>
    <col min="3111" max="3111" width="19.5703125" style="38" customWidth="1"/>
    <col min="3112" max="3112" width="36.42578125" style="38" customWidth="1"/>
    <col min="3113" max="3113" width="46.7109375" style="38" customWidth="1"/>
    <col min="3114" max="3114" width="28" style="38" customWidth="1"/>
    <col min="3115" max="3115" width="16.42578125" style="38" customWidth="1"/>
    <col min="3116" max="3116" width="12.42578125" style="38" customWidth="1"/>
    <col min="3117" max="3128" width="11.42578125" style="38"/>
    <col min="3129" max="3129" width="13" style="38" customWidth="1"/>
    <col min="3130" max="3130" width="14.7109375" style="38" customWidth="1"/>
    <col min="3131" max="3131" width="34.28515625" style="38" customWidth="1"/>
    <col min="3132" max="3354" width="11.42578125" style="38"/>
    <col min="3355" max="3355" width="14.140625" style="38" customWidth="1"/>
    <col min="3356" max="3356" width="11.42578125" style="38"/>
    <col min="3357" max="3357" width="14.140625" style="38" customWidth="1"/>
    <col min="3358" max="3358" width="11.42578125" style="38"/>
    <col min="3359" max="3359" width="14.28515625" style="38" customWidth="1"/>
    <col min="3360" max="3360" width="11.42578125" style="38"/>
    <col min="3361" max="3361" width="30" style="38" customWidth="1"/>
    <col min="3362" max="3362" width="29.42578125" style="38" customWidth="1"/>
    <col min="3363" max="3363" width="11.42578125" style="38"/>
    <col min="3364" max="3364" width="18.7109375" style="38" customWidth="1"/>
    <col min="3365" max="3365" width="28.140625" style="38" customWidth="1"/>
    <col min="3366" max="3366" width="11.42578125" style="38"/>
    <col min="3367" max="3367" width="19.5703125" style="38" customWidth="1"/>
    <col min="3368" max="3368" width="36.42578125" style="38" customWidth="1"/>
    <col min="3369" max="3369" width="46.7109375" style="38" customWidth="1"/>
    <col min="3370" max="3370" width="28" style="38" customWidth="1"/>
    <col min="3371" max="3371" width="16.42578125" style="38" customWidth="1"/>
    <col min="3372" max="3372" width="12.42578125" style="38" customWidth="1"/>
    <col min="3373" max="3384" width="11.42578125" style="38"/>
    <col min="3385" max="3385" width="13" style="38" customWidth="1"/>
    <col min="3386" max="3386" width="14.7109375" style="38" customWidth="1"/>
    <col min="3387" max="3387" width="34.28515625" style="38" customWidth="1"/>
    <col min="3388" max="3610" width="11.42578125" style="38"/>
    <col min="3611" max="3611" width="14.140625" style="38" customWidth="1"/>
    <col min="3612" max="3612" width="11.42578125" style="38"/>
    <col min="3613" max="3613" width="14.140625" style="38" customWidth="1"/>
    <col min="3614" max="3614" width="11.42578125" style="38"/>
    <col min="3615" max="3615" width="14.28515625" style="38" customWidth="1"/>
    <col min="3616" max="3616" width="11.42578125" style="38"/>
    <col min="3617" max="3617" width="30" style="38" customWidth="1"/>
    <col min="3618" max="3618" width="29.42578125" style="38" customWidth="1"/>
    <col min="3619" max="3619" width="11.42578125" style="38"/>
    <col min="3620" max="3620" width="18.7109375" style="38" customWidth="1"/>
    <col min="3621" max="3621" width="28.140625" style="38" customWidth="1"/>
    <col min="3622" max="3622" width="11.42578125" style="38"/>
    <col min="3623" max="3623" width="19.5703125" style="38" customWidth="1"/>
    <col min="3624" max="3624" width="36.42578125" style="38" customWidth="1"/>
    <col min="3625" max="3625" width="46.7109375" style="38" customWidth="1"/>
    <col min="3626" max="3626" width="28" style="38" customWidth="1"/>
    <col min="3627" max="3627" width="16.42578125" style="38" customWidth="1"/>
    <col min="3628" max="3628" width="12.42578125" style="38" customWidth="1"/>
    <col min="3629" max="3640" width="11.42578125" style="38"/>
    <col min="3641" max="3641" width="13" style="38" customWidth="1"/>
    <col min="3642" max="3642" width="14.7109375" style="38" customWidth="1"/>
    <col min="3643" max="3643" width="34.28515625" style="38" customWidth="1"/>
    <col min="3644" max="3866" width="11.42578125" style="38"/>
    <col min="3867" max="3867" width="14.140625" style="38" customWidth="1"/>
    <col min="3868" max="3868" width="11.42578125" style="38"/>
    <col min="3869" max="3869" width="14.140625" style="38" customWidth="1"/>
    <col min="3870" max="3870" width="11.42578125" style="38"/>
    <col min="3871" max="3871" width="14.28515625" style="38" customWidth="1"/>
    <col min="3872" max="3872" width="11.42578125" style="38"/>
    <col min="3873" max="3873" width="30" style="38" customWidth="1"/>
    <col min="3874" max="3874" width="29.42578125" style="38" customWidth="1"/>
    <col min="3875" max="3875" width="11.42578125" style="38"/>
    <col min="3876" max="3876" width="18.7109375" style="38" customWidth="1"/>
    <col min="3877" max="3877" width="28.140625" style="38" customWidth="1"/>
    <col min="3878" max="3878" width="11.42578125" style="38"/>
    <col min="3879" max="3879" width="19.5703125" style="38" customWidth="1"/>
    <col min="3880" max="3880" width="36.42578125" style="38" customWidth="1"/>
    <col min="3881" max="3881" width="46.7109375" style="38" customWidth="1"/>
    <col min="3882" max="3882" width="28" style="38" customWidth="1"/>
    <col min="3883" max="3883" width="16.42578125" style="38" customWidth="1"/>
    <col min="3884" max="3884" width="12.42578125" style="38" customWidth="1"/>
    <col min="3885" max="3896" width="11.42578125" style="38"/>
    <col min="3897" max="3897" width="13" style="38" customWidth="1"/>
    <col min="3898" max="3898" width="14.7109375" style="38" customWidth="1"/>
    <col min="3899" max="3899" width="34.28515625" style="38" customWidth="1"/>
    <col min="3900" max="4122" width="11.42578125" style="38"/>
    <col min="4123" max="4123" width="14.140625" style="38" customWidth="1"/>
    <col min="4124" max="4124" width="11.42578125" style="38"/>
    <col min="4125" max="4125" width="14.140625" style="38" customWidth="1"/>
    <col min="4126" max="4126" width="11.42578125" style="38"/>
    <col min="4127" max="4127" width="14.28515625" style="38" customWidth="1"/>
    <col min="4128" max="4128" width="11.42578125" style="38"/>
    <col min="4129" max="4129" width="30" style="38" customWidth="1"/>
    <col min="4130" max="4130" width="29.42578125" style="38" customWidth="1"/>
    <col min="4131" max="4131" width="11.42578125" style="38"/>
    <col min="4132" max="4132" width="18.7109375" style="38" customWidth="1"/>
    <col min="4133" max="4133" width="28.140625" style="38" customWidth="1"/>
    <col min="4134" max="4134" width="11.42578125" style="38"/>
    <col min="4135" max="4135" width="19.5703125" style="38" customWidth="1"/>
    <col min="4136" max="4136" width="36.42578125" style="38" customWidth="1"/>
    <col min="4137" max="4137" width="46.7109375" style="38" customWidth="1"/>
    <col min="4138" max="4138" width="28" style="38" customWidth="1"/>
    <col min="4139" max="4139" width="16.42578125" style="38" customWidth="1"/>
    <col min="4140" max="4140" width="12.42578125" style="38" customWidth="1"/>
    <col min="4141" max="4152" width="11.42578125" style="38"/>
    <col min="4153" max="4153" width="13" style="38" customWidth="1"/>
    <col min="4154" max="4154" width="14.7109375" style="38" customWidth="1"/>
    <col min="4155" max="4155" width="34.28515625" style="38" customWidth="1"/>
    <col min="4156" max="4378" width="11.42578125" style="38"/>
    <col min="4379" max="4379" width="14.140625" style="38" customWidth="1"/>
    <col min="4380" max="4380" width="11.42578125" style="38"/>
    <col min="4381" max="4381" width="14.140625" style="38" customWidth="1"/>
    <col min="4382" max="4382" width="11.42578125" style="38"/>
    <col min="4383" max="4383" width="14.28515625" style="38" customWidth="1"/>
    <col min="4384" max="4384" width="11.42578125" style="38"/>
    <col min="4385" max="4385" width="30" style="38" customWidth="1"/>
    <col min="4386" max="4386" width="29.42578125" style="38" customWidth="1"/>
    <col min="4387" max="4387" width="11.42578125" style="38"/>
    <col min="4388" max="4388" width="18.7109375" style="38" customWidth="1"/>
    <col min="4389" max="4389" width="28.140625" style="38" customWidth="1"/>
    <col min="4390" max="4390" width="11.42578125" style="38"/>
    <col min="4391" max="4391" width="19.5703125" style="38" customWidth="1"/>
    <col min="4392" max="4392" width="36.42578125" style="38" customWidth="1"/>
    <col min="4393" max="4393" width="46.7109375" style="38" customWidth="1"/>
    <col min="4394" max="4394" width="28" style="38" customWidth="1"/>
    <col min="4395" max="4395" width="16.42578125" style="38" customWidth="1"/>
    <col min="4396" max="4396" width="12.42578125" style="38" customWidth="1"/>
    <col min="4397" max="4408" width="11.42578125" style="38"/>
    <col min="4409" max="4409" width="13" style="38" customWidth="1"/>
    <col min="4410" max="4410" width="14.7109375" style="38" customWidth="1"/>
    <col min="4411" max="4411" width="34.28515625" style="38" customWidth="1"/>
    <col min="4412" max="4634" width="11.42578125" style="38"/>
    <col min="4635" max="4635" width="14.140625" style="38" customWidth="1"/>
    <col min="4636" max="4636" width="11.42578125" style="38"/>
    <col min="4637" max="4637" width="14.140625" style="38" customWidth="1"/>
    <col min="4638" max="4638" width="11.42578125" style="38"/>
    <col min="4639" max="4639" width="14.28515625" style="38" customWidth="1"/>
    <col min="4640" max="4640" width="11.42578125" style="38"/>
    <col min="4641" max="4641" width="30" style="38" customWidth="1"/>
    <col min="4642" max="4642" width="29.42578125" style="38" customWidth="1"/>
    <col min="4643" max="4643" width="11.42578125" style="38"/>
    <col min="4644" max="4644" width="18.7109375" style="38" customWidth="1"/>
    <col min="4645" max="4645" width="28.140625" style="38" customWidth="1"/>
    <col min="4646" max="4646" width="11.42578125" style="38"/>
    <col min="4647" max="4647" width="19.5703125" style="38" customWidth="1"/>
    <col min="4648" max="4648" width="36.42578125" style="38" customWidth="1"/>
    <col min="4649" max="4649" width="46.7109375" style="38" customWidth="1"/>
    <col min="4650" max="4650" width="28" style="38" customWidth="1"/>
    <col min="4651" max="4651" width="16.42578125" style="38" customWidth="1"/>
    <col min="4652" max="4652" width="12.42578125" style="38" customWidth="1"/>
    <col min="4653" max="4664" width="11.42578125" style="38"/>
    <col min="4665" max="4665" width="13" style="38" customWidth="1"/>
    <col min="4666" max="4666" width="14.7109375" style="38" customWidth="1"/>
    <col min="4667" max="4667" width="34.28515625" style="38" customWidth="1"/>
    <col min="4668" max="4890" width="11.42578125" style="38"/>
    <col min="4891" max="4891" width="14.140625" style="38" customWidth="1"/>
    <col min="4892" max="4892" width="11.42578125" style="38"/>
    <col min="4893" max="4893" width="14.140625" style="38" customWidth="1"/>
    <col min="4894" max="4894" width="11.42578125" style="38"/>
    <col min="4895" max="4895" width="14.28515625" style="38" customWidth="1"/>
    <col min="4896" max="4896" width="11.42578125" style="38"/>
    <col min="4897" max="4897" width="30" style="38" customWidth="1"/>
    <col min="4898" max="4898" width="29.42578125" style="38" customWidth="1"/>
    <col min="4899" max="4899" width="11.42578125" style="38"/>
    <col min="4900" max="4900" width="18.7109375" style="38" customWidth="1"/>
    <col min="4901" max="4901" width="28.140625" style="38" customWidth="1"/>
    <col min="4902" max="4902" width="11.42578125" style="38"/>
    <col min="4903" max="4903" width="19.5703125" style="38" customWidth="1"/>
    <col min="4904" max="4904" width="36.42578125" style="38" customWidth="1"/>
    <col min="4905" max="4905" width="46.7109375" style="38" customWidth="1"/>
    <col min="4906" max="4906" width="28" style="38" customWidth="1"/>
    <col min="4907" max="4907" width="16.42578125" style="38" customWidth="1"/>
    <col min="4908" max="4908" width="12.42578125" style="38" customWidth="1"/>
    <col min="4909" max="4920" width="11.42578125" style="38"/>
    <col min="4921" max="4921" width="13" style="38" customWidth="1"/>
    <col min="4922" max="4922" width="14.7109375" style="38" customWidth="1"/>
    <col min="4923" max="4923" width="34.28515625" style="38" customWidth="1"/>
    <col min="4924" max="5146" width="11.42578125" style="38"/>
    <col min="5147" max="5147" width="14.140625" style="38" customWidth="1"/>
    <col min="5148" max="5148" width="11.42578125" style="38"/>
    <col min="5149" max="5149" width="14.140625" style="38" customWidth="1"/>
    <col min="5150" max="5150" width="11.42578125" style="38"/>
    <col min="5151" max="5151" width="14.28515625" style="38" customWidth="1"/>
    <col min="5152" max="5152" width="11.42578125" style="38"/>
    <col min="5153" max="5153" width="30" style="38" customWidth="1"/>
    <col min="5154" max="5154" width="29.42578125" style="38" customWidth="1"/>
    <col min="5155" max="5155" width="11.42578125" style="38"/>
    <col min="5156" max="5156" width="18.7109375" style="38" customWidth="1"/>
    <col min="5157" max="5157" width="28.140625" style="38" customWidth="1"/>
    <col min="5158" max="5158" width="11.42578125" style="38"/>
    <col min="5159" max="5159" width="19.5703125" style="38" customWidth="1"/>
    <col min="5160" max="5160" width="36.42578125" style="38" customWidth="1"/>
    <col min="5161" max="5161" width="46.7109375" style="38" customWidth="1"/>
    <col min="5162" max="5162" width="28" style="38" customWidth="1"/>
    <col min="5163" max="5163" width="16.42578125" style="38" customWidth="1"/>
    <col min="5164" max="5164" width="12.42578125" style="38" customWidth="1"/>
    <col min="5165" max="5176" width="11.42578125" style="38"/>
    <col min="5177" max="5177" width="13" style="38" customWidth="1"/>
    <col min="5178" max="5178" width="14.7109375" style="38" customWidth="1"/>
    <col min="5179" max="5179" width="34.28515625" style="38" customWidth="1"/>
    <col min="5180" max="5402" width="11.42578125" style="38"/>
    <col min="5403" max="5403" width="14.140625" style="38" customWidth="1"/>
    <col min="5404" max="5404" width="11.42578125" style="38"/>
    <col min="5405" max="5405" width="14.140625" style="38" customWidth="1"/>
    <col min="5406" max="5406" width="11.42578125" style="38"/>
    <col min="5407" max="5407" width="14.28515625" style="38" customWidth="1"/>
    <col min="5408" max="5408" width="11.42578125" style="38"/>
    <col min="5409" max="5409" width="30" style="38" customWidth="1"/>
    <col min="5410" max="5410" width="29.42578125" style="38" customWidth="1"/>
    <col min="5411" max="5411" width="11.42578125" style="38"/>
    <col min="5412" max="5412" width="18.7109375" style="38" customWidth="1"/>
    <col min="5413" max="5413" width="28.140625" style="38" customWidth="1"/>
    <col min="5414" max="5414" width="11.42578125" style="38"/>
    <col min="5415" max="5415" width="19.5703125" style="38" customWidth="1"/>
    <col min="5416" max="5416" width="36.42578125" style="38" customWidth="1"/>
    <col min="5417" max="5417" width="46.7109375" style="38" customWidth="1"/>
    <col min="5418" max="5418" width="28" style="38" customWidth="1"/>
    <col min="5419" max="5419" width="16.42578125" style="38" customWidth="1"/>
    <col min="5420" max="5420" width="12.42578125" style="38" customWidth="1"/>
    <col min="5421" max="5432" width="11.42578125" style="38"/>
    <col min="5433" max="5433" width="13" style="38" customWidth="1"/>
    <col min="5434" max="5434" width="14.7109375" style="38" customWidth="1"/>
    <col min="5435" max="5435" width="34.28515625" style="38" customWidth="1"/>
    <col min="5436" max="5658" width="11.42578125" style="38"/>
    <col min="5659" max="5659" width="14.140625" style="38" customWidth="1"/>
    <col min="5660" max="5660" width="11.42578125" style="38"/>
    <col min="5661" max="5661" width="14.140625" style="38" customWidth="1"/>
    <col min="5662" max="5662" width="11.42578125" style="38"/>
    <col min="5663" max="5663" width="14.28515625" style="38" customWidth="1"/>
    <col min="5664" max="5664" width="11.42578125" style="38"/>
    <col min="5665" max="5665" width="30" style="38" customWidth="1"/>
    <col min="5666" max="5666" width="29.42578125" style="38" customWidth="1"/>
    <col min="5667" max="5667" width="11.42578125" style="38"/>
    <col min="5668" max="5668" width="18.7109375" style="38" customWidth="1"/>
    <col min="5669" max="5669" width="28.140625" style="38" customWidth="1"/>
    <col min="5670" max="5670" width="11.42578125" style="38"/>
    <col min="5671" max="5671" width="19.5703125" style="38" customWidth="1"/>
    <col min="5672" max="5672" width="36.42578125" style="38" customWidth="1"/>
    <col min="5673" max="5673" width="46.7109375" style="38" customWidth="1"/>
    <col min="5674" max="5674" width="28" style="38" customWidth="1"/>
    <col min="5675" max="5675" width="16.42578125" style="38" customWidth="1"/>
    <col min="5676" max="5676" width="12.42578125" style="38" customWidth="1"/>
    <col min="5677" max="5688" width="11.42578125" style="38"/>
    <col min="5689" max="5689" width="13" style="38" customWidth="1"/>
    <col min="5690" max="5690" width="14.7109375" style="38" customWidth="1"/>
    <col min="5691" max="5691" width="34.28515625" style="38" customWidth="1"/>
    <col min="5692" max="5914" width="11.42578125" style="38"/>
    <col min="5915" max="5915" width="14.140625" style="38" customWidth="1"/>
    <col min="5916" max="5916" width="11.42578125" style="38"/>
    <col min="5917" max="5917" width="14.140625" style="38" customWidth="1"/>
    <col min="5918" max="5918" width="11.42578125" style="38"/>
    <col min="5919" max="5919" width="14.28515625" style="38" customWidth="1"/>
    <col min="5920" max="5920" width="11.42578125" style="38"/>
    <col min="5921" max="5921" width="30" style="38" customWidth="1"/>
    <col min="5922" max="5922" width="29.42578125" style="38" customWidth="1"/>
    <col min="5923" max="5923" width="11.42578125" style="38"/>
    <col min="5924" max="5924" width="18.7109375" style="38" customWidth="1"/>
    <col min="5925" max="5925" width="28.140625" style="38" customWidth="1"/>
    <col min="5926" max="5926" width="11.42578125" style="38"/>
    <col min="5927" max="5927" width="19.5703125" style="38" customWidth="1"/>
    <col min="5928" max="5928" width="36.42578125" style="38" customWidth="1"/>
    <col min="5929" max="5929" width="46.7109375" style="38" customWidth="1"/>
    <col min="5930" max="5930" width="28" style="38" customWidth="1"/>
    <col min="5931" max="5931" width="16.42578125" style="38" customWidth="1"/>
    <col min="5932" max="5932" width="12.42578125" style="38" customWidth="1"/>
    <col min="5933" max="5944" width="11.42578125" style="38"/>
    <col min="5945" max="5945" width="13" style="38" customWidth="1"/>
    <col min="5946" max="5946" width="14.7109375" style="38" customWidth="1"/>
    <col min="5947" max="5947" width="34.28515625" style="38" customWidth="1"/>
    <col min="5948" max="6170" width="11.42578125" style="38"/>
    <col min="6171" max="6171" width="14.140625" style="38" customWidth="1"/>
    <col min="6172" max="6172" width="11.42578125" style="38"/>
    <col min="6173" max="6173" width="14.140625" style="38" customWidth="1"/>
    <col min="6174" max="6174" width="11.42578125" style="38"/>
    <col min="6175" max="6175" width="14.28515625" style="38" customWidth="1"/>
    <col min="6176" max="6176" width="11.42578125" style="38"/>
    <col min="6177" max="6177" width="30" style="38" customWidth="1"/>
    <col min="6178" max="6178" width="29.42578125" style="38" customWidth="1"/>
    <col min="6179" max="6179" width="11.42578125" style="38"/>
    <col min="6180" max="6180" width="18.7109375" style="38" customWidth="1"/>
    <col min="6181" max="6181" width="28.140625" style="38" customWidth="1"/>
    <col min="6182" max="6182" width="11.42578125" style="38"/>
    <col min="6183" max="6183" width="19.5703125" style="38" customWidth="1"/>
    <col min="6184" max="6184" width="36.42578125" style="38" customWidth="1"/>
    <col min="6185" max="6185" width="46.7109375" style="38" customWidth="1"/>
    <col min="6186" max="6186" width="28" style="38" customWidth="1"/>
    <col min="6187" max="6187" width="16.42578125" style="38" customWidth="1"/>
    <col min="6188" max="6188" width="12.42578125" style="38" customWidth="1"/>
    <col min="6189" max="6200" width="11.42578125" style="38"/>
    <col min="6201" max="6201" width="13" style="38" customWidth="1"/>
    <col min="6202" max="6202" width="14.7109375" style="38" customWidth="1"/>
    <col min="6203" max="6203" width="34.28515625" style="38" customWidth="1"/>
    <col min="6204" max="6426" width="11.42578125" style="38"/>
    <col min="6427" max="6427" width="14.140625" style="38" customWidth="1"/>
    <col min="6428" max="6428" width="11.42578125" style="38"/>
    <col min="6429" max="6429" width="14.140625" style="38" customWidth="1"/>
    <col min="6430" max="6430" width="11.42578125" style="38"/>
    <col min="6431" max="6431" width="14.28515625" style="38" customWidth="1"/>
    <col min="6432" max="6432" width="11.42578125" style="38"/>
    <col min="6433" max="6433" width="30" style="38" customWidth="1"/>
    <col min="6434" max="6434" width="29.42578125" style="38" customWidth="1"/>
    <col min="6435" max="6435" width="11.42578125" style="38"/>
    <col min="6436" max="6436" width="18.7109375" style="38" customWidth="1"/>
    <col min="6437" max="6437" width="28.140625" style="38" customWidth="1"/>
    <col min="6438" max="6438" width="11.42578125" style="38"/>
    <col min="6439" max="6439" width="19.5703125" style="38" customWidth="1"/>
    <col min="6440" max="6440" width="36.42578125" style="38" customWidth="1"/>
    <col min="6441" max="6441" width="46.7109375" style="38" customWidth="1"/>
    <col min="6442" max="6442" width="28" style="38" customWidth="1"/>
    <col min="6443" max="6443" width="16.42578125" style="38" customWidth="1"/>
    <col min="6444" max="6444" width="12.42578125" style="38" customWidth="1"/>
    <col min="6445" max="6456" width="11.42578125" style="38"/>
    <col min="6457" max="6457" width="13" style="38" customWidth="1"/>
    <col min="6458" max="6458" width="14.7109375" style="38" customWidth="1"/>
    <col min="6459" max="6459" width="34.28515625" style="38" customWidth="1"/>
    <col min="6460" max="6682" width="11.42578125" style="38"/>
    <col min="6683" max="6683" width="14.140625" style="38" customWidth="1"/>
    <col min="6684" max="6684" width="11.42578125" style="38"/>
    <col min="6685" max="6685" width="14.140625" style="38" customWidth="1"/>
    <col min="6686" max="6686" width="11.42578125" style="38"/>
    <col min="6687" max="6687" width="14.28515625" style="38" customWidth="1"/>
    <col min="6688" max="6688" width="11.42578125" style="38"/>
    <col min="6689" max="6689" width="30" style="38" customWidth="1"/>
    <col min="6690" max="6690" width="29.42578125" style="38" customWidth="1"/>
    <col min="6691" max="6691" width="11.42578125" style="38"/>
    <col min="6692" max="6692" width="18.7109375" style="38" customWidth="1"/>
    <col min="6693" max="6693" width="28.140625" style="38" customWidth="1"/>
    <col min="6694" max="6694" width="11.42578125" style="38"/>
    <col min="6695" max="6695" width="19.5703125" style="38" customWidth="1"/>
    <col min="6696" max="6696" width="36.42578125" style="38" customWidth="1"/>
    <col min="6697" max="6697" width="46.7109375" style="38" customWidth="1"/>
    <col min="6698" max="6698" width="28" style="38" customWidth="1"/>
    <col min="6699" max="6699" width="16.42578125" style="38" customWidth="1"/>
    <col min="6700" max="6700" width="12.42578125" style="38" customWidth="1"/>
    <col min="6701" max="6712" width="11.42578125" style="38"/>
    <col min="6713" max="6713" width="13" style="38" customWidth="1"/>
    <col min="6714" max="6714" width="14.7109375" style="38" customWidth="1"/>
    <col min="6715" max="6715" width="34.28515625" style="38" customWidth="1"/>
    <col min="6716" max="6938" width="11.42578125" style="38"/>
    <col min="6939" max="6939" width="14.140625" style="38" customWidth="1"/>
    <col min="6940" max="6940" width="11.42578125" style="38"/>
    <col min="6941" max="6941" width="14.140625" style="38" customWidth="1"/>
    <col min="6942" max="6942" width="11.42578125" style="38"/>
    <col min="6943" max="6943" width="14.28515625" style="38" customWidth="1"/>
    <col min="6944" max="6944" width="11.42578125" style="38"/>
    <col min="6945" max="6945" width="30" style="38" customWidth="1"/>
    <col min="6946" max="6946" width="29.42578125" style="38" customWidth="1"/>
    <col min="6947" max="6947" width="11.42578125" style="38"/>
    <col min="6948" max="6948" width="18.7109375" style="38" customWidth="1"/>
    <col min="6949" max="6949" width="28.140625" style="38" customWidth="1"/>
    <col min="6950" max="6950" width="11.42578125" style="38"/>
    <col min="6951" max="6951" width="19.5703125" style="38" customWidth="1"/>
    <col min="6952" max="6952" width="36.42578125" style="38" customWidth="1"/>
    <col min="6953" max="6953" width="46.7109375" style="38" customWidth="1"/>
    <col min="6954" max="6954" width="28" style="38" customWidth="1"/>
    <col min="6955" max="6955" width="16.42578125" style="38" customWidth="1"/>
    <col min="6956" max="6956" width="12.42578125" style="38" customWidth="1"/>
    <col min="6957" max="6968" width="11.42578125" style="38"/>
    <col min="6969" max="6969" width="13" style="38" customWidth="1"/>
    <col min="6970" max="6970" width="14.7109375" style="38" customWidth="1"/>
    <col min="6971" max="6971" width="34.28515625" style="38" customWidth="1"/>
    <col min="6972" max="7194" width="11.42578125" style="38"/>
    <col min="7195" max="7195" width="14.140625" style="38" customWidth="1"/>
    <col min="7196" max="7196" width="11.42578125" style="38"/>
    <col min="7197" max="7197" width="14.140625" style="38" customWidth="1"/>
    <col min="7198" max="7198" width="11.42578125" style="38"/>
    <col min="7199" max="7199" width="14.28515625" style="38" customWidth="1"/>
    <col min="7200" max="7200" width="11.42578125" style="38"/>
    <col min="7201" max="7201" width="30" style="38" customWidth="1"/>
    <col min="7202" max="7202" width="29.42578125" style="38" customWidth="1"/>
    <col min="7203" max="7203" width="11.42578125" style="38"/>
    <col min="7204" max="7204" width="18.7109375" style="38" customWidth="1"/>
    <col min="7205" max="7205" width="28.140625" style="38" customWidth="1"/>
    <col min="7206" max="7206" width="11.42578125" style="38"/>
    <col min="7207" max="7207" width="19.5703125" style="38" customWidth="1"/>
    <col min="7208" max="7208" width="36.42578125" style="38" customWidth="1"/>
    <col min="7209" max="7209" width="46.7109375" style="38" customWidth="1"/>
    <col min="7210" max="7210" width="28" style="38" customWidth="1"/>
    <col min="7211" max="7211" width="16.42578125" style="38" customWidth="1"/>
    <col min="7212" max="7212" width="12.42578125" style="38" customWidth="1"/>
    <col min="7213" max="7224" width="11.42578125" style="38"/>
    <col min="7225" max="7225" width="13" style="38" customWidth="1"/>
    <col min="7226" max="7226" width="14.7109375" style="38" customWidth="1"/>
    <col min="7227" max="7227" width="34.28515625" style="38" customWidth="1"/>
    <col min="7228" max="7450" width="11.42578125" style="38"/>
    <col min="7451" max="7451" width="14.140625" style="38" customWidth="1"/>
    <col min="7452" max="7452" width="11.42578125" style="38"/>
    <col min="7453" max="7453" width="14.140625" style="38" customWidth="1"/>
    <col min="7454" max="7454" width="11.42578125" style="38"/>
    <col min="7455" max="7455" width="14.28515625" style="38" customWidth="1"/>
    <col min="7456" max="7456" width="11.42578125" style="38"/>
    <col min="7457" max="7457" width="30" style="38" customWidth="1"/>
    <col min="7458" max="7458" width="29.42578125" style="38" customWidth="1"/>
    <col min="7459" max="7459" width="11.42578125" style="38"/>
    <col min="7460" max="7460" width="18.7109375" style="38" customWidth="1"/>
    <col min="7461" max="7461" width="28.140625" style="38" customWidth="1"/>
    <col min="7462" max="7462" width="11.42578125" style="38"/>
    <col min="7463" max="7463" width="19.5703125" style="38" customWidth="1"/>
    <col min="7464" max="7464" width="36.42578125" style="38" customWidth="1"/>
    <col min="7465" max="7465" width="46.7109375" style="38" customWidth="1"/>
    <col min="7466" max="7466" width="28" style="38" customWidth="1"/>
    <col min="7467" max="7467" width="16.42578125" style="38" customWidth="1"/>
    <col min="7468" max="7468" width="12.42578125" style="38" customWidth="1"/>
    <col min="7469" max="7480" width="11.42578125" style="38"/>
    <col min="7481" max="7481" width="13" style="38" customWidth="1"/>
    <col min="7482" max="7482" width="14.7109375" style="38" customWidth="1"/>
    <col min="7483" max="7483" width="34.28515625" style="38" customWidth="1"/>
    <col min="7484" max="7706" width="11.42578125" style="38"/>
    <col min="7707" max="7707" width="14.140625" style="38" customWidth="1"/>
    <col min="7708" max="7708" width="11.42578125" style="38"/>
    <col min="7709" max="7709" width="14.140625" style="38" customWidth="1"/>
    <col min="7710" max="7710" width="11.42578125" style="38"/>
    <col min="7711" max="7711" width="14.28515625" style="38" customWidth="1"/>
    <col min="7712" max="7712" width="11.42578125" style="38"/>
    <col min="7713" max="7713" width="30" style="38" customWidth="1"/>
    <col min="7714" max="7714" width="29.42578125" style="38" customWidth="1"/>
    <col min="7715" max="7715" width="11.42578125" style="38"/>
    <col min="7716" max="7716" width="18.7109375" style="38" customWidth="1"/>
    <col min="7717" max="7717" width="28.140625" style="38" customWidth="1"/>
    <col min="7718" max="7718" width="11.42578125" style="38"/>
    <col min="7719" max="7719" width="19.5703125" style="38" customWidth="1"/>
    <col min="7720" max="7720" width="36.42578125" style="38" customWidth="1"/>
    <col min="7721" max="7721" width="46.7109375" style="38" customWidth="1"/>
    <col min="7722" max="7722" width="28" style="38" customWidth="1"/>
    <col min="7723" max="7723" width="16.42578125" style="38" customWidth="1"/>
    <col min="7724" max="7724" width="12.42578125" style="38" customWidth="1"/>
    <col min="7725" max="7736" width="11.42578125" style="38"/>
    <col min="7737" max="7737" width="13" style="38" customWidth="1"/>
    <col min="7738" max="7738" width="14.7109375" style="38" customWidth="1"/>
    <col min="7739" max="7739" width="34.28515625" style="38" customWidth="1"/>
    <col min="7740" max="7962" width="11.42578125" style="38"/>
    <col min="7963" max="7963" width="14.140625" style="38" customWidth="1"/>
    <col min="7964" max="7964" width="11.42578125" style="38"/>
    <col min="7965" max="7965" width="14.140625" style="38" customWidth="1"/>
    <col min="7966" max="7966" width="11.42578125" style="38"/>
    <col min="7967" max="7967" width="14.28515625" style="38" customWidth="1"/>
    <col min="7968" max="7968" width="11.42578125" style="38"/>
    <col min="7969" max="7969" width="30" style="38" customWidth="1"/>
    <col min="7970" max="7970" width="29.42578125" style="38" customWidth="1"/>
    <col min="7971" max="7971" width="11.42578125" style="38"/>
    <col min="7972" max="7972" width="18.7109375" style="38" customWidth="1"/>
    <col min="7973" max="7973" width="28.140625" style="38" customWidth="1"/>
    <col min="7974" max="7974" width="11.42578125" style="38"/>
    <col min="7975" max="7975" width="19.5703125" style="38" customWidth="1"/>
    <col min="7976" max="7976" width="36.42578125" style="38" customWidth="1"/>
    <col min="7977" max="7977" width="46.7109375" style="38" customWidth="1"/>
    <col min="7978" max="7978" width="28" style="38" customWidth="1"/>
    <col min="7979" max="7979" width="16.42578125" style="38" customWidth="1"/>
    <col min="7980" max="7980" width="12.42578125" style="38" customWidth="1"/>
    <col min="7981" max="7992" width="11.42578125" style="38"/>
    <col min="7993" max="7993" width="13" style="38" customWidth="1"/>
    <col min="7994" max="7994" width="14.7109375" style="38" customWidth="1"/>
    <col min="7995" max="7995" width="34.28515625" style="38" customWidth="1"/>
    <col min="7996" max="8218" width="11.42578125" style="38"/>
    <col min="8219" max="8219" width="14.140625" style="38" customWidth="1"/>
    <col min="8220" max="8220" width="11.42578125" style="38"/>
    <col min="8221" max="8221" width="14.140625" style="38" customWidth="1"/>
    <col min="8222" max="8222" width="11.42578125" style="38"/>
    <col min="8223" max="8223" width="14.28515625" style="38" customWidth="1"/>
    <col min="8224" max="8224" width="11.42578125" style="38"/>
    <col min="8225" max="8225" width="30" style="38" customWidth="1"/>
    <col min="8226" max="8226" width="29.42578125" style="38" customWidth="1"/>
    <col min="8227" max="8227" width="11.42578125" style="38"/>
    <col min="8228" max="8228" width="18.7109375" style="38" customWidth="1"/>
    <col min="8229" max="8229" width="28.140625" style="38" customWidth="1"/>
    <col min="8230" max="8230" width="11.42578125" style="38"/>
    <col min="8231" max="8231" width="19.5703125" style="38" customWidth="1"/>
    <col min="8232" max="8232" width="36.42578125" style="38" customWidth="1"/>
    <col min="8233" max="8233" width="46.7109375" style="38" customWidth="1"/>
    <col min="8234" max="8234" width="28" style="38" customWidth="1"/>
    <col min="8235" max="8235" width="16.42578125" style="38" customWidth="1"/>
    <col min="8236" max="8236" width="12.42578125" style="38" customWidth="1"/>
    <col min="8237" max="8248" width="11.42578125" style="38"/>
    <col min="8249" max="8249" width="13" style="38" customWidth="1"/>
    <col min="8250" max="8250" width="14.7109375" style="38" customWidth="1"/>
    <col min="8251" max="8251" width="34.28515625" style="38" customWidth="1"/>
    <col min="8252" max="8474" width="11.42578125" style="38"/>
    <col min="8475" max="8475" width="14.140625" style="38" customWidth="1"/>
    <col min="8476" max="8476" width="11.42578125" style="38"/>
    <col min="8477" max="8477" width="14.140625" style="38" customWidth="1"/>
    <col min="8478" max="8478" width="11.42578125" style="38"/>
    <col min="8479" max="8479" width="14.28515625" style="38" customWidth="1"/>
    <col min="8480" max="8480" width="11.42578125" style="38"/>
    <col min="8481" max="8481" width="30" style="38" customWidth="1"/>
    <col min="8482" max="8482" width="29.42578125" style="38" customWidth="1"/>
    <col min="8483" max="8483" width="11.42578125" style="38"/>
    <col min="8484" max="8484" width="18.7109375" style="38" customWidth="1"/>
    <col min="8485" max="8485" width="28.140625" style="38" customWidth="1"/>
    <col min="8486" max="8486" width="11.42578125" style="38"/>
    <col min="8487" max="8487" width="19.5703125" style="38" customWidth="1"/>
    <col min="8488" max="8488" width="36.42578125" style="38" customWidth="1"/>
    <col min="8489" max="8489" width="46.7109375" style="38" customWidth="1"/>
    <col min="8490" max="8490" width="28" style="38" customWidth="1"/>
    <col min="8491" max="8491" width="16.42578125" style="38" customWidth="1"/>
    <col min="8492" max="8492" width="12.42578125" style="38" customWidth="1"/>
    <col min="8493" max="8504" width="11.42578125" style="38"/>
    <col min="8505" max="8505" width="13" style="38" customWidth="1"/>
    <col min="8506" max="8506" width="14.7109375" style="38" customWidth="1"/>
    <col min="8507" max="8507" width="34.28515625" style="38" customWidth="1"/>
    <col min="8508" max="8730" width="11.42578125" style="38"/>
    <col min="8731" max="8731" width="14.140625" style="38" customWidth="1"/>
    <col min="8732" max="8732" width="11.42578125" style="38"/>
    <col min="8733" max="8733" width="14.140625" style="38" customWidth="1"/>
    <col min="8734" max="8734" width="11.42578125" style="38"/>
    <col min="8735" max="8735" width="14.28515625" style="38" customWidth="1"/>
    <col min="8736" max="8736" width="11.42578125" style="38"/>
    <col min="8737" max="8737" width="30" style="38" customWidth="1"/>
    <col min="8738" max="8738" width="29.42578125" style="38" customWidth="1"/>
    <col min="8739" max="8739" width="11.42578125" style="38"/>
    <col min="8740" max="8740" width="18.7109375" style="38" customWidth="1"/>
    <col min="8741" max="8741" width="28.140625" style="38" customWidth="1"/>
    <col min="8742" max="8742" width="11.42578125" style="38"/>
    <col min="8743" max="8743" width="19.5703125" style="38" customWidth="1"/>
    <col min="8744" max="8744" width="36.42578125" style="38" customWidth="1"/>
    <col min="8745" max="8745" width="46.7109375" style="38" customWidth="1"/>
    <col min="8746" max="8746" width="28" style="38" customWidth="1"/>
    <col min="8747" max="8747" width="16.42578125" style="38" customWidth="1"/>
    <col min="8748" max="8748" width="12.42578125" style="38" customWidth="1"/>
    <col min="8749" max="8760" width="11.42578125" style="38"/>
    <col min="8761" max="8761" width="13" style="38" customWidth="1"/>
    <col min="8762" max="8762" width="14.7109375" style="38" customWidth="1"/>
    <col min="8763" max="8763" width="34.28515625" style="38" customWidth="1"/>
    <col min="8764" max="8986" width="11.42578125" style="38"/>
    <col min="8987" max="8987" width="14.140625" style="38" customWidth="1"/>
    <col min="8988" max="8988" width="11.42578125" style="38"/>
    <col min="8989" max="8989" width="14.140625" style="38" customWidth="1"/>
    <col min="8990" max="8990" width="11.42578125" style="38"/>
    <col min="8991" max="8991" width="14.28515625" style="38" customWidth="1"/>
    <col min="8992" max="8992" width="11.42578125" style="38"/>
    <col min="8993" max="8993" width="30" style="38" customWidth="1"/>
    <col min="8994" max="8994" width="29.42578125" style="38" customWidth="1"/>
    <col min="8995" max="8995" width="11.42578125" style="38"/>
    <col min="8996" max="8996" width="18.7109375" style="38" customWidth="1"/>
    <col min="8997" max="8997" width="28.140625" style="38" customWidth="1"/>
    <col min="8998" max="8998" width="11.42578125" style="38"/>
    <col min="8999" max="8999" width="19.5703125" style="38" customWidth="1"/>
    <col min="9000" max="9000" width="36.42578125" style="38" customWidth="1"/>
    <col min="9001" max="9001" width="46.7109375" style="38" customWidth="1"/>
    <col min="9002" max="9002" width="28" style="38" customWidth="1"/>
    <col min="9003" max="9003" width="16.42578125" style="38" customWidth="1"/>
    <col min="9004" max="9004" width="12.42578125" style="38" customWidth="1"/>
    <col min="9005" max="9016" width="11.42578125" style="38"/>
    <col min="9017" max="9017" width="13" style="38" customWidth="1"/>
    <col min="9018" max="9018" width="14.7109375" style="38" customWidth="1"/>
    <col min="9019" max="9019" width="34.28515625" style="38" customWidth="1"/>
    <col min="9020" max="9242" width="11.42578125" style="38"/>
    <col min="9243" max="9243" width="14.140625" style="38" customWidth="1"/>
    <col min="9244" max="9244" width="11.42578125" style="38"/>
    <col min="9245" max="9245" width="14.140625" style="38" customWidth="1"/>
    <col min="9246" max="9246" width="11.42578125" style="38"/>
    <col min="9247" max="9247" width="14.28515625" style="38" customWidth="1"/>
    <col min="9248" max="9248" width="11.42578125" style="38"/>
    <col min="9249" max="9249" width="30" style="38" customWidth="1"/>
    <col min="9250" max="9250" width="29.42578125" style="38" customWidth="1"/>
    <col min="9251" max="9251" width="11.42578125" style="38"/>
    <col min="9252" max="9252" width="18.7109375" style="38" customWidth="1"/>
    <col min="9253" max="9253" width="28.140625" style="38" customWidth="1"/>
    <col min="9254" max="9254" width="11.42578125" style="38"/>
    <col min="9255" max="9255" width="19.5703125" style="38" customWidth="1"/>
    <col min="9256" max="9256" width="36.42578125" style="38" customWidth="1"/>
    <col min="9257" max="9257" width="46.7109375" style="38" customWidth="1"/>
    <col min="9258" max="9258" width="28" style="38" customWidth="1"/>
    <col min="9259" max="9259" width="16.42578125" style="38" customWidth="1"/>
    <col min="9260" max="9260" width="12.42578125" style="38" customWidth="1"/>
    <col min="9261" max="9272" width="11.42578125" style="38"/>
    <col min="9273" max="9273" width="13" style="38" customWidth="1"/>
    <col min="9274" max="9274" width="14.7109375" style="38" customWidth="1"/>
    <col min="9275" max="9275" width="34.28515625" style="38" customWidth="1"/>
    <col min="9276" max="9498" width="11.42578125" style="38"/>
    <col min="9499" max="9499" width="14.140625" style="38" customWidth="1"/>
    <col min="9500" max="9500" width="11.42578125" style="38"/>
    <col min="9501" max="9501" width="14.140625" style="38" customWidth="1"/>
    <col min="9502" max="9502" width="11.42578125" style="38"/>
    <col min="9503" max="9503" width="14.28515625" style="38" customWidth="1"/>
    <col min="9504" max="9504" width="11.42578125" style="38"/>
    <col min="9505" max="9505" width="30" style="38" customWidth="1"/>
    <col min="9506" max="9506" width="29.42578125" style="38" customWidth="1"/>
    <col min="9507" max="9507" width="11.42578125" style="38"/>
    <col min="9508" max="9508" width="18.7109375" style="38" customWidth="1"/>
    <col min="9509" max="9509" width="28.140625" style="38" customWidth="1"/>
    <col min="9510" max="9510" width="11.42578125" style="38"/>
    <col min="9511" max="9511" width="19.5703125" style="38" customWidth="1"/>
    <col min="9512" max="9512" width="36.42578125" style="38" customWidth="1"/>
    <col min="9513" max="9513" width="46.7109375" style="38" customWidth="1"/>
    <col min="9514" max="9514" width="28" style="38" customWidth="1"/>
    <col min="9515" max="9515" width="16.42578125" style="38" customWidth="1"/>
    <col min="9516" max="9516" width="12.42578125" style="38" customWidth="1"/>
    <col min="9517" max="9528" width="11.42578125" style="38"/>
    <col min="9529" max="9529" width="13" style="38" customWidth="1"/>
    <col min="9530" max="9530" width="14.7109375" style="38" customWidth="1"/>
    <col min="9531" max="9531" width="34.28515625" style="38" customWidth="1"/>
    <col min="9532" max="9754" width="11.42578125" style="38"/>
    <col min="9755" max="9755" width="14.140625" style="38" customWidth="1"/>
    <col min="9756" max="9756" width="11.42578125" style="38"/>
    <col min="9757" max="9757" width="14.140625" style="38" customWidth="1"/>
    <col min="9758" max="9758" width="11.42578125" style="38"/>
    <col min="9759" max="9759" width="14.28515625" style="38" customWidth="1"/>
    <col min="9760" max="9760" width="11.42578125" style="38"/>
    <col min="9761" max="9761" width="30" style="38" customWidth="1"/>
    <col min="9762" max="9762" width="29.42578125" style="38" customWidth="1"/>
    <col min="9763" max="9763" width="11.42578125" style="38"/>
    <col min="9764" max="9764" width="18.7109375" style="38" customWidth="1"/>
    <col min="9765" max="9765" width="28.140625" style="38" customWidth="1"/>
    <col min="9766" max="9766" width="11.42578125" style="38"/>
    <col min="9767" max="9767" width="19.5703125" style="38" customWidth="1"/>
    <col min="9768" max="9768" width="36.42578125" style="38" customWidth="1"/>
    <col min="9769" max="9769" width="46.7109375" style="38" customWidth="1"/>
    <col min="9770" max="9770" width="28" style="38" customWidth="1"/>
    <col min="9771" max="9771" width="16.42578125" style="38" customWidth="1"/>
    <col min="9772" max="9772" width="12.42578125" style="38" customWidth="1"/>
    <col min="9773" max="9784" width="11.42578125" style="38"/>
    <col min="9785" max="9785" width="13" style="38" customWidth="1"/>
    <col min="9786" max="9786" width="14.7109375" style="38" customWidth="1"/>
    <col min="9787" max="9787" width="34.28515625" style="38" customWidth="1"/>
    <col min="9788" max="10010" width="11.42578125" style="38"/>
    <col min="10011" max="10011" width="14.140625" style="38" customWidth="1"/>
    <col min="10012" max="10012" width="11.42578125" style="38"/>
    <col min="10013" max="10013" width="14.140625" style="38" customWidth="1"/>
    <col min="10014" max="10014" width="11.42578125" style="38"/>
    <col min="10015" max="10015" width="14.28515625" style="38" customWidth="1"/>
    <col min="10016" max="10016" width="11.42578125" style="38"/>
    <col min="10017" max="10017" width="30" style="38" customWidth="1"/>
    <col min="10018" max="10018" width="29.42578125" style="38" customWidth="1"/>
    <col min="10019" max="10019" width="11.42578125" style="38"/>
    <col min="10020" max="10020" width="18.7109375" style="38" customWidth="1"/>
    <col min="10021" max="10021" width="28.140625" style="38" customWidth="1"/>
    <col min="10022" max="10022" width="11.42578125" style="38"/>
    <col min="10023" max="10023" width="19.5703125" style="38" customWidth="1"/>
    <col min="10024" max="10024" width="36.42578125" style="38" customWidth="1"/>
    <col min="10025" max="10025" width="46.7109375" style="38" customWidth="1"/>
    <col min="10026" max="10026" width="28" style="38" customWidth="1"/>
    <col min="10027" max="10027" width="16.42578125" style="38" customWidth="1"/>
    <col min="10028" max="10028" width="12.42578125" style="38" customWidth="1"/>
    <col min="10029" max="10040" width="11.42578125" style="38"/>
    <col min="10041" max="10041" width="13" style="38" customWidth="1"/>
    <col min="10042" max="10042" width="14.7109375" style="38" customWidth="1"/>
    <col min="10043" max="10043" width="34.28515625" style="38" customWidth="1"/>
    <col min="10044" max="10266" width="11.42578125" style="38"/>
    <col min="10267" max="10267" width="14.140625" style="38" customWidth="1"/>
    <col min="10268" max="10268" width="11.42578125" style="38"/>
    <col min="10269" max="10269" width="14.140625" style="38" customWidth="1"/>
    <col min="10270" max="10270" width="11.42578125" style="38"/>
    <col min="10271" max="10271" width="14.28515625" style="38" customWidth="1"/>
    <col min="10272" max="10272" width="11.42578125" style="38"/>
    <col min="10273" max="10273" width="30" style="38" customWidth="1"/>
    <col min="10274" max="10274" width="29.42578125" style="38" customWidth="1"/>
    <col min="10275" max="10275" width="11.42578125" style="38"/>
    <col min="10276" max="10276" width="18.7109375" style="38" customWidth="1"/>
    <col min="10277" max="10277" width="28.140625" style="38" customWidth="1"/>
    <col min="10278" max="10278" width="11.42578125" style="38"/>
    <col min="10279" max="10279" width="19.5703125" style="38" customWidth="1"/>
    <col min="10280" max="10280" width="36.42578125" style="38" customWidth="1"/>
    <col min="10281" max="10281" width="46.7109375" style="38" customWidth="1"/>
    <col min="10282" max="10282" width="28" style="38" customWidth="1"/>
    <col min="10283" max="10283" width="16.42578125" style="38" customWidth="1"/>
    <col min="10284" max="10284" width="12.42578125" style="38" customWidth="1"/>
    <col min="10285" max="10296" width="11.42578125" style="38"/>
    <col min="10297" max="10297" width="13" style="38" customWidth="1"/>
    <col min="10298" max="10298" width="14.7109375" style="38" customWidth="1"/>
    <col min="10299" max="10299" width="34.28515625" style="38" customWidth="1"/>
    <col min="10300" max="10522" width="11.42578125" style="38"/>
    <col min="10523" max="10523" width="14.140625" style="38" customWidth="1"/>
    <col min="10524" max="10524" width="11.42578125" style="38"/>
    <col min="10525" max="10525" width="14.140625" style="38" customWidth="1"/>
    <col min="10526" max="10526" width="11.42578125" style="38"/>
    <col min="10527" max="10527" width="14.28515625" style="38" customWidth="1"/>
    <col min="10528" max="10528" width="11.42578125" style="38"/>
    <col min="10529" max="10529" width="30" style="38" customWidth="1"/>
    <col min="10530" max="10530" width="29.42578125" style="38" customWidth="1"/>
    <col min="10531" max="10531" width="11.42578125" style="38"/>
    <col min="10532" max="10532" width="18.7109375" style="38" customWidth="1"/>
    <col min="10533" max="10533" width="28.140625" style="38" customWidth="1"/>
    <col min="10534" max="10534" width="11.42578125" style="38"/>
    <col min="10535" max="10535" width="19.5703125" style="38" customWidth="1"/>
    <col min="10536" max="10536" width="36.42578125" style="38" customWidth="1"/>
    <col min="10537" max="10537" width="46.7109375" style="38" customWidth="1"/>
    <col min="10538" max="10538" width="28" style="38" customWidth="1"/>
    <col min="10539" max="10539" width="16.42578125" style="38" customWidth="1"/>
    <col min="10540" max="10540" width="12.42578125" style="38" customWidth="1"/>
    <col min="10541" max="10552" width="11.42578125" style="38"/>
    <col min="10553" max="10553" width="13" style="38" customWidth="1"/>
    <col min="10554" max="10554" width="14.7109375" style="38" customWidth="1"/>
    <col min="10555" max="10555" width="34.28515625" style="38" customWidth="1"/>
    <col min="10556" max="10778" width="11.42578125" style="38"/>
    <col min="10779" max="10779" width="14.140625" style="38" customWidth="1"/>
    <col min="10780" max="10780" width="11.42578125" style="38"/>
    <col min="10781" max="10781" width="14.140625" style="38" customWidth="1"/>
    <col min="10782" max="10782" width="11.42578125" style="38"/>
    <col min="10783" max="10783" width="14.28515625" style="38" customWidth="1"/>
    <col min="10784" max="10784" width="11.42578125" style="38"/>
    <col min="10785" max="10785" width="30" style="38" customWidth="1"/>
    <col min="10786" max="10786" width="29.42578125" style="38" customWidth="1"/>
    <col min="10787" max="10787" width="11.42578125" style="38"/>
    <col min="10788" max="10788" width="18.7109375" style="38" customWidth="1"/>
    <col min="10789" max="10789" width="28.140625" style="38" customWidth="1"/>
    <col min="10790" max="10790" width="11.42578125" style="38"/>
    <col min="10791" max="10791" width="19.5703125" style="38" customWidth="1"/>
    <col min="10792" max="10792" width="36.42578125" style="38" customWidth="1"/>
    <col min="10793" max="10793" width="46.7109375" style="38" customWidth="1"/>
    <col min="10794" max="10794" width="28" style="38" customWidth="1"/>
    <col min="10795" max="10795" width="16.42578125" style="38" customWidth="1"/>
    <col min="10796" max="10796" width="12.42578125" style="38" customWidth="1"/>
    <col min="10797" max="10808" width="11.42578125" style="38"/>
    <col min="10809" max="10809" width="13" style="38" customWidth="1"/>
    <col min="10810" max="10810" width="14.7109375" style="38" customWidth="1"/>
    <col min="10811" max="10811" width="34.28515625" style="38" customWidth="1"/>
    <col min="10812" max="11034" width="11.42578125" style="38"/>
    <col min="11035" max="11035" width="14.140625" style="38" customWidth="1"/>
    <col min="11036" max="11036" width="11.42578125" style="38"/>
    <col min="11037" max="11037" width="14.140625" style="38" customWidth="1"/>
    <col min="11038" max="11038" width="11.42578125" style="38"/>
    <col min="11039" max="11039" width="14.28515625" style="38" customWidth="1"/>
    <col min="11040" max="11040" width="11.42578125" style="38"/>
    <col min="11041" max="11041" width="30" style="38" customWidth="1"/>
    <col min="11042" max="11042" width="29.42578125" style="38" customWidth="1"/>
    <col min="11043" max="11043" width="11.42578125" style="38"/>
    <col min="11044" max="11044" width="18.7109375" style="38" customWidth="1"/>
    <col min="11045" max="11045" width="28.140625" style="38" customWidth="1"/>
    <col min="11046" max="11046" width="11.42578125" style="38"/>
    <col min="11047" max="11047" width="19.5703125" style="38" customWidth="1"/>
    <col min="11048" max="11048" width="36.42578125" style="38" customWidth="1"/>
    <col min="11049" max="11049" width="46.7109375" style="38" customWidth="1"/>
    <col min="11050" max="11050" width="28" style="38" customWidth="1"/>
    <col min="11051" max="11051" width="16.42578125" style="38" customWidth="1"/>
    <col min="11052" max="11052" width="12.42578125" style="38" customWidth="1"/>
    <col min="11053" max="11064" width="11.42578125" style="38"/>
    <col min="11065" max="11065" width="13" style="38" customWidth="1"/>
    <col min="11066" max="11066" width="14.7109375" style="38" customWidth="1"/>
    <col min="11067" max="11067" width="34.28515625" style="38" customWidth="1"/>
    <col min="11068" max="11290" width="11.42578125" style="38"/>
    <col min="11291" max="11291" width="14.140625" style="38" customWidth="1"/>
    <col min="11292" max="11292" width="11.42578125" style="38"/>
    <col min="11293" max="11293" width="14.140625" style="38" customWidth="1"/>
    <col min="11294" max="11294" width="11.42578125" style="38"/>
    <col min="11295" max="11295" width="14.28515625" style="38" customWidth="1"/>
    <col min="11296" max="11296" width="11.42578125" style="38"/>
    <col min="11297" max="11297" width="30" style="38" customWidth="1"/>
    <col min="11298" max="11298" width="29.42578125" style="38" customWidth="1"/>
    <col min="11299" max="11299" width="11.42578125" style="38"/>
    <col min="11300" max="11300" width="18.7109375" style="38" customWidth="1"/>
    <col min="11301" max="11301" width="28.140625" style="38" customWidth="1"/>
    <col min="11302" max="11302" width="11.42578125" style="38"/>
    <col min="11303" max="11303" width="19.5703125" style="38" customWidth="1"/>
    <col min="11304" max="11304" width="36.42578125" style="38" customWidth="1"/>
    <col min="11305" max="11305" width="46.7109375" style="38" customWidth="1"/>
    <col min="11306" max="11306" width="28" style="38" customWidth="1"/>
    <col min="11307" max="11307" width="16.42578125" style="38" customWidth="1"/>
    <col min="11308" max="11308" width="12.42578125" style="38" customWidth="1"/>
    <col min="11309" max="11320" width="11.42578125" style="38"/>
    <col min="11321" max="11321" width="13" style="38" customWidth="1"/>
    <col min="11322" max="11322" width="14.7109375" style="38" customWidth="1"/>
    <col min="11323" max="11323" width="34.28515625" style="38" customWidth="1"/>
    <col min="11324" max="11546" width="11.42578125" style="38"/>
    <col min="11547" max="11547" width="14.140625" style="38" customWidth="1"/>
    <col min="11548" max="11548" width="11.42578125" style="38"/>
    <col min="11549" max="11549" width="14.140625" style="38" customWidth="1"/>
    <col min="11550" max="11550" width="11.42578125" style="38"/>
    <col min="11551" max="11551" width="14.28515625" style="38" customWidth="1"/>
    <col min="11552" max="11552" width="11.42578125" style="38"/>
    <col min="11553" max="11553" width="30" style="38" customWidth="1"/>
    <col min="11554" max="11554" width="29.42578125" style="38" customWidth="1"/>
    <col min="11555" max="11555" width="11.42578125" style="38"/>
    <col min="11556" max="11556" width="18.7109375" style="38" customWidth="1"/>
    <col min="11557" max="11557" width="28.140625" style="38" customWidth="1"/>
    <col min="11558" max="11558" width="11.42578125" style="38"/>
    <col min="11559" max="11559" width="19.5703125" style="38" customWidth="1"/>
    <col min="11560" max="11560" width="36.42578125" style="38" customWidth="1"/>
    <col min="11561" max="11561" width="46.7109375" style="38" customWidth="1"/>
    <col min="11562" max="11562" width="28" style="38" customWidth="1"/>
    <col min="11563" max="11563" width="16.42578125" style="38" customWidth="1"/>
    <col min="11564" max="11564" width="12.42578125" style="38" customWidth="1"/>
    <col min="11565" max="11576" width="11.42578125" style="38"/>
    <col min="11577" max="11577" width="13" style="38" customWidth="1"/>
    <col min="11578" max="11578" width="14.7109375" style="38" customWidth="1"/>
    <col min="11579" max="11579" width="34.28515625" style="38" customWidth="1"/>
    <col min="11580" max="11802" width="11.42578125" style="38"/>
    <col min="11803" max="11803" width="14.140625" style="38" customWidth="1"/>
    <col min="11804" max="11804" width="11.42578125" style="38"/>
    <col min="11805" max="11805" width="14.140625" style="38" customWidth="1"/>
    <col min="11806" max="11806" width="11.42578125" style="38"/>
    <col min="11807" max="11807" width="14.28515625" style="38" customWidth="1"/>
    <col min="11808" max="11808" width="11.42578125" style="38"/>
    <col min="11809" max="11809" width="30" style="38" customWidth="1"/>
    <col min="11810" max="11810" width="29.42578125" style="38" customWidth="1"/>
    <col min="11811" max="11811" width="11.42578125" style="38"/>
    <col min="11812" max="11812" width="18.7109375" style="38" customWidth="1"/>
    <col min="11813" max="11813" width="28.140625" style="38" customWidth="1"/>
    <col min="11814" max="11814" width="11.42578125" style="38"/>
    <col min="11815" max="11815" width="19.5703125" style="38" customWidth="1"/>
    <col min="11816" max="11816" width="36.42578125" style="38" customWidth="1"/>
    <col min="11817" max="11817" width="46.7109375" style="38" customWidth="1"/>
    <col min="11818" max="11818" width="28" style="38" customWidth="1"/>
    <col min="11819" max="11819" width="16.42578125" style="38" customWidth="1"/>
    <col min="11820" max="11820" width="12.42578125" style="38" customWidth="1"/>
    <col min="11821" max="11832" width="11.42578125" style="38"/>
    <col min="11833" max="11833" width="13" style="38" customWidth="1"/>
    <col min="11834" max="11834" width="14.7109375" style="38" customWidth="1"/>
    <col min="11835" max="11835" width="34.28515625" style="38" customWidth="1"/>
    <col min="11836" max="12058" width="11.42578125" style="38"/>
    <col min="12059" max="12059" width="14.140625" style="38" customWidth="1"/>
    <col min="12060" max="12060" width="11.42578125" style="38"/>
    <col min="12061" max="12061" width="14.140625" style="38" customWidth="1"/>
    <col min="12062" max="12062" width="11.42578125" style="38"/>
    <col min="12063" max="12063" width="14.28515625" style="38" customWidth="1"/>
    <col min="12064" max="12064" width="11.42578125" style="38"/>
    <col min="12065" max="12065" width="30" style="38" customWidth="1"/>
    <col min="12066" max="12066" width="29.42578125" style="38" customWidth="1"/>
    <col min="12067" max="12067" width="11.42578125" style="38"/>
    <col min="12068" max="12068" width="18.7109375" style="38" customWidth="1"/>
    <col min="12069" max="12069" width="28.140625" style="38" customWidth="1"/>
    <col min="12070" max="12070" width="11.42578125" style="38"/>
    <col min="12071" max="12071" width="19.5703125" style="38" customWidth="1"/>
    <col min="12072" max="12072" width="36.42578125" style="38" customWidth="1"/>
    <col min="12073" max="12073" width="46.7109375" style="38" customWidth="1"/>
    <col min="12074" max="12074" width="28" style="38" customWidth="1"/>
    <col min="12075" max="12075" width="16.42578125" style="38" customWidth="1"/>
    <col min="12076" max="12076" width="12.42578125" style="38" customWidth="1"/>
    <col min="12077" max="12088" width="11.42578125" style="38"/>
    <col min="12089" max="12089" width="13" style="38" customWidth="1"/>
    <col min="12090" max="12090" width="14.7109375" style="38" customWidth="1"/>
    <col min="12091" max="12091" width="34.28515625" style="38" customWidth="1"/>
    <col min="12092" max="12314" width="11.42578125" style="38"/>
    <col min="12315" max="12315" width="14.140625" style="38" customWidth="1"/>
    <col min="12316" max="12316" width="11.42578125" style="38"/>
    <col min="12317" max="12317" width="14.140625" style="38" customWidth="1"/>
    <col min="12318" max="12318" width="11.42578125" style="38"/>
    <col min="12319" max="12319" width="14.28515625" style="38" customWidth="1"/>
    <col min="12320" max="12320" width="11.42578125" style="38"/>
    <col min="12321" max="12321" width="30" style="38" customWidth="1"/>
    <col min="12322" max="12322" width="29.42578125" style="38" customWidth="1"/>
    <col min="12323" max="12323" width="11.42578125" style="38"/>
    <col min="12324" max="12324" width="18.7109375" style="38" customWidth="1"/>
    <col min="12325" max="12325" width="28.140625" style="38" customWidth="1"/>
    <col min="12326" max="12326" width="11.42578125" style="38"/>
    <col min="12327" max="12327" width="19.5703125" style="38" customWidth="1"/>
    <col min="12328" max="12328" width="36.42578125" style="38" customWidth="1"/>
    <col min="12329" max="12329" width="46.7109375" style="38" customWidth="1"/>
    <col min="12330" max="12330" width="28" style="38" customWidth="1"/>
    <col min="12331" max="12331" width="16.42578125" style="38" customWidth="1"/>
    <col min="12332" max="12332" width="12.42578125" style="38" customWidth="1"/>
    <col min="12333" max="12344" width="11.42578125" style="38"/>
    <col min="12345" max="12345" width="13" style="38" customWidth="1"/>
    <col min="12346" max="12346" width="14.7109375" style="38" customWidth="1"/>
    <col min="12347" max="12347" width="34.28515625" style="38" customWidth="1"/>
    <col min="12348" max="12570" width="11.42578125" style="38"/>
    <col min="12571" max="12571" width="14.140625" style="38" customWidth="1"/>
    <col min="12572" max="12572" width="11.42578125" style="38"/>
    <col min="12573" max="12573" width="14.140625" style="38" customWidth="1"/>
    <col min="12574" max="12574" width="11.42578125" style="38"/>
    <col min="12575" max="12575" width="14.28515625" style="38" customWidth="1"/>
    <col min="12576" max="12576" width="11.42578125" style="38"/>
    <col min="12577" max="12577" width="30" style="38" customWidth="1"/>
    <col min="12578" max="12578" width="29.42578125" style="38" customWidth="1"/>
    <col min="12579" max="12579" width="11.42578125" style="38"/>
    <col min="12580" max="12580" width="18.7109375" style="38" customWidth="1"/>
    <col min="12581" max="12581" width="28.140625" style="38" customWidth="1"/>
    <col min="12582" max="12582" width="11.42578125" style="38"/>
    <col min="12583" max="12583" width="19.5703125" style="38" customWidth="1"/>
    <col min="12584" max="12584" width="36.42578125" style="38" customWidth="1"/>
    <col min="12585" max="12585" width="46.7109375" style="38" customWidth="1"/>
    <col min="12586" max="12586" width="28" style="38" customWidth="1"/>
    <col min="12587" max="12587" width="16.42578125" style="38" customWidth="1"/>
    <col min="12588" max="12588" width="12.42578125" style="38" customWidth="1"/>
    <col min="12589" max="12600" width="11.42578125" style="38"/>
    <col min="12601" max="12601" width="13" style="38" customWidth="1"/>
    <col min="12602" max="12602" width="14.7109375" style="38" customWidth="1"/>
    <col min="12603" max="12603" width="34.28515625" style="38" customWidth="1"/>
    <col min="12604" max="12826" width="11.42578125" style="38"/>
    <col min="12827" max="12827" width="14.140625" style="38" customWidth="1"/>
    <col min="12828" max="12828" width="11.42578125" style="38"/>
    <col min="12829" max="12829" width="14.140625" style="38" customWidth="1"/>
    <col min="12830" max="12830" width="11.42578125" style="38"/>
    <col min="12831" max="12831" width="14.28515625" style="38" customWidth="1"/>
    <col min="12832" max="12832" width="11.42578125" style="38"/>
    <col min="12833" max="12833" width="30" style="38" customWidth="1"/>
    <col min="12834" max="12834" width="29.42578125" style="38" customWidth="1"/>
    <col min="12835" max="12835" width="11.42578125" style="38"/>
    <col min="12836" max="12836" width="18.7109375" style="38" customWidth="1"/>
    <col min="12837" max="12837" width="28.140625" style="38" customWidth="1"/>
    <col min="12838" max="12838" width="11.42578125" style="38"/>
    <col min="12839" max="12839" width="19.5703125" style="38" customWidth="1"/>
    <col min="12840" max="12840" width="36.42578125" style="38" customWidth="1"/>
    <col min="12841" max="12841" width="46.7109375" style="38" customWidth="1"/>
    <col min="12842" max="12842" width="28" style="38" customWidth="1"/>
    <col min="12843" max="12843" width="16.42578125" style="38" customWidth="1"/>
    <col min="12844" max="12844" width="12.42578125" style="38" customWidth="1"/>
    <col min="12845" max="12856" width="11.42578125" style="38"/>
    <col min="12857" max="12857" width="13" style="38" customWidth="1"/>
    <col min="12858" max="12858" width="14.7109375" style="38" customWidth="1"/>
    <col min="12859" max="12859" width="34.28515625" style="38" customWidth="1"/>
    <col min="12860" max="13082" width="11.42578125" style="38"/>
    <col min="13083" max="13083" width="14.140625" style="38" customWidth="1"/>
    <col min="13084" max="13084" width="11.42578125" style="38"/>
    <col min="13085" max="13085" width="14.140625" style="38" customWidth="1"/>
    <col min="13086" max="13086" width="11.42578125" style="38"/>
    <col min="13087" max="13087" width="14.28515625" style="38" customWidth="1"/>
    <col min="13088" max="13088" width="11.42578125" style="38"/>
    <col min="13089" max="13089" width="30" style="38" customWidth="1"/>
    <col min="13090" max="13090" width="29.42578125" style="38" customWidth="1"/>
    <col min="13091" max="13091" width="11.42578125" style="38"/>
    <col min="13092" max="13092" width="18.7109375" style="38" customWidth="1"/>
    <col min="13093" max="13093" width="28.140625" style="38" customWidth="1"/>
    <col min="13094" max="13094" width="11.42578125" style="38"/>
    <col min="13095" max="13095" width="19.5703125" style="38" customWidth="1"/>
    <col min="13096" max="13096" width="36.42578125" style="38" customWidth="1"/>
    <col min="13097" max="13097" width="46.7109375" style="38" customWidth="1"/>
    <col min="13098" max="13098" width="28" style="38" customWidth="1"/>
    <col min="13099" max="13099" width="16.42578125" style="38" customWidth="1"/>
    <col min="13100" max="13100" width="12.42578125" style="38" customWidth="1"/>
    <col min="13101" max="13112" width="11.42578125" style="38"/>
    <col min="13113" max="13113" width="13" style="38" customWidth="1"/>
    <col min="13114" max="13114" width="14.7109375" style="38" customWidth="1"/>
    <col min="13115" max="13115" width="34.28515625" style="38" customWidth="1"/>
    <col min="13116" max="13338" width="11.42578125" style="38"/>
    <col min="13339" max="13339" width="14.140625" style="38" customWidth="1"/>
    <col min="13340" max="13340" width="11.42578125" style="38"/>
    <col min="13341" max="13341" width="14.140625" style="38" customWidth="1"/>
    <col min="13342" max="13342" width="11.42578125" style="38"/>
    <col min="13343" max="13343" width="14.28515625" style="38" customWidth="1"/>
    <col min="13344" max="13344" width="11.42578125" style="38"/>
    <col min="13345" max="13345" width="30" style="38" customWidth="1"/>
    <col min="13346" max="13346" width="29.42578125" style="38" customWidth="1"/>
    <col min="13347" max="13347" width="11.42578125" style="38"/>
    <col min="13348" max="13348" width="18.7109375" style="38" customWidth="1"/>
    <col min="13349" max="13349" width="28.140625" style="38" customWidth="1"/>
    <col min="13350" max="13350" width="11.42578125" style="38"/>
    <col min="13351" max="13351" width="19.5703125" style="38" customWidth="1"/>
    <col min="13352" max="13352" width="36.42578125" style="38" customWidth="1"/>
    <col min="13353" max="13353" width="46.7109375" style="38" customWidth="1"/>
    <col min="13354" max="13354" width="28" style="38" customWidth="1"/>
    <col min="13355" max="13355" width="16.42578125" style="38" customWidth="1"/>
    <col min="13356" max="13356" width="12.42578125" style="38" customWidth="1"/>
    <col min="13357" max="13368" width="11.42578125" style="38"/>
    <col min="13369" max="13369" width="13" style="38" customWidth="1"/>
    <col min="13370" max="13370" width="14.7109375" style="38" customWidth="1"/>
    <col min="13371" max="13371" width="34.28515625" style="38" customWidth="1"/>
    <col min="13372" max="13594" width="11.42578125" style="38"/>
    <col min="13595" max="13595" width="14.140625" style="38" customWidth="1"/>
    <col min="13596" max="13596" width="11.42578125" style="38"/>
    <col min="13597" max="13597" width="14.140625" style="38" customWidth="1"/>
    <col min="13598" max="13598" width="11.42578125" style="38"/>
    <col min="13599" max="13599" width="14.28515625" style="38" customWidth="1"/>
    <col min="13600" max="13600" width="11.42578125" style="38"/>
    <col min="13601" max="13601" width="30" style="38" customWidth="1"/>
    <col min="13602" max="13602" width="29.42578125" style="38" customWidth="1"/>
    <col min="13603" max="13603" width="11.42578125" style="38"/>
    <col min="13604" max="13604" width="18.7109375" style="38" customWidth="1"/>
    <col min="13605" max="13605" width="28.140625" style="38" customWidth="1"/>
    <col min="13606" max="13606" width="11.42578125" style="38"/>
    <col min="13607" max="13607" width="19.5703125" style="38" customWidth="1"/>
    <col min="13608" max="13608" width="36.42578125" style="38" customWidth="1"/>
    <col min="13609" max="13609" width="46.7109375" style="38" customWidth="1"/>
    <col min="13610" max="13610" width="28" style="38" customWidth="1"/>
    <col min="13611" max="13611" width="16.42578125" style="38" customWidth="1"/>
    <col min="13612" max="13612" width="12.42578125" style="38" customWidth="1"/>
    <col min="13613" max="13624" width="11.42578125" style="38"/>
    <col min="13625" max="13625" width="13" style="38" customWidth="1"/>
    <col min="13626" max="13626" width="14.7109375" style="38" customWidth="1"/>
    <col min="13627" max="13627" width="34.28515625" style="38" customWidth="1"/>
    <col min="13628" max="13850" width="11.42578125" style="38"/>
    <col min="13851" max="13851" width="14.140625" style="38" customWidth="1"/>
    <col min="13852" max="13852" width="11.42578125" style="38"/>
    <col min="13853" max="13853" width="14.140625" style="38" customWidth="1"/>
    <col min="13854" max="13854" width="11.42578125" style="38"/>
    <col min="13855" max="13855" width="14.28515625" style="38" customWidth="1"/>
    <col min="13856" max="13856" width="11.42578125" style="38"/>
    <col min="13857" max="13857" width="30" style="38" customWidth="1"/>
    <col min="13858" max="13858" width="29.42578125" style="38" customWidth="1"/>
    <col min="13859" max="13859" width="11.42578125" style="38"/>
    <col min="13860" max="13860" width="18.7109375" style="38" customWidth="1"/>
    <col min="13861" max="13861" width="28.140625" style="38" customWidth="1"/>
    <col min="13862" max="13862" width="11.42578125" style="38"/>
    <col min="13863" max="13863" width="19.5703125" style="38" customWidth="1"/>
    <col min="13864" max="13864" width="36.42578125" style="38" customWidth="1"/>
    <col min="13865" max="13865" width="46.7109375" style="38" customWidth="1"/>
    <col min="13866" max="13866" width="28" style="38" customWidth="1"/>
    <col min="13867" max="13867" width="16.42578125" style="38" customWidth="1"/>
    <col min="13868" max="13868" width="12.42578125" style="38" customWidth="1"/>
    <col min="13869" max="13880" width="11.42578125" style="38"/>
    <col min="13881" max="13881" width="13" style="38" customWidth="1"/>
    <col min="13882" max="13882" width="14.7109375" style="38" customWidth="1"/>
    <col min="13883" max="13883" width="34.28515625" style="38" customWidth="1"/>
    <col min="13884" max="14106" width="11.42578125" style="38"/>
    <col min="14107" max="14107" width="14.140625" style="38" customWidth="1"/>
    <col min="14108" max="14108" width="11.42578125" style="38"/>
    <col min="14109" max="14109" width="14.140625" style="38" customWidth="1"/>
    <col min="14110" max="14110" width="11.42578125" style="38"/>
    <col min="14111" max="14111" width="14.28515625" style="38" customWidth="1"/>
    <col min="14112" max="14112" width="11.42578125" style="38"/>
    <col min="14113" max="14113" width="30" style="38" customWidth="1"/>
    <col min="14114" max="14114" width="29.42578125" style="38" customWidth="1"/>
    <col min="14115" max="14115" width="11.42578125" style="38"/>
    <col min="14116" max="14116" width="18.7109375" style="38" customWidth="1"/>
    <col min="14117" max="14117" width="28.140625" style="38" customWidth="1"/>
    <col min="14118" max="14118" width="11.42578125" style="38"/>
    <col min="14119" max="14119" width="19.5703125" style="38" customWidth="1"/>
    <col min="14120" max="14120" width="36.42578125" style="38" customWidth="1"/>
    <col min="14121" max="14121" width="46.7109375" style="38" customWidth="1"/>
    <col min="14122" max="14122" width="28" style="38" customWidth="1"/>
    <col min="14123" max="14123" width="16.42578125" style="38" customWidth="1"/>
    <col min="14124" max="14124" width="12.42578125" style="38" customWidth="1"/>
    <col min="14125" max="14136" width="11.42578125" style="38"/>
    <col min="14137" max="14137" width="13" style="38" customWidth="1"/>
    <col min="14138" max="14138" width="14.7109375" style="38" customWidth="1"/>
    <col min="14139" max="14139" width="34.28515625" style="38" customWidth="1"/>
    <col min="14140" max="14362" width="11.42578125" style="38"/>
    <col min="14363" max="14363" width="14.140625" style="38" customWidth="1"/>
    <col min="14364" max="14364" width="11.42578125" style="38"/>
    <col min="14365" max="14365" width="14.140625" style="38" customWidth="1"/>
    <col min="14366" max="14366" width="11.42578125" style="38"/>
    <col min="14367" max="14367" width="14.28515625" style="38" customWidth="1"/>
    <col min="14368" max="14368" width="11.42578125" style="38"/>
    <col min="14369" max="14369" width="30" style="38" customWidth="1"/>
    <col min="14370" max="14370" width="29.42578125" style="38" customWidth="1"/>
    <col min="14371" max="14371" width="11.42578125" style="38"/>
    <col min="14372" max="14372" width="18.7109375" style="38" customWidth="1"/>
    <col min="14373" max="14373" width="28.140625" style="38" customWidth="1"/>
    <col min="14374" max="14374" width="11.42578125" style="38"/>
    <col min="14375" max="14375" width="19.5703125" style="38" customWidth="1"/>
    <col min="14376" max="14376" width="36.42578125" style="38" customWidth="1"/>
    <col min="14377" max="14377" width="46.7109375" style="38" customWidth="1"/>
    <col min="14378" max="14378" width="28" style="38" customWidth="1"/>
    <col min="14379" max="14379" width="16.42578125" style="38" customWidth="1"/>
    <col min="14380" max="14380" width="12.42578125" style="38" customWidth="1"/>
    <col min="14381" max="14392" width="11.42578125" style="38"/>
    <col min="14393" max="14393" width="13" style="38" customWidth="1"/>
    <col min="14394" max="14394" width="14.7109375" style="38" customWidth="1"/>
    <col min="14395" max="14395" width="34.28515625" style="38" customWidth="1"/>
    <col min="14396" max="14618" width="11.42578125" style="38"/>
    <col min="14619" max="14619" width="14.140625" style="38" customWidth="1"/>
    <col min="14620" max="14620" width="11.42578125" style="38"/>
    <col min="14621" max="14621" width="14.140625" style="38" customWidth="1"/>
    <col min="14622" max="14622" width="11.42578125" style="38"/>
    <col min="14623" max="14623" width="14.28515625" style="38" customWidth="1"/>
    <col min="14624" max="14624" width="11.42578125" style="38"/>
    <col min="14625" max="14625" width="30" style="38" customWidth="1"/>
    <col min="14626" max="14626" width="29.42578125" style="38" customWidth="1"/>
    <col min="14627" max="14627" width="11.42578125" style="38"/>
    <col min="14628" max="14628" width="18.7109375" style="38" customWidth="1"/>
    <col min="14629" max="14629" width="28.140625" style="38" customWidth="1"/>
    <col min="14630" max="14630" width="11.42578125" style="38"/>
    <col min="14631" max="14631" width="19.5703125" style="38" customWidth="1"/>
    <col min="14632" max="14632" width="36.42578125" style="38" customWidth="1"/>
    <col min="14633" max="14633" width="46.7109375" style="38" customWidth="1"/>
    <col min="14634" max="14634" width="28" style="38" customWidth="1"/>
    <col min="14635" max="14635" width="16.42578125" style="38" customWidth="1"/>
    <col min="14636" max="14636" width="12.42578125" style="38" customWidth="1"/>
    <col min="14637" max="14648" width="11.42578125" style="38"/>
    <col min="14649" max="14649" width="13" style="38" customWidth="1"/>
    <col min="14650" max="14650" width="14.7109375" style="38" customWidth="1"/>
    <col min="14651" max="14651" width="34.28515625" style="38" customWidth="1"/>
    <col min="14652" max="14874" width="11.42578125" style="38"/>
    <col min="14875" max="14875" width="14.140625" style="38" customWidth="1"/>
    <col min="14876" max="14876" width="11.42578125" style="38"/>
    <col min="14877" max="14877" width="14.140625" style="38" customWidth="1"/>
    <col min="14878" max="14878" width="11.42578125" style="38"/>
    <col min="14879" max="14879" width="14.28515625" style="38" customWidth="1"/>
    <col min="14880" max="14880" width="11.42578125" style="38"/>
    <col min="14881" max="14881" width="30" style="38" customWidth="1"/>
    <col min="14882" max="14882" width="29.42578125" style="38" customWidth="1"/>
    <col min="14883" max="14883" width="11.42578125" style="38"/>
    <col min="14884" max="14884" width="18.7109375" style="38" customWidth="1"/>
    <col min="14885" max="14885" width="28.140625" style="38" customWidth="1"/>
    <col min="14886" max="14886" width="11.42578125" style="38"/>
    <col min="14887" max="14887" width="19.5703125" style="38" customWidth="1"/>
    <col min="14888" max="14888" width="36.42578125" style="38" customWidth="1"/>
    <col min="14889" max="14889" width="46.7109375" style="38" customWidth="1"/>
    <col min="14890" max="14890" width="28" style="38" customWidth="1"/>
    <col min="14891" max="14891" width="16.42578125" style="38" customWidth="1"/>
    <col min="14892" max="14892" width="12.42578125" style="38" customWidth="1"/>
    <col min="14893" max="14904" width="11.42578125" style="38"/>
    <col min="14905" max="14905" width="13" style="38" customWidth="1"/>
    <col min="14906" max="14906" width="14.7109375" style="38" customWidth="1"/>
    <col min="14907" max="14907" width="34.28515625" style="38" customWidth="1"/>
    <col min="14908" max="15130" width="11.42578125" style="38"/>
    <col min="15131" max="15131" width="14.140625" style="38" customWidth="1"/>
    <col min="15132" max="15132" width="11.42578125" style="38"/>
    <col min="15133" max="15133" width="14.140625" style="38" customWidth="1"/>
    <col min="15134" max="15134" width="11.42578125" style="38"/>
    <col min="15135" max="15135" width="14.28515625" style="38" customWidth="1"/>
    <col min="15136" max="15136" width="11.42578125" style="38"/>
    <col min="15137" max="15137" width="30" style="38" customWidth="1"/>
    <col min="15138" max="15138" width="29.42578125" style="38" customWidth="1"/>
    <col min="15139" max="15139" width="11.42578125" style="38"/>
    <col min="15140" max="15140" width="18.7109375" style="38" customWidth="1"/>
    <col min="15141" max="15141" width="28.140625" style="38" customWidth="1"/>
    <col min="15142" max="15142" width="11.42578125" style="38"/>
    <col min="15143" max="15143" width="19.5703125" style="38" customWidth="1"/>
    <col min="15144" max="15144" width="36.42578125" style="38" customWidth="1"/>
    <col min="15145" max="15145" width="46.7109375" style="38" customWidth="1"/>
    <col min="15146" max="15146" width="28" style="38" customWidth="1"/>
    <col min="15147" max="15147" width="16.42578125" style="38" customWidth="1"/>
    <col min="15148" max="15148" width="12.42578125" style="38" customWidth="1"/>
    <col min="15149" max="15160" width="11.42578125" style="38"/>
    <col min="15161" max="15161" width="13" style="38" customWidth="1"/>
    <col min="15162" max="15162" width="14.7109375" style="38" customWidth="1"/>
    <col min="15163" max="15163" width="34.28515625" style="38" customWidth="1"/>
    <col min="15164" max="15386" width="11.42578125" style="38"/>
    <col min="15387" max="15387" width="14.140625" style="38" customWidth="1"/>
    <col min="15388" max="15388" width="11.42578125" style="38"/>
    <col min="15389" max="15389" width="14.140625" style="38" customWidth="1"/>
    <col min="15390" max="15390" width="11.42578125" style="38"/>
    <col min="15391" max="15391" width="14.28515625" style="38" customWidth="1"/>
    <col min="15392" max="15392" width="11.42578125" style="38"/>
    <col min="15393" max="15393" width="30" style="38" customWidth="1"/>
    <col min="15394" max="15394" width="29.42578125" style="38" customWidth="1"/>
    <col min="15395" max="15395" width="11.42578125" style="38"/>
    <col min="15396" max="15396" width="18.7109375" style="38" customWidth="1"/>
    <col min="15397" max="15397" width="28.140625" style="38" customWidth="1"/>
    <col min="15398" max="15398" width="11.42578125" style="38"/>
    <col min="15399" max="15399" width="19.5703125" style="38" customWidth="1"/>
    <col min="15400" max="15400" width="36.42578125" style="38" customWidth="1"/>
    <col min="15401" max="15401" width="46.7109375" style="38" customWidth="1"/>
    <col min="15402" max="15402" width="28" style="38" customWidth="1"/>
    <col min="15403" max="15403" width="16.42578125" style="38" customWidth="1"/>
    <col min="15404" max="15404" width="12.42578125" style="38" customWidth="1"/>
    <col min="15405" max="15416" width="11.42578125" style="38"/>
    <col min="15417" max="15417" width="13" style="38" customWidth="1"/>
    <col min="15418" max="15418" width="14.7109375" style="38" customWidth="1"/>
    <col min="15419" max="15419" width="34.28515625" style="38" customWidth="1"/>
    <col min="15420" max="15642" width="11.42578125" style="38"/>
    <col min="15643" max="15643" width="14.140625" style="38" customWidth="1"/>
    <col min="15644" max="15644" width="11.42578125" style="38"/>
    <col min="15645" max="15645" width="14.140625" style="38" customWidth="1"/>
    <col min="15646" max="15646" width="11.42578125" style="38"/>
    <col min="15647" max="15647" width="14.28515625" style="38" customWidth="1"/>
    <col min="15648" max="15648" width="11.42578125" style="38"/>
    <col min="15649" max="15649" width="30" style="38" customWidth="1"/>
    <col min="15650" max="15650" width="29.42578125" style="38" customWidth="1"/>
    <col min="15651" max="15651" width="11.42578125" style="38"/>
    <col min="15652" max="15652" width="18.7109375" style="38" customWidth="1"/>
    <col min="15653" max="15653" width="28.140625" style="38" customWidth="1"/>
    <col min="15654" max="15654" width="11.42578125" style="38"/>
    <col min="15655" max="15655" width="19.5703125" style="38" customWidth="1"/>
    <col min="15656" max="15656" width="36.42578125" style="38" customWidth="1"/>
    <col min="15657" max="15657" width="46.7109375" style="38" customWidth="1"/>
    <col min="15658" max="15658" width="28" style="38" customWidth="1"/>
    <col min="15659" max="15659" width="16.42578125" style="38" customWidth="1"/>
    <col min="15660" max="15660" width="12.42578125" style="38" customWidth="1"/>
    <col min="15661" max="15672" width="11.42578125" style="38"/>
    <col min="15673" max="15673" width="13" style="38" customWidth="1"/>
    <col min="15674" max="15674" width="14.7109375" style="38" customWidth="1"/>
    <col min="15675" max="15675" width="34.28515625" style="38" customWidth="1"/>
    <col min="15676" max="15898" width="11.42578125" style="38"/>
    <col min="15899" max="15899" width="14.140625" style="38" customWidth="1"/>
    <col min="15900" max="15900" width="11.42578125" style="38"/>
    <col min="15901" max="15901" width="14.140625" style="38" customWidth="1"/>
    <col min="15902" max="15902" width="11.42578125" style="38"/>
    <col min="15903" max="15903" width="14.28515625" style="38" customWidth="1"/>
    <col min="15904" max="15904" width="11.42578125" style="38"/>
    <col min="15905" max="15905" width="30" style="38" customWidth="1"/>
    <col min="15906" max="15906" width="29.42578125" style="38" customWidth="1"/>
    <col min="15907" max="15907" width="11.42578125" style="38"/>
    <col min="15908" max="15908" width="18.7109375" style="38" customWidth="1"/>
    <col min="15909" max="15909" width="28.140625" style="38" customWidth="1"/>
    <col min="15910" max="15910" width="11.42578125" style="38"/>
    <col min="15911" max="15911" width="19.5703125" style="38" customWidth="1"/>
    <col min="15912" max="15912" width="36.42578125" style="38" customWidth="1"/>
    <col min="15913" max="15913" width="46.7109375" style="38" customWidth="1"/>
    <col min="15914" max="15914" width="28" style="38" customWidth="1"/>
    <col min="15915" max="15915" width="16.42578125" style="38" customWidth="1"/>
    <col min="15916" max="15916" width="12.42578125" style="38" customWidth="1"/>
    <col min="15917" max="15928" width="11.42578125" style="38"/>
    <col min="15929" max="15929" width="13" style="38" customWidth="1"/>
    <col min="15930" max="15930" width="14.7109375" style="38" customWidth="1"/>
    <col min="15931" max="15931" width="34.28515625" style="38" customWidth="1"/>
    <col min="15932" max="16154" width="11.42578125" style="38"/>
    <col min="16155" max="16155" width="14.140625" style="38" customWidth="1"/>
    <col min="16156" max="16156" width="11.42578125" style="38"/>
    <col min="16157" max="16157" width="14.140625" style="38" customWidth="1"/>
    <col min="16158" max="16158" width="11.42578125" style="38"/>
    <col min="16159" max="16159" width="14.28515625" style="38" customWidth="1"/>
    <col min="16160" max="16160" width="11.42578125" style="38"/>
    <col min="16161" max="16161" width="30" style="38" customWidth="1"/>
    <col min="16162" max="16162" width="29.42578125" style="38" customWidth="1"/>
    <col min="16163" max="16163" width="11.42578125" style="38"/>
    <col min="16164" max="16164" width="18.7109375" style="38" customWidth="1"/>
    <col min="16165" max="16165" width="28.140625" style="38" customWidth="1"/>
    <col min="16166" max="16166" width="11.42578125" style="38"/>
    <col min="16167" max="16167" width="19.5703125" style="38" customWidth="1"/>
    <col min="16168" max="16168" width="36.42578125" style="38" customWidth="1"/>
    <col min="16169" max="16169" width="46.7109375" style="38" customWidth="1"/>
    <col min="16170" max="16170" width="28" style="38" customWidth="1"/>
    <col min="16171" max="16171" width="16.42578125" style="38" customWidth="1"/>
    <col min="16172" max="16172" width="12.42578125" style="38" customWidth="1"/>
    <col min="16173" max="16184" width="11.42578125" style="38"/>
    <col min="16185" max="16185" width="13" style="38" customWidth="1"/>
    <col min="16186" max="16186" width="14.7109375" style="38" customWidth="1"/>
    <col min="16187" max="16187" width="34.28515625" style="38" customWidth="1"/>
    <col min="16188" max="16384" width="11.42578125" style="38"/>
  </cols>
  <sheetData>
    <row r="1" spans="1:60" ht="15" customHeight="1" x14ac:dyDescent="0.25">
      <c r="A1" s="2471" t="s">
        <v>141</v>
      </c>
      <c r="B1" s="2471"/>
      <c r="C1" s="2471"/>
      <c r="D1" s="2471"/>
      <c r="E1" s="2471"/>
      <c r="F1" s="2471"/>
      <c r="G1" s="2471"/>
      <c r="H1" s="2471"/>
      <c r="I1" s="2471"/>
      <c r="J1" s="2471"/>
      <c r="K1" s="2471"/>
      <c r="L1" s="2471"/>
      <c r="M1" s="2471"/>
      <c r="N1" s="2471"/>
      <c r="O1" s="2471"/>
      <c r="P1" s="2471"/>
      <c r="Q1" s="2471"/>
      <c r="R1" s="2471"/>
      <c r="S1" s="2471"/>
      <c r="T1" s="2471"/>
      <c r="U1" s="2471"/>
      <c r="V1" s="2471"/>
      <c r="W1" s="2471"/>
      <c r="X1" s="2471"/>
      <c r="Y1" s="2471"/>
      <c r="Z1" s="2471"/>
      <c r="AA1" s="2471"/>
      <c r="AB1" s="2471"/>
      <c r="AC1" s="2471"/>
      <c r="AD1" s="2471"/>
      <c r="AE1" s="2471"/>
      <c r="AF1" s="2471"/>
      <c r="AG1" s="2471"/>
      <c r="AH1" s="2471"/>
      <c r="AI1" s="2471"/>
      <c r="AJ1" s="2471"/>
      <c r="AK1" s="2471"/>
      <c r="AL1" s="2471"/>
      <c r="AM1" s="2471"/>
      <c r="AN1" s="2471"/>
      <c r="AO1" s="2471"/>
      <c r="AP1" s="2471"/>
      <c r="AQ1" s="2471"/>
      <c r="AR1" s="2471"/>
      <c r="AS1" s="2471"/>
      <c r="AT1" s="2471"/>
      <c r="AU1" s="2471"/>
      <c r="AV1" s="2471"/>
      <c r="AW1" s="2471"/>
      <c r="AX1" s="2471"/>
      <c r="AY1" s="2471"/>
      <c r="AZ1" s="2471"/>
      <c r="BA1" s="2471"/>
      <c r="BB1" s="2471"/>
      <c r="BC1" s="2471"/>
      <c r="BD1" s="2471"/>
      <c r="BE1" s="2471"/>
      <c r="BF1" s="1620" t="s">
        <v>0</v>
      </c>
      <c r="BG1" s="305" t="s">
        <v>1</v>
      </c>
      <c r="BH1" s="37"/>
    </row>
    <row r="2" spans="1:60" ht="15" x14ac:dyDescent="0.25">
      <c r="A2" s="2471"/>
      <c r="B2" s="2471"/>
      <c r="C2" s="2471"/>
      <c r="D2" s="2471"/>
      <c r="E2" s="2471"/>
      <c r="F2" s="2471"/>
      <c r="G2" s="2471"/>
      <c r="H2" s="2471"/>
      <c r="I2" s="2471"/>
      <c r="J2" s="2471"/>
      <c r="K2" s="2471"/>
      <c r="L2" s="2471"/>
      <c r="M2" s="2471"/>
      <c r="N2" s="2471"/>
      <c r="O2" s="2471"/>
      <c r="P2" s="2471"/>
      <c r="Q2" s="2471"/>
      <c r="R2" s="2471"/>
      <c r="S2" s="2471"/>
      <c r="T2" s="2471"/>
      <c r="U2" s="2471"/>
      <c r="V2" s="2471"/>
      <c r="W2" s="2471"/>
      <c r="X2" s="2471"/>
      <c r="Y2" s="2471"/>
      <c r="Z2" s="2471"/>
      <c r="AA2" s="2471"/>
      <c r="AB2" s="2471"/>
      <c r="AC2" s="2471"/>
      <c r="AD2" s="2471"/>
      <c r="AE2" s="2471"/>
      <c r="AF2" s="2471"/>
      <c r="AG2" s="2471"/>
      <c r="AH2" s="2471"/>
      <c r="AI2" s="2471"/>
      <c r="AJ2" s="2471"/>
      <c r="AK2" s="2471"/>
      <c r="AL2" s="2471"/>
      <c r="AM2" s="2471"/>
      <c r="AN2" s="2471"/>
      <c r="AO2" s="2471"/>
      <c r="AP2" s="2471"/>
      <c r="AQ2" s="2471"/>
      <c r="AR2" s="2471"/>
      <c r="AS2" s="2471"/>
      <c r="AT2" s="2471"/>
      <c r="AU2" s="2471"/>
      <c r="AV2" s="2471"/>
      <c r="AW2" s="2471"/>
      <c r="AX2" s="2471"/>
      <c r="AY2" s="2471"/>
      <c r="AZ2" s="2471"/>
      <c r="BA2" s="2471"/>
      <c r="BB2" s="2471"/>
      <c r="BC2" s="2471"/>
      <c r="BD2" s="2471"/>
      <c r="BE2" s="2471"/>
      <c r="BF2" s="1621" t="s">
        <v>2</v>
      </c>
      <c r="BG2" s="306">
        <v>5</v>
      </c>
      <c r="BH2" s="37"/>
    </row>
    <row r="3" spans="1:60" ht="21.75" customHeight="1" x14ac:dyDescent="0.25">
      <c r="A3" s="2471" t="s">
        <v>583</v>
      </c>
      <c r="B3" s="2471"/>
      <c r="C3" s="2471"/>
      <c r="D3" s="2471"/>
      <c r="E3" s="2471"/>
      <c r="F3" s="2471"/>
      <c r="G3" s="2471"/>
      <c r="H3" s="2471"/>
      <c r="I3" s="2471"/>
      <c r="J3" s="2471"/>
      <c r="K3" s="2471"/>
      <c r="L3" s="2471"/>
      <c r="M3" s="2471"/>
      <c r="N3" s="2471"/>
      <c r="O3" s="2471"/>
      <c r="P3" s="2471"/>
      <c r="Q3" s="2471"/>
      <c r="R3" s="2471"/>
      <c r="S3" s="2471"/>
      <c r="T3" s="2471"/>
      <c r="U3" s="2471"/>
      <c r="V3" s="2471"/>
      <c r="W3" s="2471"/>
      <c r="X3" s="2471"/>
      <c r="Y3" s="2471"/>
      <c r="Z3" s="2471"/>
      <c r="AA3" s="2471"/>
      <c r="AB3" s="2471"/>
      <c r="AC3" s="2471"/>
      <c r="AD3" s="2471"/>
      <c r="AE3" s="2471"/>
      <c r="AF3" s="2471"/>
      <c r="AG3" s="2471"/>
      <c r="AH3" s="2471"/>
      <c r="AI3" s="2471"/>
      <c r="AJ3" s="2471"/>
      <c r="AK3" s="2471"/>
      <c r="AL3" s="2471"/>
      <c r="AM3" s="2471"/>
      <c r="AN3" s="2471"/>
      <c r="AO3" s="2471"/>
      <c r="AP3" s="2471"/>
      <c r="AQ3" s="2471"/>
      <c r="AR3" s="2471"/>
      <c r="AS3" s="2471"/>
      <c r="AT3" s="2471"/>
      <c r="AU3" s="2471"/>
      <c r="AV3" s="2471"/>
      <c r="AW3" s="2471"/>
      <c r="AX3" s="2471"/>
      <c r="AY3" s="2471"/>
      <c r="AZ3" s="2471"/>
      <c r="BA3" s="2471"/>
      <c r="BB3" s="2471"/>
      <c r="BC3" s="2471"/>
      <c r="BD3" s="2471"/>
      <c r="BE3" s="2471"/>
      <c r="BF3" s="305" t="s">
        <v>3</v>
      </c>
      <c r="BG3" s="307" t="s">
        <v>4</v>
      </c>
      <c r="BH3" s="37"/>
    </row>
    <row r="4" spans="1:60" s="40" customFormat="1" ht="27.75" customHeight="1" x14ac:dyDescent="0.2">
      <c r="A4" s="2474" t="s">
        <v>139</v>
      </c>
      <c r="B4" s="2474"/>
      <c r="C4" s="2474"/>
      <c r="D4" s="2474"/>
      <c r="E4" s="2474"/>
      <c r="F4" s="2474"/>
      <c r="G4" s="2474"/>
      <c r="H4" s="2474"/>
      <c r="I4" s="2474"/>
      <c r="J4" s="2474"/>
      <c r="K4" s="2474"/>
      <c r="L4" s="2474"/>
      <c r="M4" s="2474"/>
      <c r="N4" s="2474"/>
      <c r="O4" s="2474"/>
      <c r="P4" s="2474"/>
      <c r="Q4" s="2474"/>
      <c r="R4" s="2474"/>
      <c r="S4" s="2474"/>
      <c r="T4" s="2474"/>
      <c r="U4" s="2474"/>
      <c r="V4" s="2474"/>
      <c r="W4" s="2474"/>
      <c r="X4" s="2474"/>
      <c r="Y4" s="2474"/>
      <c r="Z4" s="2474"/>
      <c r="AA4" s="2474"/>
      <c r="AB4" s="2474"/>
      <c r="AC4" s="2474"/>
      <c r="AD4" s="2474"/>
      <c r="AE4" s="2474"/>
      <c r="AF4" s="2474"/>
      <c r="AG4" s="2474"/>
      <c r="AH4" s="2474"/>
      <c r="AI4" s="2474"/>
      <c r="AJ4" s="2474"/>
      <c r="AK4" s="2474"/>
      <c r="AL4" s="2474"/>
      <c r="AM4" s="2474"/>
      <c r="AN4" s="2474"/>
      <c r="AO4" s="2474"/>
      <c r="AP4" s="2474"/>
      <c r="AQ4" s="2474"/>
      <c r="AR4" s="2474"/>
      <c r="AS4" s="2474"/>
      <c r="AT4" s="2474"/>
      <c r="AU4" s="2474"/>
      <c r="AV4" s="2474"/>
      <c r="AW4" s="2474"/>
      <c r="AX4" s="2474"/>
      <c r="AY4" s="2474"/>
      <c r="AZ4" s="2474"/>
      <c r="BA4" s="2474"/>
      <c r="BB4" s="2474"/>
      <c r="BC4" s="2474"/>
      <c r="BD4" s="2474"/>
      <c r="BE4" s="2474"/>
      <c r="BF4" s="652" t="s">
        <v>5</v>
      </c>
      <c r="BG4" s="308" t="s">
        <v>6</v>
      </c>
      <c r="BH4" s="39"/>
    </row>
    <row r="5" spans="1:60" ht="24" customHeight="1" x14ac:dyDescent="0.2">
      <c r="A5" s="2476" t="s">
        <v>584</v>
      </c>
      <c r="B5" s="2477"/>
      <c r="C5" s="2477"/>
      <c r="D5" s="2477"/>
      <c r="E5" s="2477"/>
      <c r="F5" s="2477"/>
      <c r="G5" s="2477"/>
      <c r="H5" s="2477"/>
      <c r="I5" s="2477"/>
      <c r="J5" s="2477"/>
      <c r="K5" s="2480"/>
      <c r="L5" s="2476" t="s">
        <v>8</v>
      </c>
      <c r="M5" s="2477"/>
      <c r="N5" s="2477"/>
      <c r="O5" s="2477"/>
      <c r="P5" s="2477"/>
      <c r="Q5" s="2477"/>
      <c r="R5" s="2477"/>
      <c r="S5" s="2477"/>
      <c r="T5" s="2477"/>
      <c r="U5" s="2477"/>
      <c r="V5" s="2477"/>
      <c r="W5" s="2477"/>
      <c r="X5" s="2477"/>
      <c r="Y5" s="2477" t="s">
        <v>9</v>
      </c>
      <c r="Z5" s="2477"/>
      <c r="AA5" s="2477"/>
      <c r="AB5" s="2477"/>
      <c r="AC5" s="2477"/>
      <c r="AD5" s="2477"/>
      <c r="AE5" s="2477"/>
      <c r="AF5" s="2477"/>
      <c r="AG5" s="2477"/>
      <c r="AH5" s="2477"/>
      <c r="AI5" s="2477"/>
      <c r="AJ5" s="2477"/>
      <c r="AK5" s="2477"/>
      <c r="AL5" s="2477"/>
      <c r="AM5" s="2477"/>
      <c r="AN5" s="2477"/>
      <c r="AO5" s="2477"/>
      <c r="AP5" s="2477"/>
      <c r="AQ5" s="2477"/>
      <c r="AR5" s="2477"/>
      <c r="AS5" s="2477"/>
      <c r="AT5" s="2477"/>
      <c r="AU5" s="2477"/>
      <c r="AV5" s="2477"/>
      <c r="AW5" s="2477"/>
      <c r="AX5" s="2477"/>
      <c r="AY5" s="2477"/>
      <c r="AZ5" s="2477"/>
      <c r="BA5" s="2477"/>
      <c r="BB5" s="2477"/>
      <c r="BC5" s="2477"/>
      <c r="BD5" s="2477"/>
      <c r="BE5" s="2477"/>
      <c r="BF5" s="2477"/>
      <c r="BG5" s="2480"/>
      <c r="BH5" s="41"/>
    </row>
    <row r="6" spans="1:60" ht="24" customHeight="1" x14ac:dyDescent="0.2">
      <c r="A6" s="2478"/>
      <c r="B6" s="2479"/>
      <c r="C6" s="2479"/>
      <c r="D6" s="2479"/>
      <c r="E6" s="2479"/>
      <c r="F6" s="2479"/>
      <c r="G6" s="2479"/>
      <c r="H6" s="2479"/>
      <c r="I6" s="2479"/>
      <c r="J6" s="2479"/>
      <c r="K6" s="2481"/>
      <c r="L6" s="2478"/>
      <c r="M6" s="2479"/>
      <c r="N6" s="2479"/>
      <c r="O6" s="2479"/>
      <c r="P6" s="2479"/>
      <c r="Q6" s="2479"/>
      <c r="R6" s="2479"/>
      <c r="S6" s="2479"/>
      <c r="T6" s="2479"/>
      <c r="U6" s="2479"/>
      <c r="V6" s="2479"/>
      <c r="W6" s="2479"/>
      <c r="X6" s="2479"/>
      <c r="Y6" s="2479"/>
      <c r="Z6" s="2479"/>
      <c r="AA6" s="2479"/>
      <c r="AB6" s="2479"/>
      <c r="AC6" s="2479"/>
      <c r="AD6" s="2479"/>
      <c r="AE6" s="2479"/>
      <c r="AF6" s="2479"/>
      <c r="AG6" s="2479"/>
      <c r="AH6" s="2479"/>
      <c r="AI6" s="2479"/>
      <c r="AJ6" s="2479"/>
      <c r="AK6" s="2479"/>
      <c r="AL6" s="2479"/>
      <c r="AM6" s="2479"/>
      <c r="AN6" s="2479"/>
      <c r="AO6" s="2479"/>
      <c r="AP6" s="2479"/>
      <c r="AQ6" s="2479"/>
      <c r="AR6" s="2479"/>
      <c r="AS6" s="2479"/>
      <c r="AT6" s="2479"/>
      <c r="AU6" s="2479"/>
      <c r="AV6" s="2479"/>
      <c r="AW6" s="2494"/>
      <c r="AX6" s="2494"/>
      <c r="AY6" s="2494"/>
      <c r="AZ6" s="2494"/>
      <c r="BA6" s="2494"/>
      <c r="BB6" s="2494"/>
      <c r="BC6" s="2494"/>
      <c r="BD6" s="2494"/>
      <c r="BE6" s="2494"/>
      <c r="BF6" s="2494"/>
      <c r="BG6" s="2495"/>
    </row>
    <row r="7" spans="1:60" ht="30" customHeight="1" x14ac:dyDescent="0.2">
      <c r="A7" s="4007" t="s">
        <v>10</v>
      </c>
      <c r="B7" s="2461" t="s">
        <v>11</v>
      </c>
      <c r="C7" s="2461" t="s">
        <v>10</v>
      </c>
      <c r="D7" s="2461" t="s">
        <v>12</v>
      </c>
      <c r="E7" s="2461" t="s">
        <v>10</v>
      </c>
      <c r="F7" s="2461" t="s">
        <v>13</v>
      </c>
      <c r="G7" s="2461" t="s">
        <v>10</v>
      </c>
      <c r="H7" s="2461" t="s">
        <v>14</v>
      </c>
      <c r="I7" s="2461" t="s">
        <v>15</v>
      </c>
      <c r="J7" s="4006" t="s">
        <v>16</v>
      </c>
      <c r="K7" s="4007"/>
      <c r="L7" s="2461" t="s">
        <v>17</v>
      </c>
      <c r="M7" s="2461" t="s">
        <v>18</v>
      </c>
      <c r="N7" s="2461" t="s">
        <v>8</v>
      </c>
      <c r="O7" s="2461" t="s">
        <v>19</v>
      </c>
      <c r="P7" s="4012" t="s">
        <v>20</v>
      </c>
      <c r="Q7" s="2461" t="s">
        <v>21</v>
      </c>
      <c r="R7" s="2461" t="s">
        <v>22</v>
      </c>
      <c r="S7" s="2461" t="s">
        <v>23</v>
      </c>
      <c r="T7" s="4022" t="s">
        <v>20</v>
      </c>
      <c r="U7" s="4023"/>
      <c r="V7" s="4024"/>
      <c r="W7" s="2461" t="s">
        <v>10</v>
      </c>
      <c r="X7" s="3605" t="s">
        <v>24</v>
      </c>
      <c r="Y7" s="3619" t="s">
        <v>25</v>
      </c>
      <c r="Z7" s="3620"/>
      <c r="AA7" s="3620"/>
      <c r="AB7" s="3620"/>
      <c r="AC7" s="3620"/>
      <c r="AD7" s="3620"/>
      <c r="AE7" s="3620"/>
      <c r="AF7" s="3620"/>
      <c r="AG7" s="3620"/>
      <c r="AH7" s="3620"/>
      <c r="AI7" s="3620"/>
      <c r="AJ7" s="3621"/>
      <c r="AK7" s="3600" t="s">
        <v>26</v>
      </c>
      <c r="AL7" s="3592"/>
      <c r="AM7" s="3592"/>
      <c r="AN7" s="3592"/>
      <c r="AO7" s="3592"/>
      <c r="AP7" s="3592"/>
      <c r="AQ7" s="3592"/>
      <c r="AR7" s="3592"/>
      <c r="AS7" s="3592"/>
      <c r="AT7" s="3592"/>
      <c r="AU7" s="3592"/>
      <c r="AV7" s="3593"/>
      <c r="AW7" s="4003" t="s">
        <v>27</v>
      </c>
      <c r="AX7" s="4004"/>
      <c r="AY7" s="4004"/>
      <c r="AZ7" s="4004"/>
      <c r="BA7" s="4004"/>
      <c r="BB7" s="4005"/>
      <c r="BC7" s="184"/>
      <c r="BD7" s="185"/>
      <c r="BE7" s="185"/>
      <c r="BF7" s="185"/>
      <c r="BG7" s="186"/>
    </row>
    <row r="8" spans="1:60" ht="28.5" customHeight="1" x14ac:dyDescent="0.2">
      <c r="A8" s="4009"/>
      <c r="B8" s="2462"/>
      <c r="C8" s="2462"/>
      <c r="D8" s="2462"/>
      <c r="E8" s="2462"/>
      <c r="F8" s="2462"/>
      <c r="G8" s="2462"/>
      <c r="H8" s="2462"/>
      <c r="I8" s="2462"/>
      <c r="J8" s="4008"/>
      <c r="K8" s="4009"/>
      <c r="L8" s="2462"/>
      <c r="M8" s="2462"/>
      <c r="N8" s="2462"/>
      <c r="O8" s="2462"/>
      <c r="P8" s="4013"/>
      <c r="Q8" s="2462"/>
      <c r="R8" s="2462"/>
      <c r="S8" s="2462"/>
      <c r="T8" s="4025"/>
      <c r="U8" s="4026"/>
      <c r="V8" s="4027"/>
      <c r="W8" s="2462"/>
      <c r="X8" s="3610"/>
      <c r="Y8" s="3606" t="s">
        <v>31</v>
      </c>
      <c r="Z8" s="3607"/>
      <c r="AA8" s="4010" t="s">
        <v>32</v>
      </c>
      <c r="AB8" s="4011"/>
      <c r="AC8" s="3606" t="s">
        <v>33</v>
      </c>
      <c r="AD8" s="3607"/>
      <c r="AE8" s="3606" t="s">
        <v>34</v>
      </c>
      <c r="AF8" s="3607"/>
      <c r="AG8" s="3606" t="s">
        <v>35</v>
      </c>
      <c r="AH8" s="3607"/>
      <c r="AI8" s="3606" t="s">
        <v>36</v>
      </c>
      <c r="AJ8" s="3607"/>
      <c r="AK8" s="3606" t="s">
        <v>37</v>
      </c>
      <c r="AL8" s="3607"/>
      <c r="AM8" s="3606" t="s">
        <v>38</v>
      </c>
      <c r="AN8" s="3607"/>
      <c r="AO8" s="3606" t="s">
        <v>39</v>
      </c>
      <c r="AP8" s="3607"/>
      <c r="AQ8" s="3606" t="s">
        <v>40</v>
      </c>
      <c r="AR8" s="3607"/>
      <c r="AS8" s="3606" t="s">
        <v>41</v>
      </c>
      <c r="AT8" s="3607"/>
      <c r="AU8" s="3604" t="s">
        <v>42</v>
      </c>
      <c r="AV8" s="3604"/>
      <c r="AW8" s="3604" t="s">
        <v>43</v>
      </c>
      <c r="AX8" s="4018" t="s">
        <v>44</v>
      </c>
      <c r="AY8" s="4018" t="s">
        <v>45</v>
      </c>
      <c r="AZ8" s="4020" t="s">
        <v>46</v>
      </c>
      <c r="BA8" s="3604" t="s">
        <v>47</v>
      </c>
      <c r="BB8" s="3605" t="s">
        <v>48</v>
      </c>
      <c r="BC8" s="4014" t="s">
        <v>28</v>
      </c>
      <c r="BD8" s="4015"/>
      <c r="BE8" s="4014" t="s">
        <v>29</v>
      </c>
      <c r="BF8" s="4015"/>
      <c r="BG8" s="42" t="s">
        <v>30</v>
      </c>
    </row>
    <row r="9" spans="1:60" ht="55.5" customHeight="1" x14ac:dyDescent="0.2">
      <c r="A9" s="4009"/>
      <c r="B9" s="2462"/>
      <c r="C9" s="2462"/>
      <c r="D9" s="2462"/>
      <c r="E9" s="2462"/>
      <c r="F9" s="2462"/>
      <c r="G9" s="2462"/>
      <c r="H9" s="2462"/>
      <c r="I9" s="2462"/>
      <c r="J9" s="502" t="s">
        <v>296</v>
      </c>
      <c r="K9" s="502" t="s">
        <v>50</v>
      </c>
      <c r="L9" s="2462"/>
      <c r="M9" s="2462"/>
      <c r="N9" s="2462"/>
      <c r="O9" s="2462"/>
      <c r="P9" s="4013"/>
      <c r="Q9" s="2462"/>
      <c r="R9" s="2462"/>
      <c r="S9" s="2462"/>
      <c r="T9" s="43" t="s">
        <v>51</v>
      </c>
      <c r="U9" s="43" t="s">
        <v>52</v>
      </c>
      <c r="V9" s="43" t="s">
        <v>53</v>
      </c>
      <c r="W9" s="2462"/>
      <c r="X9" s="3610"/>
      <c r="Y9" s="611" t="s">
        <v>296</v>
      </c>
      <c r="Z9" s="611" t="s">
        <v>50</v>
      </c>
      <c r="AA9" s="611" t="s">
        <v>296</v>
      </c>
      <c r="AB9" s="611" t="s">
        <v>50</v>
      </c>
      <c r="AC9" s="611" t="s">
        <v>296</v>
      </c>
      <c r="AD9" s="611" t="s">
        <v>50</v>
      </c>
      <c r="AE9" s="611" t="s">
        <v>296</v>
      </c>
      <c r="AF9" s="611" t="s">
        <v>50</v>
      </c>
      <c r="AG9" s="611" t="s">
        <v>296</v>
      </c>
      <c r="AH9" s="611" t="s">
        <v>50</v>
      </c>
      <c r="AI9" s="611" t="s">
        <v>296</v>
      </c>
      <c r="AJ9" s="611" t="s">
        <v>50</v>
      </c>
      <c r="AK9" s="611" t="s">
        <v>296</v>
      </c>
      <c r="AL9" s="611" t="s">
        <v>50</v>
      </c>
      <c r="AM9" s="611" t="s">
        <v>296</v>
      </c>
      <c r="AN9" s="611" t="s">
        <v>50</v>
      </c>
      <c r="AO9" s="611" t="s">
        <v>296</v>
      </c>
      <c r="AP9" s="611" t="s">
        <v>50</v>
      </c>
      <c r="AQ9" s="611" t="s">
        <v>296</v>
      </c>
      <c r="AR9" s="611" t="s">
        <v>50</v>
      </c>
      <c r="AS9" s="611" t="s">
        <v>296</v>
      </c>
      <c r="AT9" s="611" t="s">
        <v>50</v>
      </c>
      <c r="AU9" s="611" t="s">
        <v>296</v>
      </c>
      <c r="AV9" s="611" t="s">
        <v>50</v>
      </c>
      <c r="AW9" s="3605"/>
      <c r="AX9" s="4019"/>
      <c r="AY9" s="4019"/>
      <c r="AZ9" s="4021"/>
      <c r="BA9" s="3605"/>
      <c r="BB9" s="3610"/>
      <c r="BC9" s="44" t="s">
        <v>49</v>
      </c>
      <c r="BD9" s="44" t="s">
        <v>50</v>
      </c>
      <c r="BE9" s="44" t="s">
        <v>49</v>
      </c>
      <c r="BF9" s="44" t="s">
        <v>50</v>
      </c>
      <c r="BG9" s="42"/>
    </row>
    <row r="10" spans="1:60" s="51" customFormat="1" ht="33" customHeight="1" x14ac:dyDescent="0.2">
      <c r="A10" s="45">
        <v>3</v>
      </c>
      <c r="B10" s="46" t="s">
        <v>585</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8"/>
      <c r="AY10" s="48"/>
      <c r="AZ10" s="49"/>
      <c r="BA10" s="47"/>
      <c r="BB10" s="47"/>
      <c r="BC10" s="47"/>
      <c r="BD10" s="47"/>
      <c r="BE10" s="47"/>
      <c r="BF10" s="47"/>
      <c r="BG10" s="50"/>
    </row>
    <row r="11" spans="1:60" s="51" customFormat="1" ht="33" customHeight="1" x14ac:dyDescent="0.2">
      <c r="A11" s="156"/>
      <c r="B11" s="157"/>
      <c r="C11" s="52">
        <v>16</v>
      </c>
      <c r="D11" s="53" t="s">
        <v>586</v>
      </c>
      <c r="E11" s="53"/>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5"/>
      <c r="AY11" s="55"/>
      <c r="AZ11" s="56"/>
      <c r="BA11" s="54"/>
      <c r="BB11" s="54"/>
      <c r="BC11" s="54"/>
      <c r="BD11" s="54"/>
      <c r="BE11" s="54"/>
      <c r="BF11" s="54"/>
      <c r="BG11" s="57"/>
    </row>
    <row r="12" spans="1:60" s="51" customFormat="1" ht="33" customHeight="1" x14ac:dyDescent="0.2">
      <c r="A12" s="156"/>
      <c r="B12" s="157"/>
      <c r="C12" s="158"/>
      <c r="D12" s="159"/>
      <c r="E12" s="58">
        <v>56</v>
      </c>
      <c r="F12" s="501" t="s">
        <v>587</v>
      </c>
      <c r="G12" s="501"/>
      <c r="H12" s="501"/>
      <c r="I12" s="501"/>
      <c r="J12" s="501"/>
      <c r="K12" s="501"/>
      <c r="L12" s="501"/>
      <c r="M12" s="501"/>
      <c r="N12" s="501"/>
      <c r="O12" s="501"/>
      <c r="P12" s="501"/>
      <c r="Q12" s="501"/>
      <c r="R12" s="501"/>
      <c r="S12" s="501"/>
      <c r="T12" s="501"/>
      <c r="U12" s="501"/>
      <c r="V12" s="501"/>
      <c r="W12" s="501"/>
      <c r="X12" s="501"/>
      <c r="Y12" s="501"/>
      <c r="Z12" s="501"/>
      <c r="AA12" s="501"/>
      <c r="AB12" s="501"/>
      <c r="AC12" s="501"/>
      <c r="AD12" s="501"/>
      <c r="AE12" s="501"/>
      <c r="AF12" s="501"/>
      <c r="AG12" s="501"/>
      <c r="AH12" s="501"/>
      <c r="AI12" s="501"/>
      <c r="AJ12" s="501"/>
      <c r="AK12" s="501"/>
      <c r="AL12" s="501"/>
      <c r="AM12" s="501"/>
      <c r="AN12" s="501"/>
      <c r="AO12" s="501"/>
      <c r="AP12" s="501"/>
      <c r="AQ12" s="501"/>
      <c r="AR12" s="501"/>
      <c r="AS12" s="501"/>
      <c r="AT12" s="501"/>
      <c r="AU12" s="501"/>
      <c r="AV12" s="501"/>
      <c r="AW12" s="501"/>
      <c r="AX12" s="59"/>
      <c r="AY12" s="59"/>
      <c r="AZ12" s="60"/>
      <c r="BA12" s="501"/>
      <c r="BB12" s="501"/>
      <c r="BC12" s="501"/>
      <c r="BD12" s="501"/>
      <c r="BE12" s="501"/>
      <c r="BF12" s="501"/>
      <c r="BG12" s="61"/>
    </row>
    <row r="13" spans="1:60" ht="60.75" customHeight="1" x14ac:dyDescent="0.2">
      <c r="A13" s="156"/>
      <c r="B13" s="157"/>
      <c r="C13" s="158"/>
      <c r="D13" s="159"/>
      <c r="E13" s="160"/>
      <c r="F13" s="161"/>
      <c r="G13" s="2535">
        <v>180</v>
      </c>
      <c r="H13" s="2424" t="s">
        <v>588</v>
      </c>
      <c r="I13" s="2424" t="s">
        <v>589</v>
      </c>
      <c r="J13" s="2595">
        <v>1</v>
      </c>
      <c r="K13" s="2419">
        <v>0</v>
      </c>
      <c r="L13" s="4016" t="s">
        <v>590</v>
      </c>
      <c r="M13" s="4030">
        <v>102</v>
      </c>
      <c r="N13" s="2428" t="s">
        <v>591</v>
      </c>
      <c r="O13" s="4033">
        <v>0.95</v>
      </c>
      <c r="P13" s="2523">
        <v>260000000</v>
      </c>
      <c r="Q13" s="2428" t="s">
        <v>592</v>
      </c>
      <c r="R13" s="2424" t="s">
        <v>593</v>
      </c>
      <c r="S13" s="2424" t="s">
        <v>594</v>
      </c>
      <c r="T13" s="4028">
        <f>43500000+200000000</f>
        <v>243500000</v>
      </c>
      <c r="U13" s="4028">
        <v>0</v>
      </c>
      <c r="V13" s="4028">
        <v>0</v>
      </c>
      <c r="W13" s="2535">
        <v>20</v>
      </c>
      <c r="X13" s="2535" t="s">
        <v>208</v>
      </c>
      <c r="Y13" s="4054">
        <v>32074</v>
      </c>
      <c r="Z13" s="4056">
        <v>0</v>
      </c>
      <c r="AA13" s="2415">
        <v>16038</v>
      </c>
      <c r="AB13" s="2415">
        <v>0</v>
      </c>
      <c r="AC13" s="2415">
        <v>16037</v>
      </c>
      <c r="AD13" s="3667"/>
      <c r="AE13" s="3668"/>
      <c r="AF13" s="3667"/>
      <c r="AG13" s="3668"/>
      <c r="AH13" s="3667"/>
      <c r="AI13" s="3668"/>
      <c r="AJ13" s="3667"/>
      <c r="AK13" s="3668"/>
      <c r="AL13" s="3667"/>
      <c r="AM13" s="3668"/>
      <c r="AN13" s="3667"/>
      <c r="AO13" s="3668"/>
      <c r="AP13" s="3667"/>
      <c r="AQ13" s="3668"/>
      <c r="AR13" s="3667"/>
      <c r="AS13" s="3668"/>
      <c r="AT13" s="3667"/>
      <c r="AU13" s="3668"/>
      <c r="AV13" s="3667"/>
      <c r="AW13" s="2696">
        <v>0</v>
      </c>
      <c r="AX13" s="4044">
        <v>0</v>
      </c>
      <c r="AY13" s="4047">
        <v>0</v>
      </c>
      <c r="AZ13" s="4050">
        <f>+AY16/AX16</f>
        <v>0.16666666666666666</v>
      </c>
      <c r="BA13" s="2534" t="s">
        <v>208</v>
      </c>
      <c r="BB13" s="2712" t="s">
        <v>595</v>
      </c>
      <c r="BC13" s="4037">
        <v>42751</v>
      </c>
      <c r="BD13" s="4037">
        <v>42775</v>
      </c>
      <c r="BE13" s="4037">
        <v>43100</v>
      </c>
      <c r="BF13" s="4037">
        <v>42917</v>
      </c>
      <c r="BG13" s="4038" t="s">
        <v>596</v>
      </c>
      <c r="BH13" s="40"/>
    </row>
    <row r="14" spans="1:60" ht="40.5" customHeight="1" x14ac:dyDescent="0.2">
      <c r="A14" s="156"/>
      <c r="B14" s="157"/>
      <c r="C14" s="158"/>
      <c r="D14" s="159"/>
      <c r="E14" s="162"/>
      <c r="F14" s="163"/>
      <c r="G14" s="2536"/>
      <c r="H14" s="2428"/>
      <c r="I14" s="2428"/>
      <c r="J14" s="2603"/>
      <c r="K14" s="2419"/>
      <c r="L14" s="4016"/>
      <c r="M14" s="4031"/>
      <c r="N14" s="2428"/>
      <c r="O14" s="4034"/>
      <c r="P14" s="4036"/>
      <c r="Q14" s="2428"/>
      <c r="R14" s="2428"/>
      <c r="S14" s="2429"/>
      <c r="T14" s="4029"/>
      <c r="U14" s="4029"/>
      <c r="V14" s="4029"/>
      <c r="W14" s="2536"/>
      <c r="X14" s="2536"/>
      <c r="Y14" s="4054"/>
      <c r="Z14" s="4057"/>
      <c r="AA14" s="2416"/>
      <c r="AB14" s="2416"/>
      <c r="AC14" s="2416"/>
      <c r="AD14" s="3668"/>
      <c r="AE14" s="3668"/>
      <c r="AF14" s="3668"/>
      <c r="AG14" s="3668"/>
      <c r="AH14" s="3668"/>
      <c r="AI14" s="3668"/>
      <c r="AJ14" s="3668"/>
      <c r="AK14" s="3668"/>
      <c r="AL14" s="3668"/>
      <c r="AM14" s="3668"/>
      <c r="AN14" s="3668"/>
      <c r="AO14" s="3668"/>
      <c r="AP14" s="3668"/>
      <c r="AQ14" s="3668"/>
      <c r="AR14" s="3668"/>
      <c r="AS14" s="3668"/>
      <c r="AT14" s="3668"/>
      <c r="AU14" s="3668"/>
      <c r="AV14" s="3668"/>
      <c r="AW14" s="2696"/>
      <c r="AX14" s="4045"/>
      <c r="AY14" s="4048"/>
      <c r="AZ14" s="4051"/>
      <c r="BA14" s="2694"/>
      <c r="BB14" s="3150"/>
      <c r="BC14" s="2537"/>
      <c r="BD14" s="2537"/>
      <c r="BE14" s="2537"/>
      <c r="BF14" s="2537"/>
      <c r="BG14" s="4038"/>
      <c r="BH14" s="40"/>
    </row>
    <row r="15" spans="1:60" ht="66.75" customHeight="1" x14ac:dyDescent="0.2">
      <c r="A15" s="156"/>
      <c r="B15" s="157"/>
      <c r="C15" s="158"/>
      <c r="D15" s="159"/>
      <c r="E15" s="162"/>
      <c r="F15" s="163"/>
      <c r="G15" s="2664"/>
      <c r="H15" s="2429"/>
      <c r="I15" s="2429"/>
      <c r="J15" s="2596"/>
      <c r="K15" s="2419"/>
      <c r="L15" s="4016"/>
      <c r="M15" s="4031"/>
      <c r="N15" s="2428"/>
      <c r="O15" s="4035"/>
      <c r="P15" s="4036"/>
      <c r="Q15" s="2428"/>
      <c r="R15" s="2429"/>
      <c r="S15" s="62" t="s">
        <v>597</v>
      </c>
      <c r="T15" s="63">
        <v>4000000</v>
      </c>
      <c r="U15" s="63">
        <v>0</v>
      </c>
      <c r="V15" s="64">
        <v>0</v>
      </c>
      <c r="W15" s="2536"/>
      <c r="X15" s="2536"/>
      <c r="Y15" s="4054"/>
      <c r="Z15" s="4057"/>
      <c r="AA15" s="2416"/>
      <c r="AB15" s="2416"/>
      <c r="AC15" s="2416"/>
      <c r="AD15" s="3668"/>
      <c r="AE15" s="3668"/>
      <c r="AF15" s="3668"/>
      <c r="AG15" s="3668"/>
      <c r="AH15" s="3668"/>
      <c r="AI15" s="3668"/>
      <c r="AJ15" s="3668"/>
      <c r="AK15" s="3668"/>
      <c r="AL15" s="3668"/>
      <c r="AM15" s="3668"/>
      <c r="AN15" s="3668"/>
      <c r="AO15" s="3668"/>
      <c r="AP15" s="3668"/>
      <c r="AQ15" s="3668"/>
      <c r="AR15" s="3668"/>
      <c r="AS15" s="3668"/>
      <c r="AT15" s="3668"/>
      <c r="AU15" s="3668"/>
      <c r="AV15" s="3668"/>
      <c r="AW15" s="2696"/>
      <c r="AX15" s="4046"/>
      <c r="AY15" s="4049"/>
      <c r="AZ15" s="4051"/>
      <c r="BA15" s="2694"/>
      <c r="BB15" s="3150"/>
      <c r="BC15" s="2537"/>
      <c r="BD15" s="2537"/>
      <c r="BE15" s="2537"/>
      <c r="BF15" s="2537"/>
      <c r="BG15" s="4038"/>
      <c r="BH15" s="40"/>
    </row>
    <row r="16" spans="1:60" ht="89.25" customHeight="1" x14ac:dyDescent="0.2">
      <c r="A16" s="156"/>
      <c r="B16" s="157"/>
      <c r="C16" s="164"/>
      <c r="D16" s="165"/>
      <c r="E16" s="166"/>
      <c r="F16" s="167"/>
      <c r="G16" s="65">
        <v>181</v>
      </c>
      <c r="H16" s="66" t="s">
        <v>598</v>
      </c>
      <c r="I16" s="66" t="s">
        <v>599</v>
      </c>
      <c r="J16" s="580">
        <v>6</v>
      </c>
      <c r="K16" s="582">
        <v>3</v>
      </c>
      <c r="L16" s="4017"/>
      <c r="M16" s="4032"/>
      <c r="N16" s="2429"/>
      <c r="O16" s="591">
        <v>0.05</v>
      </c>
      <c r="P16" s="4036"/>
      <c r="Q16" s="2429"/>
      <c r="R16" s="66" t="s">
        <v>600</v>
      </c>
      <c r="S16" s="595" t="s">
        <v>601</v>
      </c>
      <c r="T16" s="63">
        <v>12500000</v>
      </c>
      <c r="U16" s="63">
        <v>10140000</v>
      </c>
      <c r="V16" s="64">
        <v>1690000</v>
      </c>
      <c r="W16" s="2664"/>
      <c r="X16" s="2664"/>
      <c r="Y16" s="4055"/>
      <c r="Z16" s="4058"/>
      <c r="AA16" s="2417"/>
      <c r="AB16" s="2417"/>
      <c r="AC16" s="2417"/>
      <c r="AD16" s="4053"/>
      <c r="AE16" s="4053"/>
      <c r="AF16" s="4053"/>
      <c r="AG16" s="4053"/>
      <c r="AH16" s="4053"/>
      <c r="AI16" s="4053"/>
      <c r="AJ16" s="4053"/>
      <c r="AK16" s="4053"/>
      <c r="AL16" s="4053"/>
      <c r="AM16" s="4053"/>
      <c r="AN16" s="4053"/>
      <c r="AO16" s="4053"/>
      <c r="AP16" s="4053"/>
      <c r="AQ16" s="4053"/>
      <c r="AR16" s="4053"/>
      <c r="AS16" s="4053"/>
      <c r="AT16" s="4053"/>
      <c r="AU16" s="4053"/>
      <c r="AV16" s="4053"/>
      <c r="AW16" s="577">
        <v>1</v>
      </c>
      <c r="AX16" s="67">
        <v>10140000</v>
      </c>
      <c r="AY16" s="68">
        <v>1690000</v>
      </c>
      <c r="AZ16" s="4052"/>
      <c r="BA16" s="2695"/>
      <c r="BB16" s="2713"/>
      <c r="BC16" s="2537"/>
      <c r="BD16" s="2537"/>
      <c r="BE16" s="2537"/>
      <c r="BF16" s="2537"/>
      <c r="BG16" s="4039"/>
      <c r="BH16" s="40"/>
    </row>
    <row r="17" spans="1:60" ht="32.25" customHeight="1" x14ac:dyDescent="0.2">
      <c r="A17" s="156"/>
      <c r="B17" s="157"/>
      <c r="C17" s="52">
        <v>17</v>
      </c>
      <c r="D17" s="496" t="s">
        <v>602</v>
      </c>
      <c r="E17" s="496"/>
      <c r="F17" s="496"/>
      <c r="G17" s="496"/>
      <c r="H17" s="496"/>
      <c r="I17" s="496"/>
      <c r="J17" s="496"/>
      <c r="K17" s="496"/>
      <c r="L17" s="496"/>
      <c r="M17" s="496"/>
      <c r="N17" s="496"/>
      <c r="O17" s="496"/>
      <c r="P17" s="496"/>
      <c r="Q17" s="496"/>
      <c r="R17" s="496"/>
      <c r="S17" s="496"/>
      <c r="T17" s="496"/>
      <c r="U17" s="496"/>
      <c r="V17" s="496"/>
      <c r="W17" s="496"/>
      <c r="X17" s="496"/>
      <c r="Y17" s="496"/>
      <c r="Z17" s="496"/>
      <c r="AA17" s="496"/>
      <c r="AB17" s="496"/>
      <c r="AC17" s="496"/>
      <c r="AD17" s="496"/>
      <c r="AE17" s="496"/>
      <c r="AF17" s="496"/>
      <c r="AG17" s="496"/>
      <c r="AH17" s="496"/>
      <c r="AI17" s="496"/>
      <c r="AJ17" s="496"/>
      <c r="AK17" s="496"/>
      <c r="AL17" s="496"/>
      <c r="AM17" s="496"/>
      <c r="AN17" s="496"/>
      <c r="AO17" s="496"/>
      <c r="AP17" s="496"/>
      <c r="AQ17" s="496"/>
      <c r="AR17" s="496"/>
      <c r="AS17" s="496"/>
      <c r="AT17" s="496"/>
      <c r="AU17" s="496"/>
      <c r="AV17" s="496"/>
      <c r="AW17" s="496"/>
      <c r="AX17" s="69"/>
      <c r="AY17" s="69"/>
      <c r="AZ17" s="70"/>
      <c r="BA17" s="71"/>
      <c r="BB17" s="71"/>
      <c r="BC17" s="496"/>
      <c r="BD17" s="496"/>
      <c r="BE17" s="496"/>
      <c r="BF17" s="496"/>
      <c r="BG17" s="72"/>
      <c r="BH17" s="40"/>
    </row>
    <row r="18" spans="1:60" ht="37.5" customHeight="1" x14ac:dyDescent="0.2">
      <c r="A18" s="156"/>
      <c r="B18" s="157"/>
      <c r="C18" s="162"/>
      <c r="D18" s="163"/>
      <c r="E18" s="58">
        <v>58</v>
      </c>
      <c r="F18" s="501" t="s">
        <v>603</v>
      </c>
      <c r="G18" s="501"/>
      <c r="H18" s="501"/>
      <c r="I18" s="501"/>
      <c r="J18" s="501"/>
      <c r="K18" s="501"/>
      <c r="L18" s="501"/>
      <c r="M18" s="501"/>
      <c r="N18" s="501"/>
      <c r="O18" s="501"/>
      <c r="P18" s="501"/>
      <c r="Q18" s="501"/>
      <c r="R18" s="501"/>
      <c r="S18" s="501"/>
      <c r="T18" s="501"/>
      <c r="U18" s="501"/>
      <c r="V18" s="501"/>
      <c r="W18" s="501"/>
      <c r="X18" s="501"/>
      <c r="Y18" s="501"/>
      <c r="Z18" s="501"/>
      <c r="AA18" s="501"/>
      <c r="AB18" s="501"/>
      <c r="AC18" s="501"/>
      <c r="AD18" s="501"/>
      <c r="AE18" s="501"/>
      <c r="AF18" s="501"/>
      <c r="AG18" s="501"/>
      <c r="AH18" s="501"/>
      <c r="AI18" s="501"/>
      <c r="AJ18" s="501"/>
      <c r="AK18" s="501"/>
      <c r="AL18" s="501"/>
      <c r="AM18" s="501"/>
      <c r="AN18" s="501"/>
      <c r="AO18" s="501"/>
      <c r="AP18" s="501"/>
      <c r="AQ18" s="501"/>
      <c r="AR18" s="501"/>
      <c r="AS18" s="501"/>
      <c r="AT18" s="501"/>
      <c r="AU18" s="501"/>
      <c r="AV18" s="501"/>
      <c r="AW18" s="501"/>
      <c r="AX18" s="59"/>
      <c r="AY18" s="59"/>
      <c r="AZ18" s="60"/>
      <c r="BA18" s="73"/>
      <c r="BB18" s="73"/>
      <c r="BC18" s="501"/>
      <c r="BD18" s="501"/>
      <c r="BE18" s="501"/>
      <c r="BF18" s="501"/>
      <c r="BG18" s="74"/>
      <c r="BH18" s="40"/>
    </row>
    <row r="19" spans="1:60" ht="58.5" customHeight="1" x14ac:dyDescent="0.2">
      <c r="A19" s="156"/>
      <c r="B19" s="157"/>
      <c r="C19" s="162"/>
      <c r="D19" s="163"/>
      <c r="E19" s="168"/>
      <c r="F19" s="169"/>
      <c r="G19" s="2724">
        <v>183</v>
      </c>
      <c r="H19" s="2694" t="s">
        <v>604</v>
      </c>
      <c r="I19" s="2694" t="s">
        <v>605</v>
      </c>
      <c r="J19" s="4040">
        <v>1</v>
      </c>
      <c r="K19" s="4042" t="s">
        <v>606</v>
      </c>
      <c r="L19" s="4016" t="s">
        <v>607</v>
      </c>
      <c r="M19" s="4031">
        <v>103</v>
      </c>
      <c r="N19" s="2428" t="s">
        <v>608</v>
      </c>
      <c r="O19" s="2788">
        <v>1</v>
      </c>
      <c r="P19" s="2523">
        <v>180000000</v>
      </c>
      <c r="Q19" s="2428" t="s">
        <v>609</v>
      </c>
      <c r="R19" s="75" t="s">
        <v>610</v>
      </c>
      <c r="S19" s="579" t="s">
        <v>611</v>
      </c>
      <c r="T19" s="609">
        <v>154000000</v>
      </c>
      <c r="U19" s="63">
        <v>20280000</v>
      </c>
      <c r="V19" s="63">
        <v>6760000</v>
      </c>
      <c r="W19" s="2536">
        <v>20</v>
      </c>
      <c r="X19" s="2536" t="s">
        <v>208</v>
      </c>
      <c r="Y19" s="4061">
        <v>19245</v>
      </c>
      <c r="Z19" s="4061">
        <v>0</v>
      </c>
      <c r="AA19" s="4060">
        <v>21667</v>
      </c>
      <c r="AB19" s="4059">
        <v>0</v>
      </c>
      <c r="AC19" s="4059">
        <v>8243</v>
      </c>
      <c r="AD19" s="2696">
        <v>0</v>
      </c>
      <c r="AE19" s="2696">
        <v>38793</v>
      </c>
      <c r="AF19" s="2696">
        <v>0</v>
      </c>
      <c r="AG19" s="4060">
        <v>58189</v>
      </c>
      <c r="AH19" s="4059"/>
      <c r="AI19" s="4059">
        <v>24415</v>
      </c>
      <c r="AJ19" s="2705"/>
      <c r="AK19" s="2705"/>
      <c r="AL19" s="2705"/>
      <c r="AM19" s="2705"/>
      <c r="AN19" s="2705"/>
      <c r="AO19" s="2705"/>
      <c r="AP19" s="2705"/>
      <c r="AQ19" s="2705"/>
      <c r="AR19" s="2705"/>
      <c r="AS19" s="2705"/>
      <c r="AT19" s="2705"/>
      <c r="AU19" s="2705"/>
      <c r="AV19" s="2705"/>
      <c r="AW19" s="2415">
        <v>2</v>
      </c>
      <c r="AX19" s="4065">
        <v>20280000</v>
      </c>
      <c r="AY19" s="4065">
        <v>6760000</v>
      </c>
      <c r="AZ19" s="4067">
        <f>+AY19/AX19</f>
        <v>0.33333333333333331</v>
      </c>
      <c r="BA19" s="3669" t="s">
        <v>208</v>
      </c>
      <c r="BB19" s="2712" t="s">
        <v>595</v>
      </c>
      <c r="BC19" s="2700">
        <v>42745</v>
      </c>
      <c r="BD19" s="2700">
        <v>42760</v>
      </c>
      <c r="BE19" s="2700">
        <v>43100</v>
      </c>
      <c r="BF19" s="2700">
        <v>42940</v>
      </c>
      <c r="BG19" s="4063" t="s">
        <v>596</v>
      </c>
      <c r="BH19" s="40"/>
    </row>
    <row r="20" spans="1:60" ht="74.25" customHeight="1" x14ac:dyDescent="0.2">
      <c r="A20" s="156"/>
      <c r="B20" s="157"/>
      <c r="C20" s="162"/>
      <c r="D20" s="163"/>
      <c r="E20" s="170"/>
      <c r="F20" s="171"/>
      <c r="G20" s="2724"/>
      <c r="H20" s="2694"/>
      <c r="I20" s="2694"/>
      <c r="J20" s="4041"/>
      <c r="K20" s="4043"/>
      <c r="L20" s="4016"/>
      <c r="M20" s="4031"/>
      <c r="N20" s="2428"/>
      <c r="O20" s="2788"/>
      <c r="P20" s="4036"/>
      <c r="Q20" s="2428"/>
      <c r="R20" s="75" t="s">
        <v>612</v>
      </c>
      <c r="S20" s="76" t="s">
        <v>613</v>
      </c>
      <c r="T20" s="63">
        <v>26000000</v>
      </c>
      <c r="U20" s="63">
        <v>0</v>
      </c>
      <c r="V20" s="63">
        <v>0</v>
      </c>
      <c r="W20" s="2536"/>
      <c r="X20" s="2536"/>
      <c r="Y20" s="4062"/>
      <c r="Z20" s="4062"/>
      <c r="AA20" s="4060"/>
      <c r="AB20" s="4059"/>
      <c r="AC20" s="4059"/>
      <c r="AD20" s="2696"/>
      <c r="AE20" s="2696"/>
      <c r="AF20" s="2696"/>
      <c r="AG20" s="4060"/>
      <c r="AH20" s="4059"/>
      <c r="AI20" s="4059"/>
      <c r="AJ20" s="2705"/>
      <c r="AK20" s="2705"/>
      <c r="AL20" s="2705"/>
      <c r="AM20" s="2705"/>
      <c r="AN20" s="2705"/>
      <c r="AO20" s="2705"/>
      <c r="AP20" s="2705"/>
      <c r="AQ20" s="2705"/>
      <c r="AR20" s="2705"/>
      <c r="AS20" s="2705"/>
      <c r="AT20" s="2705"/>
      <c r="AU20" s="2705"/>
      <c r="AV20" s="2705"/>
      <c r="AW20" s="2416"/>
      <c r="AX20" s="4066"/>
      <c r="AY20" s="4066"/>
      <c r="AZ20" s="4068"/>
      <c r="BA20" s="3675"/>
      <c r="BB20" s="3150"/>
      <c r="BC20" s="3691"/>
      <c r="BD20" s="3691"/>
      <c r="BE20" s="3691"/>
      <c r="BF20" s="3691"/>
      <c r="BG20" s="4063"/>
      <c r="BH20" s="40"/>
    </row>
    <row r="21" spans="1:60" ht="33" customHeight="1" x14ac:dyDescent="0.2">
      <c r="A21" s="156"/>
      <c r="B21" s="157"/>
      <c r="C21" s="162"/>
      <c r="D21" s="163"/>
      <c r="E21" s="58">
        <v>59</v>
      </c>
      <c r="F21" s="501" t="s">
        <v>614</v>
      </c>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8"/>
      <c r="AY21" s="78"/>
      <c r="AZ21" s="79"/>
      <c r="BA21" s="80"/>
      <c r="BB21" s="80"/>
      <c r="BC21" s="77"/>
      <c r="BD21" s="77"/>
      <c r="BE21" s="77"/>
      <c r="BF21" s="77"/>
      <c r="BG21" s="81"/>
      <c r="BH21" s="40"/>
    </row>
    <row r="22" spans="1:60" ht="53.25" customHeight="1" x14ac:dyDescent="0.2">
      <c r="A22" s="156"/>
      <c r="B22" s="157"/>
      <c r="C22" s="162"/>
      <c r="D22" s="163"/>
      <c r="E22" s="172"/>
      <c r="F22" s="173"/>
      <c r="G22" s="2535">
        <v>184</v>
      </c>
      <c r="H22" s="2534" t="s">
        <v>615</v>
      </c>
      <c r="I22" s="2595" t="s">
        <v>616</v>
      </c>
      <c r="J22" s="2634">
        <v>1</v>
      </c>
      <c r="K22" s="2525" t="s">
        <v>617</v>
      </c>
      <c r="L22" s="4064" t="s">
        <v>618</v>
      </c>
      <c r="M22" s="4030">
        <v>109</v>
      </c>
      <c r="N22" s="2423" t="s">
        <v>619</v>
      </c>
      <c r="O22" s="2787">
        <v>0.9</v>
      </c>
      <c r="P22" s="4036">
        <v>470000000</v>
      </c>
      <c r="Q22" s="2424" t="s">
        <v>609</v>
      </c>
      <c r="R22" s="2535" t="s">
        <v>620</v>
      </c>
      <c r="S22" s="2534" t="s">
        <v>621</v>
      </c>
      <c r="T22" s="4028">
        <v>123000000</v>
      </c>
      <c r="U22" s="4028">
        <v>43680000</v>
      </c>
      <c r="V22" s="4028">
        <v>11920000</v>
      </c>
      <c r="W22" s="2535">
        <v>20</v>
      </c>
      <c r="X22" s="2535" t="s">
        <v>208</v>
      </c>
      <c r="Y22" s="4057">
        <v>32074</v>
      </c>
      <c r="Z22" s="4056">
        <v>0</v>
      </c>
      <c r="AA22" s="2634">
        <v>36113</v>
      </c>
      <c r="AB22" s="2634">
        <v>493</v>
      </c>
      <c r="AC22" s="2634">
        <v>13738</v>
      </c>
      <c r="AD22" s="2634">
        <v>430</v>
      </c>
      <c r="AE22" s="2662"/>
      <c r="AF22" s="2662"/>
      <c r="AG22" s="2662"/>
      <c r="AH22" s="2662"/>
      <c r="AI22" s="2662"/>
      <c r="AJ22" s="3667"/>
      <c r="AK22" s="3667"/>
      <c r="AL22" s="3667"/>
      <c r="AM22" s="3667"/>
      <c r="AN22" s="3667"/>
      <c r="AO22" s="3667"/>
      <c r="AP22" s="3667"/>
      <c r="AQ22" s="3667"/>
      <c r="AR22" s="3667"/>
      <c r="AS22" s="3667"/>
      <c r="AT22" s="3667"/>
      <c r="AU22" s="3667"/>
      <c r="AV22" s="3667"/>
      <c r="AW22" s="2696">
        <v>3</v>
      </c>
      <c r="AX22" s="4069">
        <v>43680000</v>
      </c>
      <c r="AY22" s="4065">
        <v>11920000</v>
      </c>
      <c r="AZ22" s="4067">
        <f>+AY22/AX22</f>
        <v>0.27289377289377287</v>
      </c>
      <c r="BA22" s="3669" t="s">
        <v>208</v>
      </c>
      <c r="BB22" s="2712" t="s">
        <v>595</v>
      </c>
      <c r="BC22" s="3691">
        <v>42736</v>
      </c>
      <c r="BD22" s="3691">
        <v>42768</v>
      </c>
      <c r="BE22" s="3691">
        <v>43100</v>
      </c>
      <c r="BF22" s="3691">
        <v>42948</v>
      </c>
      <c r="BG22" s="4070" t="s">
        <v>596</v>
      </c>
      <c r="BH22" s="40"/>
    </row>
    <row r="23" spans="1:60" ht="63" customHeight="1" x14ac:dyDescent="0.2">
      <c r="A23" s="156"/>
      <c r="B23" s="157"/>
      <c r="C23" s="162"/>
      <c r="D23" s="163"/>
      <c r="E23" s="172"/>
      <c r="F23" s="173"/>
      <c r="G23" s="2536"/>
      <c r="H23" s="2694"/>
      <c r="I23" s="2603"/>
      <c r="J23" s="2635"/>
      <c r="K23" s="2525"/>
      <c r="L23" s="4016"/>
      <c r="M23" s="4031"/>
      <c r="N23" s="2423"/>
      <c r="O23" s="2788"/>
      <c r="P23" s="4036"/>
      <c r="Q23" s="2428"/>
      <c r="R23" s="2536"/>
      <c r="S23" s="2695"/>
      <c r="T23" s="4029"/>
      <c r="U23" s="4029"/>
      <c r="V23" s="4029"/>
      <c r="W23" s="2536"/>
      <c r="X23" s="2536"/>
      <c r="Y23" s="4057"/>
      <c r="Z23" s="4057"/>
      <c r="AA23" s="2635"/>
      <c r="AB23" s="2635"/>
      <c r="AC23" s="2635"/>
      <c r="AD23" s="2635"/>
      <c r="AE23" s="2663"/>
      <c r="AF23" s="2663"/>
      <c r="AG23" s="2663"/>
      <c r="AH23" s="2663"/>
      <c r="AI23" s="2663"/>
      <c r="AJ23" s="3668"/>
      <c r="AK23" s="3668"/>
      <c r="AL23" s="3668"/>
      <c r="AM23" s="3668"/>
      <c r="AN23" s="3668"/>
      <c r="AO23" s="3668"/>
      <c r="AP23" s="3668"/>
      <c r="AQ23" s="3668"/>
      <c r="AR23" s="3668"/>
      <c r="AS23" s="3668"/>
      <c r="AT23" s="3668"/>
      <c r="AU23" s="3668"/>
      <c r="AV23" s="3668"/>
      <c r="AW23" s="2696"/>
      <c r="AX23" s="4069"/>
      <c r="AY23" s="4066"/>
      <c r="AZ23" s="4068"/>
      <c r="BA23" s="3675"/>
      <c r="BB23" s="3150"/>
      <c r="BC23" s="3691"/>
      <c r="BD23" s="3691"/>
      <c r="BE23" s="3691"/>
      <c r="BF23" s="3691"/>
      <c r="BG23" s="4070"/>
      <c r="BH23" s="40"/>
    </row>
    <row r="24" spans="1:60" ht="59.25" customHeight="1" x14ac:dyDescent="0.2">
      <c r="A24" s="156"/>
      <c r="B24" s="157"/>
      <c r="C24" s="162"/>
      <c r="D24" s="163"/>
      <c r="E24" s="172"/>
      <c r="F24" s="173"/>
      <c r="G24" s="2536"/>
      <c r="H24" s="2694"/>
      <c r="I24" s="2603"/>
      <c r="J24" s="2635"/>
      <c r="K24" s="2525"/>
      <c r="L24" s="4016"/>
      <c r="M24" s="4031"/>
      <c r="N24" s="2423"/>
      <c r="O24" s="2788"/>
      <c r="P24" s="4036"/>
      <c r="Q24" s="2428"/>
      <c r="R24" s="2664"/>
      <c r="S24" s="62" t="s">
        <v>622</v>
      </c>
      <c r="T24" s="63">
        <f>2000000+300000000</f>
        <v>302000000</v>
      </c>
      <c r="U24" s="63">
        <v>0</v>
      </c>
      <c r="V24" s="63">
        <v>0</v>
      </c>
      <c r="W24" s="2536"/>
      <c r="X24" s="2536"/>
      <c r="Y24" s="4057"/>
      <c r="Z24" s="4057"/>
      <c r="AA24" s="2635"/>
      <c r="AB24" s="2635"/>
      <c r="AC24" s="2635"/>
      <c r="AD24" s="2635"/>
      <c r="AE24" s="2663"/>
      <c r="AF24" s="2663"/>
      <c r="AG24" s="2663"/>
      <c r="AH24" s="2663"/>
      <c r="AI24" s="2663"/>
      <c r="AJ24" s="3668"/>
      <c r="AK24" s="3668"/>
      <c r="AL24" s="3668"/>
      <c r="AM24" s="3668"/>
      <c r="AN24" s="3668"/>
      <c r="AO24" s="3668"/>
      <c r="AP24" s="3668"/>
      <c r="AQ24" s="3668"/>
      <c r="AR24" s="3668"/>
      <c r="AS24" s="3668"/>
      <c r="AT24" s="3668"/>
      <c r="AU24" s="3668"/>
      <c r="AV24" s="3668"/>
      <c r="AW24" s="2696"/>
      <c r="AX24" s="4069"/>
      <c r="AY24" s="4066"/>
      <c r="AZ24" s="4068"/>
      <c r="BA24" s="3675"/>
      <c r="BB24" s="3150"/>
      <c r="BC24" s="3691"/>
      <c r="BD24" s="3691"/>
      <c r="BE24" s="3691"/>
      <c r="BF24" s="3691"/>
      <c r="BG24" s="4070"/>
      <c r="BH24" s="40"/>
    </row>
    <row r="25" spans="1:60" ht="76.5" customHeight="1" x14ac:dyDescent="0.2">
      <c r="A25" s="156"/>
      <c r="B25" s="157"/>
      <c r="C25" s="162"/>
      <c r="D25" s="163"/>
      <c r="E25" s="172"/>
      <c r="F25" s="173"/>
      <c r="G25" s="597">
        <v>185</v>
      </c>
      <c r="H25" s="62" t="s">
        <v>623</v>
      </c>
      <c r="I25" s="595" t="s">
        <v>624</v>
      </c>
      <c r="J25" s="602">
        <v>1</v>
      </c>
      <c r="K25" s="602">
        <v>0</v>
      </c>
      <c r="L25" s="4016"/>
      <c r="M25" s="4031"/>
      <c r="N25" s="2423"/>
      <c r="O25" s="594">
        <v>0.04</v>
      </c>
      <c r="P25" s="4036"/>
      <c r="Q25" s="2428"/>
      <c r="R25" s="574" t="s">
        <v>625</v>
      </c>
      <c r="S25" s="62" t="s">
        <v>623</v>
      </c>
      <c r="T25" s="63">
        <v>16500000</v>
      </c>
      <c r="U25" s="63">
        <v>0</v>
      </c>
      <c r="V25" s="63">
        <v>0</v>
      </c>
      <c r="W25" s="2536"/>
      <c r="X25" s="2536"/>
      <c r="Y25" s="4057"/>
      <c r="Z25" s="4057"/>
      <c r="AA25" s="2635"/>
      <c r="AB25" s="2635"/>
      <c r="AC25" s="2635"/>
      <c r="AD25" s="2635"/>
      <c r="AE25" s="2663"/>
      <c r="AF25" s="2663"/>
      <c r="AG25" s="2663"/>
      <c r="AH25" s="2663"/>
      <c r="AI25" s="2663"/>
      <c r="AJ25" s="3668"/>
      <c r="AK25" s="3668"/>
      <c r="AL25" s="3668"/>
      <c r="AM25" s="3668"/>
      <c r="AN25" s="3668"/>
      <c r="AO25" s="3668"/>
      <c r="AP25" s="3668"/>
      <c r="AQ25" s="3668"/>
      <c r="AR25" s="3668"/>
      <c r="AS25" s="3668"/>
      <c r="AT25" s="3668"/>
      <c r="AU25" s="3668"/>
      <c r="AV25" s="3668"/>
      <c r="AW25" s="577">
        <v>0</v>
      </c>
      <c r="AX25" s="607">
        <v>0</v>
      </c>
      <c r="AY25" s="607">
        <v>0</v>
      </c>
      <c r="AZ25" s="4068"/>
      <c r="BA25" s="3675"/>
      <c r="BB25" s="3150"/>
      <c r="BC25" s="3691"/>
      <c r="BD25" s="3691"/>
      <c r="BE25" s="3691"/>
      <c r="BF25" s="3691"/>
      <c r="BG25" s="4070"/>
      <c r="BH25" s="40"/>
    </row>
    <row r="26" spans="1:60" ht="123" customHeight="1" x14ac:dyDescent="0.2">
      <c r="A26" s="156"/>
      <c r="B26" s="157"/>
      <c r="C26" s="162"/>
      <c r="D26" s="163"/>
      <c r="E26" s="172"/>
      <c r="F26" s="173"/>
      <c r="G26" s="65">
        <v>186</v>
      </c>
      <c r="H26" s="571" t="s">
        <v>626</v>
      </c>
      <c r="I26" s="578" t="s">
        <v>627</v>
      </c>
      <c r="J26" s="593">
        <v>1</v>
      </c>
      <c r="K26" s="602">
        <v>0</v>
      </c>
      <c r="L26" s="4016"/>
      <c r="M26" s="4031"/>
      <c r="N26" s="2423"/>
      <c r="O26" s="594">
        <v>0.06</v>
      </c>
      <c r="P26" s="4036"/>
      <c r="Q26" s="2428"/>
      <c r="R26" s="568" t="s">
        <v>628</v>
      </c>
      <c r="S26" s="82" t="s">
        <v>629</v>
      </c>
      <c r="T26" s="63">
        <v>28500000</v>
      </c>
      <c r="U26" s="63">
        <v>0</v>
      </c>
      <c r="V26" s="63">
        <v>0</v>
      </c>
      <c r="W26" s="2536"/>
      <c r="X26" s="2536"/>
      <c r="Y26" s="4058"/>
      <c r="Z26" s="4058"/>
      <c r="AA26" s="2636"/>
      <c r="AB26" s="2636"/>
      <c r="AC26" s="2636"/>
      <c r="AD26" s="2635"/>
      <c r="AE26" s="2663"/>
      <c r="AF26" s="2663"/>
      <c r="AG26" s="2663"/>
      <c r="AH26" s="2663"/>
      <c r="AI26" s="2663"/>
      <c r="AJ26" s="3668"/>
      <c r="AK26" s="3668"/>
      <c r="AL26" s="3668"/>
      <c r="AM26" s="3668"/>
      <c r="AN26" s="3668"/>
      <c r="AO26" s="3668"/>
      <c r="AP26" s="3668"/>
      <c r="AQ26" s="3668"/>
      <c r="AR26" s="3668"/>
      <c r="AS26" s="3668"/>
      <c r="AT26" s="3668"/>
      <c r="AU26" s="3668"/>
      <c r="AV26" s="3668"/>
      <c r="AW26" s="577">
        <v>0</v>
      </c>
      <c r="AX26" s="607">
        <v>0</v>
      </c>
      <c r="AY26" s="607">
        <v>0</v>
      </c>
      <c r="AZ26" s="4071"/>
      <c r="BA26" s="3670"/>
      <c r="BB26" s="2713"/>
      <c r="BC26" s="2696"/>
      <c r="BD26" s="2696"/>
      <c r="BE26" s="2696"/>
      <c r="BF26" s="2696"/>
      <c r="BG26" s="4070"/>
      <c r="BH26" s="40"/>
    </row>
    <row r="27" spans="1:60" ht="37.5" customHeight="1" x14ac:dyDescent="0.2">
      <c r="A27" s="156"/>
      <c r="B27" s="157"/>
      <c r="C27" s="162"/>
      <c r="D27" s="163"/>
      <c r="E27" s="58">
        <v>60</v>
      </c>
      <c r="F27" s="501" t="s">
        <v>630</v>
      </c>
      <c r="G27" s="501"/>
      <c r="H27" s="501"/>
      <c r="I27" s="501"/>
      <c r="J27" s="501"/>
      <c r="K27" s="501"/>
      <c r="L27" s="501"/>
      <c r="M27" s="501"/>
      <c r="N27" s="501"/>
      <c r="O27" s="501"/>
      <c r="P27" s="501"/>
      <c r="Q27" s="501"/>
      <c r="R27" s="501"/>
      <c r="S27" s="501"/>
      <c r="T27" s="501"/>
      <c r="U27" s="1622"/>
      <c r="V27" s="1622"/>
      <c r="W27" s="501"/>
      <c r="X27" s="501"/>
      <c r="Y27" s="501"/>
      <c r="Z27" s="501"/>
      <c r="AA27" s="501"/>
      <c r="AB27" s="501"/>
      <c r="AC27" s="501"/>
      <c r="AD27" s="501"/>
      <c r="AE27" s="501"/>
      <c r="AF27" s="501"/>
      <c r="AG27" s="501"/>
      <c r="AH27" s="501"/>
      <c r="AI27" s="501"/>
      <c r="AJ27" s="501"/>
      <c r="AK27" s="501"/>
      <c r="AL27" s="501"/>
      <c r="AM27" s="501"/>
      <c r="AN27" s="501"/>
      <c r="AO27" s="501"/>
      <c r="AP27" s="501"/>
      <c r="AQ27" s="501"/>
      <c r="AR27" s="501"/>
      <c r="AS27" s="501"/>
      <c r="AT27" s="501"/>
      <c r="AU27" s="501"/>
      <c r="AV27" s="501"/>
      <c r="AW27" s="501"/>
      <c r="AX27" s="59"/>
      <c r="AY27" s="59"/>
      <c r="AZ27" s="60"/>
      <c r="BA27" s="73"/>
      <c r="BB27" s="73"/>
      <c r="BC27" s="501"/>
      <c r="BD27" s="501"/>
      <c r="BE27" s="501"/>
      <c r="BF27" s="501"/>
      <c r="BG27" s="83"/>
      <c r="BH27" s="40"/>
    </row>
    <row r="28" spans="1:60" ht="92.25" customHeight="1" x14ac:dyDescent="0.2">
      <c r="A28" s="156"/>
      <c r="B28" s="157"/>
      <c r="C28" s="162"/>
      <c r="D28" s="163"/>
      <c r="E28" s="168"/>
      <c r="F28" s="169"/>
      <c r="G28" s="589">
        <v>187</v>
      </c>
      <c r="H28" s="579" t="s">
        <v>631</v>
      </c>
      <c r="I28" s="579" t="s">
        <v>632</v>
      </c>
      <c r="J28" s="606">
        <v>1</v>
      </c>
      <c r="K28" s="602" t="s">
        <v>633</v>
      </c>
      <c r="L28" s="4016" t="s">
        <v>634</v>
      </c>
      <c r="M28" s="4031">
        <v>110</v>
      </c>
      <c r="N28" s="2428" t="s">
        <v>635</v>
      </c>
      <c r="O28" s="592">
        <v>0.1521875</v>
      </c>
      <c r="P28" s="2523">
        <v>160000000</v>
      </c>
      <c r="Q28" s="2428" t="s">
        <v>609</v>
      </c>
      <c r="R28" s="84" t="s">
        <v>636</v>
      </c>
      <c r="S28" s="579" t="s">
        <v>637</v>
      </c>
      <c r="T28" s="85">
        <v>24350000</v>
      </c>
      <c r="U28" s="85">
        <v>12000000</v>
      </c>
      <c r="V28" s="86">
        <v>2000000</v>
      </c>
      <c r="W28" s="2536">
        <v>20</v>
      </c>
      <c r="X28" s="2536" t="s">
        <v>208</v>
      </c>
      <c r="Y28" s="2416"/>
      <c r="Z28" s="2634"/>
      <c r="AA28" s="2635"/>
      <c r="AB28" s="2634"/>
      <c r="AC28" s="2635">
        <v>27447</v>
      </c>
      <c r="AD28" s="2634">
        <v>220</v>
      </c>
      <c r="AE28" s="2635">
        <v>86600</v>
      </c>
      <c r="AF28" s="2634">
        <v>80</v>
      </c>
      <c r="AG28" s="2663"/>
      <c r="AH28" s="2662"/>
      <c r="AI28" s="2663"/>
      <c r="AJ28" s="2662"/>
      <c r="AK28" s="2635">
        <v>170</v>
      </c>
      <c r="AL28" s="2634"/>
      <c r="AM28" s="2635">
        <v>103</v>
      </c>
      <c r="AN28" s="2634"/>
      <c r="AO28" s="2663"/>
      <c r="AP28" s="3667"/>
      <c r="AQ28" s="3668"/>
      <c r="AR28" s="3667"/>
      <c r="AS28" s="3668"/>
      <c r="AT28" s="3667"/>
      <c r="AU28" s="3668"/>
      <c r="AV28" s="3667"/>
      <c r="AW28" s="577">
        <v>1</v>
      </c>
      <c r="AX28" s="87">
        <v>12000000</v>
      </c>
      <c r="AY28" s="87">
        <v>2000000</v>
      </c>
      <c r="AZ28" s="4067">
        <f>+(AY30+AY28)/(AX28+AX30)</f>
        <v>0.16666666666666666</v>
      </c>
      <c r="BA28" s="2712" t="s">
        <v>208</v>
      </c>
      <c r="BB28" s="2712" t="s">
        <v>638</v>
      </c>
      <c r="BC28" s="2700">
        <v>42736</v>
      </c>
      <c r="BD28" s="3530">
        <v>42768</v>
      </c>
      <c r="BE28" s="2700">
        <v>43100</v>
      </c>
      <c r="BF28" s="3530">
        <v>42948</v>
      </c>
      <c r="BG28" s="4039" t="s">
        <v>596</v>
      </c>
      <c r="BH28" s="40"/>
    </row>
    <row r="29" spans="1:60" ht="105" customHeight="1" x14ac:dyDescent="0.2">
      <c r="A29" s="156"/>
      <c r="B29" s="157"/>
      <c r="C29" s="162"/>
      <c r="D29" s="163"/>
      <c r="E29" s="170"/>
      <c r="F29" s="171"/>
      <c r="G29" s="580">
        <v>188</v>
      </c>
      <c r="H29" s="595" t="s">
        <v>639</v>
      </c>
      <c r="I29" s="595" t="s">
        <v>640</v>
      </c>
      <c r="J29" s="593">
        <v>2</v>
      </c>
      <c r="K29" s="602">
        <v>0</v>
      </c>
      <c r="L29" s="4016"/>
      <c r="M29" s="4031"/>
      <c r="N29" s="2428"/>
      <c r="O29" s="592">
        <v>0.1978125</v>
      </c>
      <c r="P29" s="4036"/>
      <c r="Q29" s="2428"/>
      <c r="R29" s="88" t="s">
        <v>639</v>
      </c>
      <c r="S29" s="595" t="s">
        <v>641</v>
      </c>
      <c r="T29" s="85">
        <v>31650000</v>
      </c>
      <c r="U29" s="85">
        <v>0</v>
      </c>
      <c r="V29" s="86">
        <v>0</v>
      </c>
      <c r="W29" s="2536"/>
      <c r="X29" s="2536"/>
      <c r="Y29" s="2416"/>
      <c r="Z29" s="2635"/>
      <c r="AA29" s="2635"/>
      <c r="AB29" s="2635"/>
      <c r="AC29" s="2635"/>
      <c r="AD29" s="2635"/>
      <c r="AE29" s="2635"/>
      <c r="AF29" s="2635"/>
      <c r="AG29" s="2663"/>
      <c r="AH29" s="2663"/>
      <c r="AI29" s="2663"/>
      <c r="AJ29" s="2663"/>
      <c r="AK29" s="2635"/>
      <c r="AL29" s="2635"/>
      <c r="AM29" s="2635"/>
      <c r="AN29" s="2635"/>
      <c r="AO29" s="2663"/>
      <c r="AP29" s="3668"/>
      <c r="AQ29" s="3668"/>
      <c r="AR29" s="3668"/>
      <c r="AS29" s="3668"/>
      <c r="AT29" s="3668"/>
      <c r="AU29" s="3668"/>
      <c r="AV29" s="3668"/>
      <c r="AW29" s="577">
        <v>0</v>
      </c>
      <c r="AX29" s="607">
        <v>0</v>
      </c>
      <c r="AY29" s="607">
        <v>0</v>
      </c>
      <c r="AZ29" s="4068"/>
      <c r="BA29" s="3150"/>
      <c r="BB29" s="3150"/>
      <c r="BC29" s="2696"/>
      <c r="BD29" s="2525"/>
      <c r="BE29" s="2696"/>
      <c r="BF29" s="2525"/>
      <c r="BG29" s="4070"/>
      <c r="BH29" s="40"/>
    </row>
    <row r="30" spans="1:60" ht="74.25" customHeight="1" x14ac:dyDescent="0.2">
      <c r="A30" s="156"/>
      <c r="B30" s="157"/>
      <c r="C30" s="162"/>
      <c r="D30" s="163"/>
      <c r="E30" s="170"/>
      <c r="F30" s="171"/>
      <c r="G30" s="2595">
        <v>189</v>
      </c>
      <c r="H30" s="2424" t="s">
        <v>642</v>
      </c>
      <c r="I30" s="2424" t="s">
        <v>643</v>
      </c>
      <c r="J30" s="2634">
        <v>1</v>
      </c>
      <c r="K30" s="2634" t="s">
        <v>644</v>
      </c>
      <c r="L30" s="4016"/>
      <c r="M30" s="4031"/>
      <c r="N30" s="2428"/>
      <c r="O30" s="2788">
        <v>0.65</v>
      </c>
      <c r="P30" s="4036"/>
      <c r="Q30" s="2428"/>
      <c r="R30" s="2534" t="s">
        <v>642</v>
      </c>
      <c r="S30" s="89" t="s">
        <v>645</v>
      </c>
      <c r="T30" s="85">
        <f>25000000+60000000</f>
        <v>85000000</v>
      </c>
      <c r="U30" s="85">
        <v>0</v>
      </c>
      <c r="V30" s="86">
        <v>0</v>
      </c>
      <c r="W30" s="2536"/>
      <c r="X30" s="2536"/>
      <c r="Y30" s="2416"/>
      <c r="Z30" s="2635"/>
      <c r="AA30" s="2635"/>
      <c r="AB30" s="2635"/>
      <c r="AC30" s="2635"/>
      <c r="AD30" s="2635"/>
      <c r="AE30" s="2635"/>
      <c r="AF30" s="2635"/>
      <c r="AG30" s="2663"/>
      <c r="AH30" s="2663"/>
      <c r="AI30" s="2663"/>
      <c r="AJ30" s="2663"/>
      <c r="AK30" s="2635"/>
      <c r="AL30" s="2635"/>
      <c r="AM30" s="2635"/>
      <c r="AN30" s="2635"/>
      <c r="AO30" s="2663"/>
      <c r="AP30" s="3668"/>
      <c r="AQ30" s="3668"/>
      <c r="AR30" s="3668"/>
      <c r="AS30" s="3668"/>
      <c r="AT30" s="3668"/>
      <c r="AU30" s="3668"/>
      <c r="AV30" s="3668"/>
      <c r="AW30" s="2696">
        <v>1</v>
      </c>
      <c r="AX30" s="4072">
        <v>15840000</v>
      </c>
      <c r="AY30" s="4072">
        <v>2640000</v>
      </c>
      <c r="AZ30" s="4068"/>
      <c r="BA30" s="3150"/>
      <c r="BB30" s="3150"/>
      <c r="BC30" s="2696"/>
      <c r="BD30" s="2525"/>
      <c r="BE30" s="2696"/>
      <c r="BF30" s="2525"/>
      <c r="BG30" s="4070"/>
      <c r="BH30" s="40"/>
    </row>
    <row r="31" spans="1:60" ht="92.25" customHeight="1" x14ac:dyDescent="0.2">
      <c r="A31" s="156"/>
      <c r="B31" s="157"/>
      <c r="C31" s="162"/>
      <c r="D31" s="163"/>
      <c r="E31" s="174"/>
      <c r="F31" s="175"/>
      <c r="G31" s="2596"/>
      <c r="H31" s="2429"/>
      <c r="I31" s="2429"/>
      <c r="J31" s="2636"/>
      <c r="K31" s="2636"/>
      <c r="L31" s="4016"/>
      <c r="M31" s="4031"/>
      <c r="N31" s="2428"/>
      <c r="O31" s="2789"/>
      <c r="P31" s="4036"/>
      <c r="Q31" s="2428"/>
      <c r="R31" s="2695"/>
      <c r="S31" s="595" t="s">
        <v>646</v>
      </c>
      <c r="T31" s="85">
        <v>19000000</v>
      </c>
      <c r="U31" s="85">
        <v>15840000</v>
      </c>
      <c r="V31" s="86">
        <v>2640000</v>
      </c>
      <c r="W31" s="2536"/>
      <c r="X31" s="2536"/>
      <c r="Y31" s="2416"/>
      <c r="Z31" s="2635"/>
      <c r="AA31" s="2635"/>
      <c r="AB31" s="2635"/>
      <c r="AC31" s="2635"/>
      <c r="AD31" s="2635"/>
      <c r="AE31" s="2635"/>
      <c r="AF31" s="2635"/>
      <c r="AG31" s="2663"/>
      <c r="AH31" s="2663"/>
      <c r="AI31" s="2663"/>
      <c r="AJ31" s="2663"/>
      <c r="AK31" s="2635"/>
      <c r="AL31" s="2635"/>
      <c r="AM31" s="2635"/>
      <c r="AN31" s="2635"/>
      <c r="AO31" s="2663"/>
      <c r="AP31" s="3668"/>
      <c r="AQ31" s="3668"/>
      <c r="AR31" s="3668"/>
      <c r="AS31" s="3668"/>
      <c r="AT31" s="3668"/>
      <c r="AU31" s="3668"/>
      <c r="AV31" s="3668"/>
      <c r="AW31" s="2696"/>
      <c r="AX31" s="4073"/>
      <c r="AY31" s="4073"/>
      <c r="AZ31" s="4071"/>
      <c r="BA31" s="2713"/>
      <c r="BB31" s="2713"/>
      <c r="BC31" s="2696"/>
      <c r="BD31" s="2525"/>
      <c r="BE31" s="2696"/>
      <c r="BF31" s="2525"/>
      <c r="BG31" s="4070"/>
      <c r="BH31" s="40"/>
    </row>
    <row r="32" spans="1:60" ht="34.5" customHeight="1" x14ac:dyDescent="0.2">
      <c r="A32" s="156"/>
      <c r="B32" s="157"/>
      <c r="C32" s="162"/>
      <c r="D32" s="163"/>
      <c r="E32" s="58">
        <v>61</v>
      </c>
      <c r="F32" s="501" t="s">
        <v>647</v>
      </c>
      <c r="G32" s="501"/>
      <c r="H32" s="501"/>
      <c r="I32" s="501"/>
      <c r="J32" s="501"/>
      <c r="K32" s="501"/>
      <c r="L32" s="501"/>
      <c r="M32" s="501"/>
      <c r="N32" s="501"/>
      <c r="O32" s="501"/>
      <c r="P32" s="501"/>
      <c r="Q32" s="501"/>
      <c r="R32" s="501"/>
      <c r="S32" s="501"/>
      <c r="T32" s="501"/>
      <c r="U32" s="501"/>
      <c r="V32" s="501"/>
      <c r="W32" s="501"/>
      <c r="X32" s="501"/>
      <c r="Y32" s="501"/>
      <c r="Z32" s="90"/>
      <c r="AA32" s="501"/>
      <c r="AB32" s="501"/>
      <c r="AC32" s="501"/>
      <c r="AD32" s="501"/>
      <c r="AE32" s="501"/>
      <c r="AF32" s="501"/>
      <c r="AG32" s="501"/>
      <c r="AH32" s="501"/>
      <c r="AI32" s="501"/>
      <c r="AJ32" s="501"/>
      <c r="AK32" s="501"/>
      <c r="AL32" s="501"/>
      <c r="AM32" s="501"/>
      <c r="AN32" s="501"/>
      <c r="AO32" s="501"/>
      <c r="AP32" s="501"/>
      <c r="AQ32" s="501"/>
      <c r="AR32" s="501"/>
      <c r="AS32" s="501"/>
      <c r="AT32" s="501"/>
      <c r="AU32" s="501"/>
      <c r="AV32" s="501"/>
      <c r="AW32" s="501"/>
      <c r="AX32" s="59"/>
      <c r="AY32" s="59"/>
      <c r="AZ32" s="60"/>
      <c r="BA32" s="73"/>
      <c r="BB32" s="73"/>
      <c r="BC32" s="501"/>
      <c r="BD32" s="501"/>
      <c r="BE32" s="501"/>
      <c r="BF32" s="501"/>
      <c r="BG32" s="91"/>
      <c r="BH32" s="40"/>
    </row>
    <row r="33" spans="1:60" ht="38.25" customHeight="1" x14ac:dyDescent="0.2">
      <c r="A33" s="156"/>
      <c r="B33" s="157"/>
      <c r="C33" s="162"/>
      <c r="D33" s="163"/>
      <c r="E33" s="160"/>
      <c r="F33" s="161"/>
      <c r="G33" s="2535">
        <v>190</v>
      </c>
      <c r="H33" s="2534" t="s">
        <v>648</v>
      </c>
      <c r="I33" s="2534" t="s">
        <v>649</v>
      </c>
      <c r="J33" s="4076">
        <v>1</v>
      </c>
      <c r="K33" s="4076" t="s">
        <v>650</v>
      </c>
      <c r="L33" s="4064" t="s">
        <v>651</v>
      </c>
      <c r="M33" s="4030">
        <v>114</v>
      </c>
      <c r="N33" s="2424" t="s">
        <v>652</v>
      </c>
      <c r="O33" s="2787">
        <v>1</v>
      </c>
      <c r="P33" s="2521">
        <v>190000000</v>
      </c>
      <c r="Q33" s="4074" t="s">
        <v>609</v>
      </c>
      <c r="R33" s="2420" t="s">
        <v>653</v>
      </c>
      <c r="S33" s="92" t="s">
        <v>654</v>
      </c>
      <c r="T33" s="93">
        <v>17000000</v>
      </c>
      <c r="U33" s="63">
        <v>0</v>
      </c>
      <c r="V33" s="63">
        <v>0</v>
      </c>
      <c r="W33" s="2535">
        <v>20</v>
      </c>
      <c r="X33" s="2595" t="s">
        <v>208</v>
      </c>
      <c r="Y33" s="4078">
        <v>137</v>
      </c>
      <c r="Z33" s="4078"/>
      <c r="AA33" s="4078">
        <v>1365</v>
      </c>
      <c r="AB33" s="4078">
        <v>60</v>
      </c>
      <c r="AC33" s="4078">
        <v>2122</v>
      </c>
      <c r="AD33" s="4078">
        <v>50</v>
      </c>
      <c r="AE33" s="4078">
        <v>5382</v>
      </c>
      <c r="AF33" s="4078">
        <v>40</v>
      </c>
      <c r="AG33" s="4078">
        <v>7891</v>
      </c>
      <c r="AH33" s="4078">
        <v>170</v>
      </c>
      <c r="AI33" s="2541"/>
      <c r="AJ33" s="2541"/>
      <c r="AK33" s="2634">
        <v>6</v>
      </c>
      <c r="AL33" s="2634"/>
      <c r="AM33" s="2634">
        <v>7</v>
      </c>
      <c r="AN33" s="2634"/>
      <c r="AO33" s="2634"/>
      <c r="AP33" s="2634"/>
      <c r="AQ33" s="2634"/>
      <c r="AR33" s="2634"/>
      <c r="AS33" s="2634">
        <v>16910</v>
      </c>
      <c r="AT33" s="2634">
        <v>320</v>
      </c>
      <c r="AU33" s="2634"/>
      <c r="AV33" s="2634"/>
      <c r="AW33" s="2525">
        <v>7</v>
      </c>
      <c r="AX33" s="4085">
        <v>87420000</v>
      </c>
      <c r="AY33" s="4085">
        <v>19850000</v>
      </c>
      <c r="AZ33" s="2529">
        <f>+AY33/AX33</f>
        <v>0.22706474490963166</v>
      </c>
      <c r="BA33" s="2524" t="s">
        <v>208</v>
      </c>
      <c r="BB33" s="2679" t="s">
        <v>655</v>
      </c>
      <c r="BC33" s="2699">
        <v>42736</v>
      </c>
      <c r="BD33" s="3691">
        <v>42759</v>
      </c>
      <c r="BE33" s="4083">
        <v>43100</v>
      </c>
      <c r="BF33" s="3691">
        <v>42939</v>
      </c>
      <c r="BG33" s="4063" t="s">
        <v>596</v>
      </c>
      <c r="BH33" s="40"/>
    </row>
    <row r="34" spans="1:60" ht="63" customHeight="1" x14ac:dyDescent="0.2">
      <c r="A34" s="156"/>
      <c r="B34" s="157"/>
      <c r="C34" s="162"/>
      <c r="D34" s="163"/>
      <c r="E34" s="162"/>
      <c r="F34" s="163"/>
      <c r="G34" s="2536"/>
      <c r="H34" s="2694"/>
      <c r="I34" s="2694"/>
      <c r="J34" s="4077"/>
      <c r="K34" s="4077"/>
      <c r="L34" s="4016"/>
      <c r="M34" s="4031"/>
      <c r="N34" s="2428"/>
      <c r="O34" s="2788"/>
      <c r="P34" s="2522"/>
      <c r="Q34" s="4075"/>
      <c r="R34" s="2420"/>
      <c r="S34" s="595" t="s">
        <v>656</v>
      </c>
      <c r="T34" s="93">
        <v>49000000</v>
      </c>
      <c r="U34" s="63">
        <v>15840000</v>
      </c>
      <c r="V34" s="63">
        <v>2640000</v>
      </c>
      <c r="W34" s="2536"/>
      <c r="X34" s="2603"/>
      <c r="Y34" s="4079"/>
      <c r="Z34" s="4079"/>
      <c r="AA34" s="4079"/>
      <c r="AB34" s="4079"/>
      <c r="AC34" s="4079"/>
      <c r="AD34" s="4079"/>
      <c r="AE34" s="4079"/>
      <c r="AF34" s="4079"/>
      <c r="AG34" s="4079"/>
      <c r="AH34" s="4079"/>
      <c r="AI34" s="2542"/>
      <c r="AJ34" s="2542"/>
      <c r="AK34" s="2635"/>
      <c r="AL34" s="2635"/>
      <c r="AM34" s="2635"/>
      <c r="AN34" s="2635"/>
      <c r="AO34" s="2635"/>
      <c r="AP34" s="2635"/>
      <c r="AQ34" s="2635"/>
      <c r="AR34" s="2635"/>
      <c r="AS34" s="2635"/>
      <c r="AT34" s="2635"/>
      <c r="AU34" s="2635"/>
      <c r="AV34" s="2635"/>
      <c r="AW34" s="2525"/>
      <c r="AX34" s="4085"/>
      <c r="AY34" s="4085"/>
      <c r="AZ34" s="2529"/>
      <c r="BA34" s="2524"/>
      <c r="BB34" s="2679"/>
      <c r="BC34" s="4082"/>
      <c r="BD34" s="3691"/>
      <c r="BE34" s="4084"/>
      <c r="BF34" s="3691"/>
      <c r="BG34" s="4063"/>
      <c r="BH34" s="40"/>
    </row>
    <row r="35" spans="1:60" ht="63" customHeight="1" x14ac:dyDescent="0.2">
      <c r="A35" s="156"/>
      <c r="B35" s="157"/>
      <c r="C35" s="162"/>
      <c r="D35" s="163"/>
      <c r="E35" s="162"/>
      <c r="F35" s="163"/>
      <c r="G35" s="2536"/>
      <c r="H35" s="2694"/>
      <c r="I35" s="2694"/>
      <c r="J35" s="4077"/>
      <c r="K35" s="4077"/>
      <c r="L35" s="4016"/>
      <c r="M35" s="4031"/>
      <c r="N35" s="2428"/>
      <c r="O35" s="2788"/>
      <c r="P35" s="2522"/>
      <c r="Q35" s="4075"/>
      <c r="R35" s="2420"/>
      <c r="S35" s="595" t="s">
        <v>657</v>
      </c>
      <c r="T35" s="93">
        <v>5000000</v>
      </c>
      <c r="U35" s="63">
        <v>0</v>
      </c>
      <c r="V35" s="63">
        <v>0</v>
      </c>
      <c r="W35" s="2536"/>
      <c r="X35" s="2603"/>
      <c r="Y35" s="4079"/>
      <c r="Z35" s="4079"/>
      <c r="AA35" s="4079"/>
      <c r="AB35" s="4079"/>
      <c r="AC35" s="4079"/>
      <c r="AD35" s="4079"/>
      <c r="AE35" s="4079"/>
      <c r="AF35" s="4079"/>
      <c r="AG35" s="4079"/>
      <c r="AH35" s="4079"/>
      <c r="AI35" s="2542"/>
      <c r="AJ35" s="2542"/>
      <c r="AK35" s="2635"/>
      <c r="AL35" s="2635"/>
      <c r="AM35" s="2635"/>
      <c r="AN35" s="2635"/>
      <c r="AO35" s="2635"/>
      <c r="AP35" s="2635"/>
      <c r="AQ35" s="2635"/>
      <c r="AR35" s="2635"/>
      <c r="AS35" s="2635"/>
      <c r="AT35" s="2635"/>
      <c r="AU35" s="2635"/>
      <c r="AV35" s="2635"/>
      <c r="AW35" s="2525"/>
      <c r="AX35" s="4085"/>
      <c r="AY35" s="4085"/>
      <c r="AZ35" s="2529"/>
      <c r="BA35" s="2524"/>
      <c r="BB35" s="2679"/>
      <c r="BC35" s="4082"/>
      <c r="BD35" s="3691"/>
      <c r="BE35" s="4084"/>
      <c r="BF35" s="3691"/>
      <c r="BG35" s="4063"/>
      <c r="BH35" s="40"/>
    </row>
    <row r="36" spans="1:60" ht="48.75" customHeight="1" x14ac:dyDescent="0.2">
      <c r="A36" s="156"/>
      <c r="B36" s="157"/>
      <c r="C36" s="162"/>
      <c r="D36" s="163"/>
      <c r="E36" s="162"/>
      <c r="F36" s="163"/>
      <c r="G36" s="2536"/>
      <c r="H36" s="2694"/>
      <c r="I36" s="2694"/>
      <c r="J36" s="4077"/>
      <c r="K36" s="4077"/>
      <c r="L36" s="4016"/>
      <c r="M36" s="4031"/>
      <c r="N36" s="2428"/>
      <c r="O36" s="2788"/>
      <c r="P36" s="2522"/>
      <c r="Q36" s="4075"/>
      <c r="R36" s="2420" t="s">
        <v>658</v>
      </c>
      <c r="S36" s="579" t="s">
        <v>659</v>
      </c>
      <c r="T36" s="94">
        <v>65000000</v>
      </c>
      <c r="U36" s="63">
        <v>59580000</v>
      </c>
      <c r="V36" s="63">
        <v>15210000</v>
      </c>
      <c r="W36" s="2536"/>
      <c r="X36" s="2603"/>
      <c r="Y36" s="4079"/>
      <c r="Z36" s="4079"/>
      <c r="AA36" s="4079"/>
      <c r="AB36" s="4079"/>
      <c r="AC36" s="4079"/>
      <c r="AD36" s="4079"/>
      <c r="AE36" s="4079"/>
      <c r="AF36" s="4079"/>
      <c r="AG36" s="4079"/>
      <c r="AH36" s="4079"/>
      <c r="AI36" s="2542"/>
      <c r="AJ36" s="2542"/>
      <c r="AK36" s="2635"/>
      <c r="AL36" s="2635"/>
      <c r="AM36" s="2635"/>
      <c r="AN36" s="2635"/>
      <c r="AO36" s="2635"/>
      <c r="AP36" s="2635"/>
      <c r="AQ36" s="2635"/>
      <c r="AR36" s="2635"/>
      <c r="AS36" s="2635"/>
      <c r="AT36" s="2635"/>
      <c r="AU36" s="2635"/>
      <c r="AV36" s="2635"/>
      <c r="AW36" s="2525"/>
      <c r="AX36" s="4085"/>
      <c r="AY36" s="4085"/>
      <c r="AZ36" s="2529"/>
      <c r="BA36" s="2524"/>
      <c r="BB36" s="2679"/>
      <c r="BC36" s="4082"/>
      <c r="BD36" s="3691"/>
      <c r="BE36" s="4084"/>
      <c r="BF36" s="3691"/>
      <c r="BG36" s="4063"/>
      <c r="BH36" s="40"/>
    </row>
    <row r="37" spans="1:60" ht="46.5" customHeight="1" x14ac:dyDescent="0.2">
      <c r="A37" s="156"/>
      <c r="B37" s="157"/>
      <c r="C37" s="162"/>
      <c r="D37" s="163"/>
      <c r="E37" s="162"/>
      <c r="F37" s="163"/>
      <c r="G37" s="2536"/>
      <c r="H37" s="2694"/>
      <c r="I37" s="2694"/>
      <c r="J37" s="4077"/>
      <c r="K37" s="4077"/>
      <c r="L37" s="4016"/>
      <c r="M37" s="4031"/>
      <c r="N37" s="2428"/>
      <c r="O37" s="2788"/>
      <c r="P37" s="2522"/>
      <c r="Q37" s="4075"/>
      <c r="R37" s="2420"/>
      <c r="S37" s="92" t="s">
        <v>660</v>
      </c>
      <c r="T37" s="93">
        <v>24000000</v>
      </c>
      <c r="U37" s="63">
        <v>12000000</v>
      </c>
      <c r="V37" s="63">
        <v>2000000</v>
      </c>
      <c r="W37" s="2536"/>
      <c r="X37" s="2603"/>
      <c r="Y37" s="4079"/>
      <c r="Z37" s="4079"/>
      <c r="AA37" s="4079"/>
      <c r="AB37" s="4079"/>
      <c r="AC37" s="4079"/>
      <c r="AD37" s="4079"/>
      <c r="AE37" s="4079"/>
      <c r="AF37" s="4079"/>
      <c r="AG37" s="4079"/>
      <c r="AH37" s="4079"/>
      <c r="AI37" s="2542"/>
      <c r="AJ37" s="2542"/>
      <c r="AK37" s="2635"/>
      <c r="AL37" s="2635"/>
      <c r="AM37" s="2635"/>
      <c r="AN37" s="2635"/>
      <c r="AO37" s="2635"/>
      <c r="AP37" s="2635"/>
      <c r="AQ37" s="2635"/>
      <c r="AR37" s="2635"/>
      <c r="AS37" s="2635"/>
      <c r="AT37" s="2635"/>
      <c r="AU37" s="2635"/>
      <c r="AV37" s="2635"/>
      <c r="AW37" s="2525"/>
      <c r="AX37" s="4085"/>
      <c r="AY37" s="4085"/>
      <c r="AZ37" s="2529"/>
      <c r="BA37" s="2524"/>
      <c r="BB37" s="2679"/>
      <c r="BC37" s="4082"/>
      <c r="BD37" s="3691"/>
      <c r="BE37" s="4084"/>
      <c r="BF37" s="3691"/>
      <c r="BG37" s="4063"/>
      <c r="BH37" s="40"/>
    </row>
    <row r="38" spans="1:60" ht="46.5" customHeight="1" x14ac:dyDescent="0.2">
      <c r="A38" s="156"/>
      <c r="B38" s="157"/>
      <c r="C38" s="162"/>
      <c r="D38" s="163"/>
      <c r="E38" s="162"/>
      <c r="F38" s="163"/>
      <c r="G38" s="2536"/>
      <c r="H38" s="2694"/>
      <c r="I38" s="2694"/>
      <c r="J38" s="4077"/>
      <c r="K38" s="4077"/>
      <c r="L38" s="4016"/>
      <c r="M38" s="4031"/>
      <c r="N38" s="2428"/>
      <c r="O38" s="2788"/>
      <c r="P38" s="2522"/>
      <c r="Q38" s="4075"/>
      <c r="R38" s="2535"/>
      <c r="S38" s="95" t="s">
        <v>661</v>
      </c>
      <c r="T38" s="96">
        <v>30000000</v>
      </c>
      <c r="U38" s="608">
        <v>0</v>
      </c>
      <c r="V38" s="608">
        <v>0</v>
      </c>
      <c r="W38" s="2536"/>
      <c r="X38" s="2603"/>
      <c r="Y38" s="4079"/>
      <c r="Z38" s="4079"/>
      <c r="AA38" s="4079"/>
      <c r="AB38" s="4079"/>
      <c r="AC38" s="4079"/>
      <c r="AD38" s="4079"/>
      <c r="AE38" s="4079"/>
      <c r="AF38" s="4079"/>
      <c r="AG38" s="4079"/>
      <c r="AH38" s="4079"/>
      <c r="AI38" s="2542"/>
      <c r="AJ38" s="2542"/>
      <c r="AK38" s="2635"/>
      <c r="AL38" s="2635"/>
      <c r="AM38" s="2635"/>
      <c r="AN38" s="2635"/>
      <c r="AO38" s="2635"/>
      <c r="AP38" s="2635"/>
      <c r="AQ38" s="2635"/>
      <c r="AR38" s="2635"/>
      <c r="AS38" s="2635"/>
      <c r="AT38" s="2635"/>
      <c r="AU38" s="2635"/>
      <c r="AV38" s="2635"/>
      <c r="AW38" s="2634"/>
      <c r="AX38" s="4086"/>
      <c r="AY38" s="4086"/>
      <c r="AZ38" s="2787"/>
      <c r="BA38" s="2800"/>
      <c r="BB38" s="2712"/>
      <c r="BC38" s="4082"/>
      <c r="BD38" s="2699"/>
      <c r="BE38" s="4084"/>
      <c r="BF38" s="2699"/>
      <c r="BG38" s="4080"/>
      <c r="BH38" s="40"/>
    </row>
    <row r="39" spans="1:60" s="102" customFormat="1" ht="37.5" customHeight="1" x14ac:dyDescent="0.25">
      <c r="A39" s="156"/>
      <c r="B39" s="157"/>
      <c r="C39" s="52">
        <v>18</v>
      </c>
      <c r="D39" s="53" t="s">
        <v>662</v>
      </c>
      <c r="E39" s="53"/>
      <c r="F39" s="53"/>
      <c r="G39" s="53"/>
      <c r="H39" s="53"/>
      <c r="I39" s="53"/>
      <c r="J39" s="53"/>
      <c r="K39" s="53"/>
      <c r="L39" s="53"/>
      <c r="M39" s="53"/>
      <c r="N39" s="53"/>
      <c r="O39" s="53"/>
      <c r="P39" s="53"/>
      <c r="Q39" s="53"/>
      <c r="R39" s="53"/>
      <c r="S39" s="53"/>
      <c r="T39" s="53"/>
      <c r="U39" s="53"/>
      <c r="V39" s="53"/>
      <c r="W39" s="53"/>
      <c r="X39" s="53"/>
      <c r="Y39" s="53"/>
      <c r="Z39" s="53"/>
      <c r="AA39" s="53"/>
      <c r="AB39" s="97"/>
      <c r="AC39" s="53"/>
      <c r="AD39" s="53"/>
      <c r="AE39" s="53"/>
      <c r="AF39" s="53"/>
      <c r="AG39" s="53"/>
      <c r="AH39" s="53"/>
      <c r="AI39" s="53"/>
      <c r="AJ39" s="53"/>
      <c r="AK39" s="53"/>
      <c r="AL39" s="53"/>
      <c r="AM39" s="53"/>
      <c r="AN39" s="53"/>
      <c r="AO39" s="53"/>
      <c r="AP39" s="53"/>
      <c r="AQ39" s="53"/>
      <c r="AR39" s="53"/>
      <c r="AS39" s="53"/>
      <c r="AT39" s="53"/>
      <c r="AU39" s="53"/>
      <c r="AV39" s="53"/>
      <c r="AW39" s="53"/>
      <c r="AX39" s="98"/>
      <c r="AY39" s="98"/>
      <c r="AZ39" s="99"/>
      <c r="BA39" s="71"/>
      <c r="BB39" s="71"/>
      <c r="BC39" s="53"/>
      <c r="BD39" s="53"/>
      <c r="BE39" s="53"/>
      <c r="BF39" s="53"/>
      <c r="BG39" s="100"/>
      <c r="BH39" s="101"/>
    </row>
    <row r="40" spans="1:60" ht="31.5" customHeight="1" x14ac:dyDescent="0.2">
      <c r="A40" s="156"/>
      <c r="B40" s="157"/>
      <c r="C40" s="162"/>
      <c r="D40" s="163"/>
      <c r="E40" s="58">
        <v>62</v>
      </c>
      <c r="F40" s="103" t="s">
        <v>663</v>
      </c>
      <c r="G40" s="104"/>
      <c r="H40" s="104"/>
      <c r="I40" s="104"/>
      <c r="J40" s="104"/>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6"/>
      <c r="AY40" s="106"/>
      <c r="AZ40" s="107"/>
      <c r="BA40" s="73"/>
      <c r="BB40" s="73"/>
      <c r="BC40" s="105"/>
      <c r="BD40" s="105"/>
      <c r="BE40" s="105"/>
      <c r="BF40" s="105"/>
      <c r="BG40" s="83"/>
      <c r="BH40" s="40"/>
    </row>
    <row r="41" spans="1:60" ht="69.75" customHeight="1" x14ac:dyDescent="0.2">
      <c r="A41" s="156"/>
      <c r="B41" s="157"/>
      <c r="C41" s="162"/>
      <c r="D41" s="163"/>
      <c r="E41" s="160"/>
      <c r="F41" s="161"/>
      <c r="G41" s="2456">
        <v>191</v>
      </c>
      <c r="H41" s="4081" t="s">
        <v>664</v>
      </c>
      <c r="I41" s="2423" t="s">
        <v>665</v>
      </c>
      <c r="J41" s="2457">
        <v>1</v>
      </c>
      <c r="K41" s="2572" t="s">
        <v>666</v>
      </c>
      <c r="L41" s="4016" t="s">
        <v>667</v>
      </c>
      <c r="M41" s="4031">
        <v>117</v>
      </c>
      <c r="N41" s="2429" t="s">
        <v>668</v>
      </c>
      <c r="O41" s="2789">
        <v>1</v>
      </c>
      <c r="P41" s="2523">
        <v>1100000000</v>
      </c>
      <c r="Q41" s="2428" t="s">
        <v>669</v>
      </c>
      <c r="R41" s="2534" t="s">
        <v>670</v>
      </c>
      <c r="S41" s="4091" t="s">
        <v>671</v>
      </c>
      <c r="T41" s="4087">
        <v>85000000</v>
      </c>
      <c r="U41" s="4087">
        <v>23760000</v>
      </c>
      <c r="V41" s="4089">
        <v>2640000</v>
      </c>
      <c r="W41" s="2535">
        <v>20</v>
      </c>
      <c r="X41" s="2535" t="s">
        <v>208</v>
      </c>
      <c r="Y41" s="3668"/>
      <c r="Z41" s="3667"/>
      <c r="AA41" s="2415"/>
      <c r="AB41" s="3667"/>
      <c r="AC41" s="2415"/>
      <c r="AD41" s="2662"/>
      <c r="AE41" s="4093"/>
      <c r="AF41" s="4095"/>
      <c r="AG41" s="4093"/>
      <c r="AH41" s="4095"/>
      <c r="AI41" s="4093"/>
      <c r="AJ41" s="4095"/>
      <c r="AK41" s="2416"/>
      <c r="AL41" s="2415"/>
      <c r="AM41" s="2416"/>
      <c r="AN41" s="2415"/>
      <c r="AO41" s="3668"/>
      <c r="AP41" s="3667"/>
      <c r="AQ41" s="3668"/>
      <c r="AR41" s="3667"/>
      <c r="AS41" s="3668"/>
      <c r="AT41" s="3667"/>
      <c r="AU41" s="3668"/>
      <c r="AV41" s="3667"/>
      <c r="AW41" s="2415">
        <v>3</v>
      </c>
      <c r="AX41" s="4065">
        <v>23760000</v>
      </c>
      <c r="AY41" s="4065">
        <v>2640000</v>
      </c>
      <c r="AZ41" s="4067">
        <f>+AY41/AX41</f>
        <v>0.1111111111111111</v>
      </c>
      <c r="BA41" s="3669" t="s">
        <v>208</v>
      </c>
      <c r="BB41" s="2712" t="s">
        <v>672</v>
      </c>
      <c r="BC41" s="2700">
        <v>42736</v>
      </c>
      <c r="BD41" s="2700">
        <v>42769</v>
      </c>
      <c r="BE41" s="2700">
        <v>43100</v>
      </c>
      <c r="BF41" s="2700">
        <v>42949</v>
      </c>
      <c r="BG41" s="4039" t="s">
        <v>596</v>
      </c>
      <c r="BH41" s="40"/>
    </row>
    <row r="42" spans="1:60" ht="53.25" customHeight="1" x14ac:dyDescent="0.2">
      <c r="A42" s="156"/>
      <c r="B42" s="157"/>
      <c r="C42" s="162"/>
      <c r="D42" s="163"/>
      <c r="E42" s="162"/>
      <c r="F42" s="163"/>
      <c r="G42" s="2456"/>
      <c r="H42" s="4081"/>
      <c r="I42" s="2423"/>
      <c r="J42" s="2457"/>
      <c r="K42" s="2573"/>
      <c r="L42" s="4016"/>
      <c r="M42" s="4031"/>
      <c r="N42" s="2423"/>
      <c r="O42" s="2529"/>
      <c r="P42" s="4036"/>
      <c r="Q42" s="2428"/>
      <c r="R42" s="2694"/>
      <c r="S42" s="4092"/>
      <c r="T42" s="4088"/>
      <c r="U42" s="4088"/>
      <c r="V42" s="4090"/>
      <c r="W42" s="2536"/>
      <c r="X42" s="2536"/>
      <c r="Y42" s="3668"/>
      <c r="Z42" s="3668"/>
      <c r="AA42" s="2416"/>
      <c r="AB42" s="3668"/>
      <c r="AC42" s="2416"/>
      <c r="AD42" s="2663"/>
      <c r="AE42" s="4093"/>
      <c r="AF42" s="4093"/>
      <c r="AG42" s="4093"/>
      <c r="AH42" s="4093"/>
      <c r="AI42" s="4093"/>
      <c r="AJ42" s="4093"/>
      <c r="AK42" s="2416"/>
      <c r="AL42" s="2416"/>
      <c r="AM42" s="2416"/>
      <c r="AN42" s="2416"/>
      <c r="AO42" s="3668"/>
      <c r="AP42" s="3668"/>
      <c r="AQ42" s="3668"/>
      <c r="AR42" s="3668"/>
      <c r="AS42" s="3668"/>
      <c r="AT42" s="3668"/>
      <c r="AU42" s="3668"/>
      <c r="AV42" s="3668"/>
      <c r="AW42" s="2416"/>
      <c r="AX42" s="4066"/>
      <c r="AY42" s="4066"/>
      <c r="AZ42" s="4068"/>
      <c r="BA42" s="3675"/>
      <c r="BB42" s="3150"/>
      <c r="BC42" s="2696"/>
      <c r="BD42" s="2696"/>
      <c r="BE42" s="2696"/>
      <c r="BF42" s="2696"/>
      <c r="BG42" s="4070"/>
      <c r="BH42" s="40"/>
    </row>
    <row r="43" spans="1:60" ht="90" customHeight="1" x14ac:dyDescent="0.2">
      <c r="A43" s="156"/>
      <c r="B43" s="157"/>
      <c r="C43" s="162"/>
      <c r="D43" s="163"/>
      <c r="E43" s="162"/>
      <c r="F43" s="163"/>
      <c r="G43" s="2456"/>
      <c r="H43" s="4081"/>
      <c r="I43" s="2423"/>
      <c r="J43" s="2457"/>
      <c r="K43" s="2573"/>
      <c r="L43" s="4016"/>
      <c r="M43" s="4031"/>
      <c r="N43" s="2423"/>
      <c r="O43" s="2529"/>
      <c r="P43" s="4036"/>
      <c r="Q43" s="2428"/>
      <c r="R43" s="2695"/>
      <c r="S43" s="108" t="s">
        <v>673</v>
      </c>
      <c r="T43" s="598">
        <v>0</v>
      </c>
      <c r="U43" s="109">
        <v>0</v>
      </c>
      <c r="V43" s="110">
        <v>0</v>
      </c>
      <c r="W43" s="2536"/>
      <c r="X43" s="2536"/>
      <c r="Y43" s="3668"/>
      <c r="Z43" s="3668"/>
      <c r="AA43" s="2416"/>
      <c r="AB43" s="3668"/>
      <c r="AC43" s="2416"/>
      <c r="AD43" s="2663"/>
      <c r="AE43" s="4093"/>
      <c r="AF43" s="4093"/>
      <c r="AG43" s="4093"/>
      <c r="AH43" s="4093"/>
      <c r="AI43" s="4093"/>
      <c r="AJ43" s="4093"/>
      <c r="AK43" s="2416"/>
      <c r="AL43" s="2416"/>
      <c r="AM43" s="2416"/>
      <c r="AN43" s="2416"/>
      <c r="AO43" s="3668"/>
      <c r="AP43" s="3668"/>
      <c r="AQ43" s="3668"/>
      <c r="AR43" s="3668"/>
      <c r="AS43" s="3668"/>
      <c r="AT43" s="3668"/>
      <c r="AU43" s="3668"/>
      <c r="AV43" s="3668"/>
      <c r="AW43" s="2416"/>
      <c r="AX43" s="4066"/>
      <c r="AY43" s="4066"/>
      <c r="AZ43" s="4068"/>
      <c r="BA43" s="3675"/>
      <c r="BB43" s="3150"/>
      <c r="BC43" s="2696"/>
      <c r="BD43" s="2696"/>
      <c r="BE43" s="2696"/>
      <c r="BF43" s="2696"/>
      <c r="BG43" s="4070"/>
      <c r="BH43" s="40"/>
    </row>
    <row r="44" spans="1:60" ht="63" customHeight="1" x14ac:dyDescent="0.2">
      <c r="A44" s="156"/>
      <c r="B44" s="157"/>
      <c r="C44" s="162"/>
      <c r="D44" s="163"/>
      <c r="E44" s="162"/>
      <c r="F44" s="163"/>
      <c r="G44" s="2456"/>
      <c r="H44" s="4081"/>
      <c r="I44" s="2423"/>
      <c r="J44" s="2457"/>
      <c r="K44" s="2573"/>
      <c r="L44" s="4016"/>
      <c r="M44" s="4031"/>
      <c r="N44" s="2423"/>
      <c r="O44" s="2529"/>
      <c r="P44" s="4036"/>
      <c r="Q44" s="2428"/>
      <c r="R44" s="2534" t="s">
        <v>674</v>
      </c>
      <c r="S44" s="4091" t="s">
        <v>675</v>
      </c>
      <c r="T44" s="2521">
        <v>1015000000</v>
      </c>
      <c r="U44" s="2521">
        <v>0</v>
      </c>
      <c r="V44" s="2668">
        <v>0</v>
      </c>
      <c r="W44" s="2536"/>
      <c r="X44" s="2536"/>
      <c r="Y44" s="3668"/>
      <c r="Z44" s="3668"/>
      <c r="AA44" s="2416"/>
      <c r="AB44" s="3668"/>
      <c r="AC44" s="2416"/>
      <c r="AD44" s="2663"/>
      <c r="AE44" s="4093"/>
      <c r="AF44" s="4093"/>
      <c r="AG44" s="4093"/>
      <c r="AH44" s="4093"/>
      <c r="AI44" s="4093"/>
      <c r="AJ44" s="4093"/>
      <c r="AK44" s="2416"/>
      <c r="AL44" s="2416"/>
      <c r="AM44" s="2416"/>
      <c r="AN44" s="2416"/>
      <c r="AO44" s="3668"/>
      <c r="AP44" s="3668"/>
      <c r="AQ44" s="3668"/>
      <c r="AR44" s="3668"/>
      <c r="AS44" s="3668"/>
      <c r="AT44" s="3668"/>
      <c r="AU44" s="3668"/>
      <c r="AV44" s="3668"/>
      <c r="AW44" s="2416"/>
      <c r="AX44" s="4066"/>
      <c r="AY44" s="4066"/>
      <c r="AZ44" s="4068"/>
      <c r="BA44" s="3675"/>
      <c r="BB44" s="3150"/>
      <c r="BC44" s="2696"/>
      <c r="BD44" s="2696"/>
      <c r="BE44" s="2696"/>
      <c r="BF44" s="2696"/>
      <c r="BG44" s="4070"/>
      <c r="BH44" s="40"/>
    </row>
    <row r="45" spans="1:60" ht="89.25" customHeight="1" x14ac:dyDescent="0.2">
      <c r="A45" s="156"/>
      <c r="B45" s="157"/>
      <c r="C45" s="162"/>
      <c r="D45" s="163"/>
      <c r="E45" s="162"/>
      <c r="F45" s="163"/>
      <c r="G45" s="2456"/>
      <c r="H45" s="4081"/>
      <c r="I45" s="2423"/>
      <c r="J45" s="2457"/>
      <c r="K45" s="2574"/>
      <c r="L45" s="4017"/>
      <c r="M45" s="4032"/>
      <c r="N45" s="2423"/>
      <c r="O45" s="2529"/>
      <c r="P45" s="4036"/>
      <c r="Q45" s="2428"/>
      <c r="R45" s="2695"/>
      <c r="S45" s="4092"/>
      <c r="T45" s="2523"/>
      <c r="U45" s="2523"/>
      <c r="V45" s="2670"/>
      <c r="W45" s="2664"/>
      <c r="X45" s="2664"/>
      <c r="Y45" s="4053"/>
      <c r="Z45" s="4053"/>
      <c r="AA45" s="2417"/>
      <c r="AB45" s="4053"/>
      <c r="AC45" s="2417"/>
      <c r="AD45" s="4096"/>
      <c r="AE45" s="4094"/>
      <c r="AF45" s="4094"/>
      <c r="AG45" s="4094"/>
      <c r="AH45" s="4094"/>
      <c r="AI45" s="4094"/>
      <c r="AJ45" s="4094"/>
      <c r="AK45" s="2417"/>
      <c r="AL45" s="2417"/>
      <c r="AM45" s="2417"/>
      <c r="AN45" s="2417"/>
      <c r="AO45" s="4053"/>
      <c r="AP45" s="4053"/>
      <c r="AQ45" s="4053"/>
      <c r="AR45" s="4053"/>
      <c r="AS45" s="4053"/>
      <c r="AT45" s="4053"/>
      <c r="AU45" s="4053"/>
      <c r="AV45" s="4053"/>
      <c r="AW45" s="2417"/>
      <c r="AX45" s="4097"/>
      <c r="AY45" s="4097"/>
      <c r="AZ45" s="4071"/>
      <c r="BA45" s="3670"/>
      <c r="BB45" s="2713"/>
      <c r="BC45" s="2696"/>
      <c r="BD45" s="2696"/>
      <c r="BE45" s="2696"/>
      <c r="BF45" s="2696"/>
      <c r="BG45" s="4070"/>
      <c r="BH45" s="40"/>
    </row>
    <row r="46" spans="1:60" ht="85.5" x14ac:dyDescent="0.2">
      <c r="A46" s="156"/>
      <c r="B46" s="157"/>
      <c r="C46" s="162"/>
      <c r="D46" s="163"/>
      <c r="E46" s="162"/>
      <c r="F46" s="163"/>
      <c r="G46" s="2456">
        <v>192</v>
      </c>
      <c r="H46" s="4098" t="s">
        <v>676</v>
      </c>
      <c r="I46" s="2534" t="s">
        <v>677</v>
      </c>
      <c r="J46" s="4100">
        <v>1</v>
      </c>
      <c r="K46" s="4101" t="s">
        <v>678</v>
      </c>
      <c r="L46" s="4064" t="s">
        <v>679</v>
      </c>
      <c r="M46" s="4030">
        <v>118</v>
      </c>
      <c r="N46" s="2424" t="s">
        <v>680</v>
      </c>
      <c r="O46" s="2529">
        <v>1</v>
      </c>
      <c r="P46" s="4036">
        <v>75000000</v>
      </c>
      <c r="Q46" s="2423" t="s">
        <v>669</v>
      </c>
      <c r="R46" s="2534" t="s">
        <v>681</v>
      </c>
      <c r="S46" s="595" t="s">
        <v>682</v>
      </c>
      <c r="T46" s="63">
        <f>30000000+15000000</f>
        <v>45000000</v>
      </c>
      <c r="U46" s="63">
        <v>19920000</v>
      </c>
      <c r="V46" s="63">
        <v>6640000</v>
      </c>
      <c r="W46" s="2535">
        <v>20</v>
      </c>
      <c r="X46" s="2535" t="s">
        <v>208</v>
      </c>
      <c r="Y46" s="2662"/>
      <c r="Z46" s="3667"/>
      <c r="AA46" s="3667"/>
      <c r="AB46" s="3667"/>
      <c r="AC46" s="2415"/>
      <c r="AD46" s="2415"/>
      <c r="AE46" s="2415"/>
      <c r="AF46" s="2415"/>
      <c r="AG46" s="2415"/>
      <c r="AH46" s="2415"/>
      <c r="AI46" s="2415"/>
      <c r="AJ46" s="3667"/>
      <c r="AK46" s="3667"/>
      <c r="AL46" s="3667"/>
      <c r="AM46" s="3667"/>
      <c r="AN46" s="3667"/>
      <c r="AO46" s="3667"/>
      <c r="AP46" s="3667"/>
      <c r="AQ46" s="3667"/>
      <c r="AR46" s="3667"/>
      <c r="AS46" s="3667"/>
      <c r="AT46" s="3667"/>
      <c r="AU46" s="3667"/>
      <c r="AV46" s="3667"/>
      <c r="AW46" s="2415">
        <v>2</v>
      </c>
      <c r="AX46" s="4065">
        <v>19920000</v>
      </c>
      <c r="AY46" s="4065">
        <v>6640000</v>
      </c>
      <c r="AZ46" s="4067">
        <f>+AY46/AX46</f>
        <v>0.33333333333333331</v>
      </c>
      <c r="BA46" s="3669" t="s">
        <v>208</v>
      </c>
      <c r="BB46" s="2712" t="s">
        <v>672</v>
      </c>
      <c r="BC46" s="3691">
        <v>42736</v>
      </c>
      <c r="BD46" s="3691">
        <v>42755</v>
      </c>
      <c r="BE46" s="3691">
        <v>43100</v>
      </c>
      <c r="BF46" s="3691">
        <v>42935</v>
      </c>
      <c r="BG46" s="4038" t="s">
        <v>596</v>
      </c>
      <c r="BH46" s="40"/>
    </row>
    <row r="47" spans="1:60" ht="69" customHeight="1" x14ac:dyDescent="0.2">
      <c r="A47" s="156"/>
      <c r="B47" s="157"/>
      <c r="C47" s="162"/>
      <c r="D47" s="163"/>
      <c r="E47" s="162"/>
      <c r="F47" s="163"/>
      <c r="G47" s="2456"/>
      <c r="H47" s="4099"/>
      <c r="I47" s="2695"/>
      <c r="J47" s="4100"/>
      <c r="K47" s="4102"/>
      <c r="L47" s="4017"/>
      <c r="M47" s="4032"/>
      <c r="N47" s="2429"/>
      <c r="O47" s="2529"/>
      <c r="P47" s="4036"/>
      <c r="Q47" s="2423"/>
      <c r="R47" s="2695"/>
      <c r="S47" s="595" t="s">
        <v>683</v>
      </c>
      <c r="T47" s="63">
        <v>30000000</v>
      </c>
      <c r="U47" s="609">
        <v>0</v>
      </c>
      <c r="V47" s="609">
        <v>0</v>
      </c>
      <c r="W47" s="2664"/>
      <c r="X47" s="2664"/>
      <c r="Y47" s="4096"/>
      <c r="Z47" s="4053"/>
      <c r="AA47" s="4053"/>
      <c r="AB47" s="4053"/>
      <c r="AC47" s="2417"/>
      <c r="AD47" s="2417"/>
      <c r="AE47" s="2417"/>
      <c r="AF47" s="2417"/>
      <c r="AG47" s="2417"/>
      <c r="AH47" s="2417"/>
      <c r="AI47" s="2417"/>
      <c r="AJ47" s="4053"/>
      <c r="AK47" s="4053"/>
      <c r="AL47" s="4053"/>
      <c r="AM47" s="4053"/>
      <c r="AN47" s="4053"/>
      <c r="AO47" s="4053"/>
      <c r="AP47" s="4053"/>
      <c r="AQ47" s="4053"/>
      <c r="AR47" s="4053"/>
      <c r="AS47" s="4053"/>
      <c r="AT47" s="4053"/>
      <c r="AU47" s="4053"/>
      <c r="AV47" s="4053"/>
      <c r="AW47" s="2417"/>
      <c r="AX47" s="4097"/>
      <c r="AY47" s="4097"/>
      <c r="AZ47" s="4071"/>
      <c r="BA47" s="3670"/>
      <c r="BB47" s="2713"/>
      <c r="BC47" s="2696"/>
      <c r="BD47" s="2696"/>
      <c r="BE47" s="2696"/>
      <c r="BF47" s="2696"/>
      <c r="BG47" s="4038"/>
      <c r="BH47" s="40"/>
    </row>
    <row r="48" spans="1:60" ht="41.25" customHeight="1" x14ac:dyDescent="0.2">
      <c r="A48" s="156"/>
      <c r="B48" s="157"/>
      <c r="C48" s="162"/>
      <c r="D48" s="163"/>
      <c r="E48" s="58">
        <v>63</v>
      </c>
      <c r="F48" s="501" t="s">
        <v>684</v>
      </c>
      <c r="G48" s="501"/>
      <c r="H48" s="501"/>
      <c r="I48" s="501"/>
      <c r="J48" s="501"/>
      <c r="K48" s="501"/>
      <c r="L48" s="501"/>
      <c r="M48" s="501"/>
      <c r="N48" s="501"/>
      <c r="O48" s="501"/>
      <c r="P48" s="501"/>
      <c r="Q48" s="501"/>
      <c r="R48" s="501"/>
      <c r="S48" s="501"/>
      <c r="T48" s="501"/>
      <c r="U48" s="501"/>
      <c r="V48" s="501"/>
      <c r="W48" s="501"/>
      <c r="X48" s="501"/>
      <c r="Y48" s="501"/>
      <c r="Z48" s="501"/>
      <c r="AA48" s="501"/>
      <c r="AB48" s="501"/>
      <c r="AC48" s="501"/>
      <c r="AD48" s="501"/>
      <c r="AE48" s="501"/>
      <c r="AF48" s="501"/>
      <c r="AG48" s="501"/>
      <c r="AH48" s="501"/>
      <c r="AI48" s="501"/>
      <c r="AJ48" s="501"/>
      <c r="AK48" s="501"/>
      <c r="AL48" s="501"/>
      <c r="AM48" s="501"/>
      <c r="AN48" s="501"/>
      <c r="AO48" s="501"/>
      <c r="AP48" s="501"/>
      <c r="AQ48" s="501"/>
      <c r="AR48" s="501"/>
      <c r="AS48" s="501"/>
      <c r="AT48" s="501"/>
      <c r="AU48" s="501"/>
      <c r="AV48" s="501"/>
      <c r="AW48" s="501"/>
      <c r="AX48" s="59"/>
      <c r="AY48" s="59"/>
      <c r="AZ48" s="60"/>
      <c r="BA48" s="73"/>
      <c r="BB48" s="73"/>
      <c r="BC48" s="501"/>
      <c r="BD48" s="501"/>
      <c r="BE48" s="501"/>
      <c r="BF48" s="501"/>
      <c r="BG48" s="83"/>
      <c r="BH48" s="40"/>
    </row>
    <row r="49" spans="1:60" ht="114.75" customHeight="1" x14ac:dyDescent="0.2">
      <c r="A49" s="156"/>
      <c r="B49" s="157"/>
      <c r="C49" s="162"/>
      <c r="D49" s="163"/>
      <c r="E49" s="160"/>
      <c r="F49" s="161"/>
      <c r="G49" s="2640">
        <v>193</v>
      </c>
      <c r="H49" s="2428" t="s">
        <v>685</v>
      </c>
      <c r="I49" s="2428" t="s">
        <v>686</v>
      </c>
      <c r="J49" s="2574">
        <v>1</v>
      </c>
      <c r="K49" s="2572">
        <v>0</v>
      </c>
      <c r="L49" s="4016" t="s">
        <v>687</v>
      </c>
      <c r="M49" s="4031">
        <v>121</v>
      </c>
      <c r="N49" s="2428" t="s">
        <v>688</v>
      </c>
      <c r="O49" s="2789">
        <v>1</v>
      </c>
      <c r="P49" s="2523">
        <v>15000000</v>
      </c>
      <c r="Q49" s="2423" t="s">
        <v>669</v>
      </c>
      <c r="R49" s="2419" t="s">
        <v>689</v>
      </c>
      <c r="S49" s="579" t="s">
        <v>690</v>
      </c>
      <c r="T49" s="94">
        <v>5000000</v>
      </c>
      <c r="U49" s="94">
        <v>0</v>
      </c>
      <c r="V49" s="94">
        <v>0</v>
      </c>
      <c r="W49" s="2420">
        <v>20</v>
      </c>
      <c r="X49" s="2420" t="s">
        <v>208</v>
      </c>
      <c r="Y49" s="4053"/>
      <c r="Z49" s="3667"/>
      <c r="AA49" s="4053"/>
      <c r="AB49" s="3667"/>
      <c r="AC49" s="4053"/>
      <c r="AD49" s="3667"/>
      <c r="AE49" s="4053"/>
      <c r="AF49" s="3667"/>
      <c r="AG49" s="4053"/>
      <c r="AH49" s="3667"/>
      <c r="AI49" s="4053"/>
      <c r="AJ49" s="3667"/>
      <c r="AK49" s="4053"/>
      <c r="AL49" s="3667"/>
      <c r="AM49" s="2416">
        <v>32</v>
      </c>
      <c r="AN49" s="2415"/>
      <c r="AO49" s="4053"/>
      <c r="AP49" s="3667"/>
      <c r="AQ49" s="4053"/>
      <c r="AR49" s="3667"/>
      <c r="AS49" s="4053"/>
      <c r="AT49" s="3667"/>
      <c r="AU49" s="4053"/>
      <c r="AV49" s="3667"/>
      <c r="AW49" s="2415">
        <v>0</v>
      </c>
      <c r="AX49" s="4065">
        <v>0</v>
      </c>
      <c r="AY49" s="4065">
        <v>0</v>
      </c>
      <c r="AZ49" s="4067">
        <v>0</v>
      </c>
      <c r="BA49" s="3669" t="s">
        <v>208</v>
      </c>
      <c r="BB49" s="2712" t="s">
        <v>672</v>
      </c>
      <c r="BC49" s="2699">
        <v>42736</v>
      </c>
      <c r="BD49" s="2699">
        <v>42736</v>
      </c>
      <c r="BE49" s="2699" t="s">
        <v>691</v>
      </c>
      <c r="BF49" s="2699">
        <v>42825</v>
      </c>
      <c r="BG49" s="4063" t="s">
        <v>596</v>
      </c>
      <c r="BH49" s="40"/>
    </row>
    <row r="50" spans="1:60" ht="90.75" customHeight="1" x14ac:dyDescent="0.2">
      <c r="A50" s="156"/>
      <c r="B50" s="157"/>
      <c r="C50" s="162"/>
      <c r="D50" s="163"/>
      <c r="E50" s="162"/>
      <c r="F50" s="163"/>
      <c r="G50" s="3538"/>
      <c r="H50" s="2429"/>
      <c r="I50" s="2429"/>
      <c r="J50" s="2457"/>
      <c r="K50" s="2574"/>
      <c r="L50" s="4017"/>
      <c r="M50" s="4032"/>
      <c r="N50" s="2429"/>
      <c r="O50" s="2529"/>
      <c r="P50" s="4036"/>
      <c r="Q50" s="2423"/>
      <c r="R50" s="2419"/>
      <c r="S50" s="595" t="s">
        <v>692</v>
      </c>
      <c r="T50" s="93">
        <v>10000000</v>
      </c>
      <c r="U50" s="93">
        <v>0</v>
      </c>
      <c r="V50" s="93">
        <v>0</v>
      </c>
      <c r="W50" s="2420"/>
      <c r="X50" s="2420"/>
      <c r="Y50" s="2705"/>
      <c r="Z50" s="4053"/>
      <c r="AA50" s="2705"/>
      <c r="AB50" s="4053"/>
      <c r="AC50" s="2705"/>
      <c r="AD50" s="4053"/>
      <c r="AE50" s="2705"/>
      <c r="AF50" s="4053"/>
      <c r="AG50" s="2705"/>
      <c r="AH50" s="4053"/>
      <c r="AI50" s="2705"/>
      <c r="AJ50" s="4053"/>
      <c r="AK50" s="2705"/>
      <c r="AL50" s="4053"/>
      <c r="AM50" s="2417"/>
      <c r="AN50" s="2417"/>
      <c r="AO50" s="2705"/>
      <c r="AP50" s="4053"/>
      <c r="AQ50" s="2705"/>
      <c r="AR50" s="4053"/>
      <c r="AS50" s="2705"/>
      <c r="AT50" s="4053"/>
      <c r="AU50" s="2705"/>
      <c r="AV50" s="4053"/>
      <c r="AW50" s="2417"/>
      <c r="AX50" s="4097"/>
      <c r="AY50" s="4097"/>
      <c r="AZ50" s="4071"/>
      <c r="BA50" s="3670"/>
      <c r="BB50" s="2713"/>
      <c r="BC50" s="2700"/>
      <c r="BD50" s="2700"/>
      <c r="BE50" s="2700"/>
      <c r="BF50" s="2700"/>
      <c r="BG50" s="4063"/>
      <c r="BH50" s="40"/>
    </row>
    <row r="51" spans="1:60" ht="96" customHeight="1" x14ac:dyDescent="0.2">
      <c r="A51" s="156"/>
      <c r="B51" s="157"/>
      <c r="C51" s="162"/>
      <c r="D51" s="163"/>
      <c r="E51" s="162"/>
      <c r="F51" s="163"/>
      <c r="G51" s="3537">
        <v>194</v>
      </c>
      <c r="H51" s="2424" t="s">
        <v>693</v>
      </c>
      <c r="I51" s="4103" t="s">
        <v>694</v>
      </c>
      <c r="J51" s="2457">
        <v>1</v>
      </c>
      <c r="K51" s="2572" t="s">
        <v>695</v>
      </c>
      <c r="L51" s="4064" t="s">
        <v>696</v>
      </c>
      <c r="M51" s="4030">
        <v>122</v>
      </c>
      <c r="N51" s="2424" t="s">
        <v>697</v>
      </c>
      <c r="O51" s="2529">
        <v>1</v>
      </c>
      <c r="P51" s="4036">
        <v>90000000</v>
      </c>
      <c r="Q51" s="2424" t="s">
        <v>669</v>
      </c>
      <c r="R51" s="2420" t="s">
        <v>698</v>
      </c>
      <c r="S51" s="595" t="s">
        <v>699</v>
      </c>
      <c r="T51" s="63">
        <v>19320575</v>
      </c>
      <c r="U51" s="63">
        <v>0</v>
      </c>
      <c r="V51" s="63">
        <v>0</v>
      </c>
      <c r="W51" s="2420">
        <v>20</v>
      </c>
      <c r="X51" s="2420" t="s">
        <v>208</v>
      </c>
      <c r="Y51" s="2705"/>
      <c r="Z51" s="3667"/>
      <c r="AA51" s="2705"/>
      <c r="AB51" s="3667"/>
      <c r="AC51" s="2705"/>
      <c r="AD51" s="2662"/>
      <c r="AE51" s="2705"/>
      <c r="AF51" s="3667"/>
      <c r="AG51" s="2705"/>
      <c r="AH51" s="3667"/>
      <c r="AI51" s="2705"/>
      <c r="AJ51" s="3667"/>
      <c r="AK51" s="2705"/>
      <c r="AL51" s="3667"/>
      <c r="AM51" s="2415">
        <v>909</v>
      </c>
      <c r="AN51" s="2415">
        <v>500</v>
      </c>
      <c r="AO51" s="2705"/>
      <c r="AP51" s="3667"/>
      <c r="AQ51" s="2705"/>
      <c r="AR51" s="3667"/>
      <c r="AS51" s="2705"/>
      <c r="AT51" s="3667"/>
      <c r="AU51" s="2705"/>
      <c r="AV51" s="3667"/>
      <c r="AW51" s="2415">
        <v>2</v>
      </c>
      <c r="AX51" s="4065">
        <v>15488000</v>
      </c>
      <c r="AY51" s="4065">
        <v>0</v>
      </c>
      <c r="AZ51" s="4067">
        <f>+AY51/AX51</f>
        <v>0</v>
      </c>
      <c r="BA51" s="3669" t="s">
        <v>208</v>
      </c>
      <c r="BB51" s="2712" t="s">
        <v>672</v>
      </c>
      <c r="BC51" s="2699">
        <v>42736</v>
      </c>
      <c r="BD51" s="2699">
        <v>42817</v>
      </c>
      <c r="BE51" s="2699">
        <v>43100</v>
      </c>
      <c r="BF51" s="2699" t="s">
        <v>700</v>
      </c>
      <c r="BG51" s="4038" t="s">
        <v>596</v>
      </c>
      <c r="BH51" s="40"/>
    </row>
    <row r="52" spans="1:60" ht="96" customHeight="1" x14ac:dyDescent="0.2">
      <c r="A52" s="156"/>
      <c r="B52" s="157"/>
      <c r="C52" s="162"/>
      <c r="D52" s="163"/>
      <c r="E52" s="162"/>
      <c r="F52" s="163"/>
      <c r="G52" s="2640"/>
      <c r="H52" s="2428"/>
      <c r="I52" s="4103"/>
      <c r="J52" s="2457"/>
      <c r="K52" s="2573"/>
      <c r="L52" s="4016"/>
      <c r="M52" s="4031"/>
      <c r="N52" s="2428"/>
      <c r="O52" s="2529"/>
      <c r="P52" s="4036"/>
      <c r="Q52" s="2428"/>
      <c r="R52" s="2420"/>
      <c r="S52" s="595" t="s">
        <v>701</v>
      </c>
      <c r="T52" s="111">
        <f>15679425+10000000</f>
        <v>25679425</v>
      </c>
      <c r="U52" s="63">
        <v>15488000</v>
      </c>
      <c r="V52" s="63">
        <v>0</v>
      </c>
      <c r="W52" s="2420"/>
      <c r="X52" s="2420"/>
      <c r="Y52" s="2705"/>
      <c r="Z52" s="3668"/>
      <c r="AA52" s="2705"/>
      <c r="AB52" s="3668"/>
      <c r="AC52" s="2705"/>
      <c r="AD52" s="2663"/>
      <c r="AE52" s="2705"/>
      <c r="AF52" s="3668"/>
      <c r="AG52" s="2705"/>
      <c r="AH52" s="3668"/>
      <c r="AI52" s="2705"/>
      <c r="AJ52" s="3668"/>
      <c r="AK52" s="2705"/>
      <c r="AL52" s="3668"/>
      <c r="AM52" s="2416"/>
      <c r="AN52" s="2416"/>
      <c r="AO52" s="2705"/>
      <c r="AP52" s="3668"/>
      <c r="AQ52" s="2705"/>
      <c r="AR52" s="3668"/>
      <c r="AS52" s="2705"/>
      <c r="AT52" s="3668"/>
      <c r="AU52" s="2705"/>
      <c r="AV52" s="3668"/>
      <c r="AW52" s="2416"/>
      <c r="AX52" s="4066"/>
      <c r="AY52" s="4066"/>
      <c r="AZ52" s="4068"/>
      <c r="BA52" s="3675"/>
      <c r="BB52" s="3150"/>
      <c r="BC52" s="4082"/>
      <c r="BD52" s="4082"/>
      <c r="BE52" s="4082"/>
      <c r="BF52" s="4082"/>
      <c r="BG52" s="4038"/>
      <c r="BH52" s="40"/>
    </row>
    <row r="53" spans="1:60" ht="87" customHeight="1" x14ac:dyDescent="0.2">
      <c r="A53" s="156"/>
      <c r="B53" s="157"/>
      <c r="C53" s="162"/>
      <c r="D53" s="163"/>
      <c r="E53" s="166"/>
      <c r="F53" s="167"/>
      <c r="G53" s="2640"/>
      <c r="H53" s="2428"/>
      <c r="I53" s="4103"/>
      <c r="J53" s="2457"/>
      <c r="K53" s="2574"/>
      <c r="L53" s="4016"/>
      <c r="M53" s="4031"/>
      <c r="N53" s="2428"/>
      <c r="O53" s="2529"/>
      <c r="P53" s="4036"/>
      <c r="Q53" s="2429"/>
      <c r="R53" s="575" t="s">
        <v>702</v>
      </c>
      <c r="S53" s="595" t="s">
        <v>703</v>
      </c>
      <c r="T53" s="111">
        <v>45000000</v>
      </c>
      <c r="U53" s="63">
        <v>0</v>
      </c>
      <c r="V53" s="63">
        <v>0</v>
      </c>
      <c r="W53" s="2420"/>
      <c r="X53" s="2420"/>
      <c r="Y53" s="2705"/>
      <c r="Z53" s="3668"/>
      <c r="AA53" s="2705"/>
      <c r="AB53" s="3668"/>
      <c r="AC53" s="2705"/>
      <c r="AD53" s="2663"/>
      <c r="AE53" s="2705"/>
      <c r="AF53" s="3668"/>
      <c r="AG53" s="2705"/>
      <c r="AH53" s="3668"/>
      <c r="AI53" s="2705"/>
      <c r="AJ53" s="3668"/>
      <c r="AK53" s="2705"/>
      <c r="AL53" s="3668"/>
      <c r="AM53" s="2416"/>
      <c r="AN53" s="2416"/>
      <c r="AO53" s="2705"/>
      <c r="AP53" s="3668"/>
      <c r="AQ53" s="2705"/>
      <c r="AR53" s="3668"/>
      <c r="AS53" s="2705"/>
      <c r="AT53" s="3668"/>
      <c r="AU53" s="2705"/>
      <c r="AV53" s="3668"/>
      <c r="AW53" s="2417"/>
      <c r="AX53" s="4097"/>
      <c r="AY53" s="4097"/>
      <c r="AZ53" s="4071"/>
      <c r="BA53" s="3670"/>
      <c r="BB53" s="2713"/>
      <c r="BC53" s="2700"/>
      <c r="BD53" s="4082"/>
      <c r="BE53" s="2700"/>
      <c r="BF53" s="4082"/>
      <c r="BG53" s="4038"/>
      <c r="BH53" s="40"/>
    </row>
    <row r="54" spans="1:60" ht="36.75" customHeight="1" x14ac:dyDescent="0.2">
      <c r="A54" s="156"/>
      <c r="B54" s="157"/>
      <c r="C54" s="162"/>
      <c r="D54" s="163"/>
      <c r="E54" s="58">
        <v>64</v>
      </c>
      <c r="F54" s="105" t="s">
        <v>704</v>
      </c>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6"/>
      <c r="AY54" s="106"/>
      <c r="AZ54" s="107"/>
      <c r="BA54" s="73"/>
      <c r="BB54" s="73"/>
      <c r="BC54" s="105"/>
      <c r="BD54" s="105"/>
      <c r="BE54" s="105"/>
      <c r="BF54" s="105"/>
      <c r="BG54" s="83"/>
      <c r="BH54" s="40"/>
    </row>
    <row r="55" spans="1:60" ht="52.5" customHeight="1" x14ac:dyDescent="0.2">
      <c r="A55" s="156"/>
      <c r="B55" s="157"/>
      <c r="C55" s="162"/>
      <c r="D55" s="163"/>
      <c r="E55" s="176"/>
      <c r="F55" s="177"/>
      <c r="G55" s="3537">
        <v>195</v>
      </c>
      <c r="H55" s="2424" t="s">
        <v>705</v>
      </c>
      <c r="I55" s="4104" t="s">
        <v>706</v>
      </c>
      <c r="J55" s="2457">
        <v>1</v>
      </c>
      <c r="K55" s="2572" t="s">
        <v>707</v>
      </c>
      <c r="L55" s="4064" t="s">
        <v>708</v>
      </c>
      <c r="M55" s="4030">
        <v>124</v>
      </c>
      <c r="N55" s="2424" t="s">
        <v>709</v>
      </c>
      <c r="O55" s="2529">
        <v>1</v>
      </c>
      <c r="P55" s="4036">
        <v>100000000</v>
      </c>
      <c r="Q55" s="2424" t="s">
        <v>669</v>
      </c>
      <c r="R55" s="2424" t="s">
        <v>710</v>
      </c>
      <c r="S55" s="595" t="s">
        <v>711</v>
      </c>
      <c r="T55" s="63">
        <f>15000000+20000000</f>
        <v>35000000</v>
      </c>
      <c r="U55" s="112">
        <v>14880000</v>
      </c>
      <c r="V55" s="112">
        <v>4640000</v>
      </c>
      <c r="W55" s="2535">
        <v>20</v>
      </c>
      <c r="X55" s="2536" t="s">
        <v>208</v>
      </c>
      <c r="Y55" s="2415"/>
      <c r="Z55" s="2415"/>
      <c r="AA55" s="3667"/>
      <c r="AB55" s="3667"/>
      <c r="AC55" s="3667"/>
      <c r="AD55" s="2662"/>
      <c r="AE55" s="3667"/>
      <c r="AF55" s="3667"/>
      <c r="AG55" s="3667"/>
      <c r="AH55" s="3667"/>
      <c r="AI55" s="3667"/>
      <c r="AJ55" s="3667"/>
      <c r="AK55" s="2415">
        <v>13208</v>
      </c>
      <c r="AL55" s="2415">
        <v>200</v>
      </c>
      <c r="AM55" s="3667"/>
      <c r="AN55" s="3667"/>
      <c r="AO55" s="3667"/>
      <c r="AP55" s="3667"/>
      <c r="AQ55" s="3667"/>
      <c r="AR55" s="3667"/>
      <c r="AS55" s="3667"/>
      <c r="AT55" s="3667"/>
      <c r="AU55" s="3667"/>
      <c r="AV55" s="3667"/>
      <c r="AW55" s="2415">
        <v>2</v>
      </c>
      <c r="AX55" s="4065">
        <v>14880000</v>
      </c>
      <c r="AY55" s="4065">
        <v>4640000</v>
      </c>
      <c r="AZ55" s="4067">
        <f>+AY55/AX55</f>
        <v>0.31182795698924731</v>
      </c>
      <c r="BA55" s="3669" t="s">
        <v>208</v>
      </c>
      <c r="BB55" s="2712" t="s">
        <v>672</v>
      </c>
      <c r="BC55" s="4107">
        <v>42736</v>
      </c>
      <c r="BD55" s="2699">
        <v>42755</v>
      </c>
      <c r="BE55" s="2699">
        <v>43100</v>
      </c>
      <c r="BF55" s="2699">
        <v>42935</v>
      </c>
      <c r="BG55" s="4038" t="s">
        <v>596</v>
      </c>
      <c r="BH55" s="40"/>
    </row>
    <row r="56" spans="1:60" ht="76.5" customHeight="1" x14ac:dyDescent="0.2">
      <c r="A56" s="156"/>
      <c r="B56" s="157"/>
      <c r="C56" s="162"/>
      <c r="D56" s="163"/>
      <c r="E56" s="158"/>
      <c r="F56" s="159"/>
      <c r="G56" s="2640"/>
      <c r="H56" s="2428"/>
      <c r="I56" s="4105"/>
      <c r="J56" s="2457"/>
      <c r="K56" s="2573"/>
      <c r="L56" s="4016"/>
      <c r="M56" s="4031"/>
      <c r="N56" s="2428"/>
      <c r="O56" s="2529"/>
      <c r="P56" s="4036"/>
      <c r="Q56" s="2428"/>
      <c r="R56" s="2428"/>
      <c r="S56" s="595" t="s">
        <v>712</v>
      </c>
      <c r="T56" s="63">
        <f>35000000+20000000</f>
        <v>55000000</v>
      </c>
      <c r="U56" s="63">
        <v>0</v>
      </c>
      <c r="V56" s="63">
        <v>0</v>
      </c>
      <c r="W56" s="2536"/>
      <c r="X56" s="2536"/>
      <c r="Y56" s="2416"/>
      <c r="Z56" s="2416"/>
      <c r="AA56" s="3668"/>
      <c r="AB56" s="3668"/>
      <c r="AC56" s="3668"/>
      <c r="AD56" s="2663"/>
      <c r="AE56" s="3668"/>
      <c r="AF56" s="3668"/>
      <c r="AG56" s="3668"/>
      <c r="AH56" s="3668"/>
      <c r="AI56" s="3668"/>
      <c r="AJ56" s="3668"/>
      <c r="AK56" s="2416"/>
      <c r="AL56" s="2416"/>
      <c r="AM56" s="3668"/>
      <c r="AN56" s="3668"/>
      <c r="AO56" s="3668"/>
      <c r="AP56" s="3668"/>
      <c r="AQ56" s="3668"/>
      <c r="AR56" s="3668"/>
      <c r="AS56" s="3668"/>
      <c r="AT56" s="3668"/>
      <c r="AU56" s="3668"/>
      <c r="AV56" s="3668"/>
      <c r="AW56" s="2416"/>
      <c r="AX56" s="4066"/>
      <c r="AY56" s="4066"/>
      <c r="AZ56" s="4068"/>
      <c r="BA56" s="3675"/>
      <c r="BB56" s="3150"/>
      <c r="BC56" s="4108"/>
      <c r="BD56" s="4082"/>
      <c r="BE56" s="4082"/>
      <c r="BF56" s="4082"/>
      <c r="BG56" s="4038"/>
      <c r="BH56" s="40"/>
    </row>
    <row r="57" spans="1:60" ht="49.5" customHeight="1" x14ac:dyDescent="0.2">
      <c r="A57" s="156"/>
      <c r="B57" s="157"/>
      <c r="C57" s="162"/>
      <c r="D57" s="163"/>
      <c r="E57" s="164"/>
      <c r="F57" s="165"/>
      <c r="G57" s="3538"/>
      <c r="H57" s="2429"/>
      <c r="I57" s="4106"/>
      <c r="J57" s="2457"/>
      <c r="K57" s="2574"/>
      <c r="L57" s="4017"/>
      <c r="M57" s="4032"/>
      <c r="N57" s="2429"/>
      <c r="O57" s="2529"/>
      <c r="P57" s="4036"/>
      <c r="Q57" s="2429"/>
      <c r="R57" s="2429"/>
      <c r="S57" s="62" t="s">
        <v>713</v>
      </c>
      <c r="T57" s="63">
        <v>10000000</v>
      </c>
      <c r="U57" s="63">
        <v>0</v>
      </c>
      <c r="V57" s="63">
        <v>0</v>
      </c>
      <c r="W57" s="2664"/>
      <c r="X57" s="2664"/>
      <c r="Y57" s="2417"/>
      <c r="Z57" s="2417"/>
      <c r="AA57" s="4053"/>
      <c r="AB57" s="4053"/>
      <c r="AC57" s="4053"/>
      <c r="AD57" s="4096"/>
      <c r="AE57" s="4053"/>
      <c r="AF57" s="4053"/>
      <c r="AG57" s="4053"/>
      <c r="AH57" s="4053"/>
      <c r="AI57" s="4053"/>
      <c r="AJ57" s="4053"/>
      <c r="AK57" s="2417"/>
      <c r="AL57" s="2417"/>
      <c r="AM57" s="4053"/>
      <c r="AN57" s="4053"/>
      <c r="AO57" s="4053"/>
      <c r="AP57" s="4053"/>
      <c r="AQ57" s="4053"/>
      <c r="AR57" s="4053"/>
      <c r="AS57" s="4053"/>
      <c r="AT57" s="4053"/>
      <c r="AU57" s="4053"/>
      <c r="AV57" s="4053"/>
      <c r="AW57" s="2417"/>
      <c r="AX57" s="4097"/>
      <c r="AY57" s="4097"/>
      <c r="AZ57" s="4071"/>
      <c r="BA57" s="3670"/>
      <c r="BB57" s="2713"/>
      <c r="BC57" s="4109"/>
      <c r="BD57" s="4082"/>
      <c r="BE57" s="2700"/>
      <c r="BF57" s="4082"/>
      <c r="BG57" s="4038"/>
      <c r="BH57" s="40"/>
    </row>
    <row r="58" spans="1:60" ht="39.75" customHeight="1" x14ac:dyDescent="0.2">
      <c r="A58" s="156"/>
      <c r="B58" s="157"/>
      <c r="C58" s="162"/>
      <c r="D58" s="163"/>
      <c r="E58" s="58">
        <v>65</v>
      </c>
      <c r="F58" s="501" t="s">
        <v>714</v>
      </c>
      <c r="G58" s="501"/>
      <c r="H58" s="501"/>
      <c r="I58" s="501"/>
      <c r="J58" s="501"/>
      <c r="K58" s="501"/>
      <c r="L58" s="501"/>
      <c r="M58" s="501"/>
      <c r="N58" s="501"/>
      <c r="O58" s="501"/>
      <c r="P58" s="501"/>
      <c r="Q58" s="501"/>
      <c r="R58" s="501"/>
      <c r="S58" s="501"/>
      <c r="T58" s="501"/>
      <c r="U58" s="501"/>
      <c r="V58" s="501"/>
      <c r="W58" s="501"/>
      <c r="X58" s="501"/>
      <c r="Y58" s="501"/>
      <c r="Z58" s="501"/>
      <c r="AA58" s="501"/>
      <c r="AB58" s="501"/>
      <c r="AC58" s="501"/>
      <c r="AD58" s="501"/>
      <c r="AE58" s="501"/>
      <c r="AF58" s="501"/>
      <c r="AG58" s="501"/>
      <c r="AH58" s="501"/>
      <c r="AI58" s="501"/>
      <c r="AJ58" s="501"/>
      <c r="AK58" s="501"/>
      <c r="AL58" s="501"/>
      <c r="AM58" s="501"/>
      <c r="AN58" s="501"/>
      <c r="AO58" s="501"/>
      <c r="AP58" s="501"/>
      <c r="AQ58" s="501"/>
      <c r="AR58" s="501"/>
      <c r="AS58" s="501"/>
      <c r="AT58" s="501"/>
      <c r="AU58" s="501"/>
      <c r="AV58" s="501"/>
      <c r="AW58" s="501"/>
      <c r="AX58" s="59"/>
      <c r="AY58" s="59"/>
      <c r="AZ58" s="60"/>
      <c r="BA58" s="73"/>
      <c r="BB58" s="73"/>
      <c r="BC58" s="501"/>
      <c r="BD58" s="501"/>
      <c r="BE58" s="501"/>
      <c r="BF58" s="501"/>
      <c r="BG58" s="83"/>
      <c r="BH58" s="40"/>
    </row>
    <row r="59" spans="1:60" ht="65.25" customHeight="1" x14ac:dyDescent="0.2">
      <c r="A59" s="156"/>
      <c r="B59" s="157"/>
      <c r="C59" s="162"/>
      <c r="D59" s="163"/>
      <c r="E59" s="160"/>
      <c r="F59" s="161"/>
      <c r="G59" s="3537">
        <v>196</v>
      </c>
      <c r="H59" s="2424" t="s">
        <v>715</v>
      </c>
      <c r="I59" s="2424" t="s">
        <v>716</v>
      </c>
      <c r="J59" s="4041">
        <v>1</v>
      </c>
      <c r="K59" s="4042" t="s">
        <v>717</v>
      </c>
      <c r="L59" s="4064" t="s">
        <v>718</v>
      </c>
      <c r="M59" s="4030">
        <v>125</v>
      </c>
      <c r="N59" s="2424" t="s">
        <v>719</v>
      </c>
      <c r="O59" s="2529">
        <v>1</v>
      </c>
      <c r="P59" s="4036">
        <v>70000000</v>
      </c>
      <c r="Q59" s="2424" t="s">
        <v>669</v>
      </c>
      <c r="R59" s="2534" t="s">
        <v>720</v>
      </c>
      <c r="S59" s="113" t="s">
        <v>721</v>
      </c>
      <c r="T59" s="114">
        <f>20000000+49000000</f>
        <v>69000000</v>
      </c>
      <c r="U59" s="115">
        <v>19800000</v>
      </c>
      <c r="V59" s="115">
        <v>7920000</v>
      </c>
      <c r="W59" s="2535">
        <v>20</v>
      </c>
      <c r="X59" s="2536" t="s">
        <v>208</v>
      </c>
      <c r="Y59" s="3667"/>
      <c r="Z59" s="2634"/>
      <c r="AA59" s="2634">
        <v>755</v>
      </c>
      <c r="AB59" s="2634"/>
      <c r="AC59" s="2634">
        <v>1500</v>
      </c>
      <c r="AD59" s="2634">
        <v>218</v>
      </c>
      <c r="AE59" s="2634">
        <v>95</v>
      </c>
      <c r="AF59" s="2634">
        <v>95</v>
      </c>
      <c r="AG59" s="2634"/>
      <c r="AH59" s="2634"/>
      <c r="AI59" s="2634"/>
      <c r="AJ59" s="2634"/>
      <c r="AK59" s="2634">
        <f>AA59+AC59+AE59+AM59</f>
        <v>2360</v>
      </c>
      <c r="AL59" s="2634">
        <f>AD59+AF59</f>
        <v>313</v>
      </c>
      <c r="AM59" s="2634">
        <v>10</v>
      </c>
      <c r="AN59" s="2415"/>
      <c r="AO59" s="3667"/>
      <c r="AP59" s="3667"/>
      <c r="AQ59" s="3667"/>
      <c r="AR59" s="3667"/>
      <c r="AS59" s="3667"/>
      <c r="AT59" s="3667"/>
      <c r="AU59" s="3667"/>
      <c r="AV59" s="3667"/>
      <c r="AW59" s="2415">
        <v>3</v>
      </c>
      <c r="AX59" s="4065">
        <v>19800000</v>
      </c>
      <c r="AY59" s="4065">
        <v>7920000</v>
      </c>
      <c r="AZ59" s="4067">
        <f>+AY59/AX59</f>
        <v>0.4</v>
      </c>
      <c r="BA59" s="3669" t="s">
        <v>208</v>
      </c>
      <c r="BB59" s="2712" t="s">
        <v>672</v>
      </c>
      <c r="BC59" s="2699">
        <v>42736</v>
      </c>
      <c r="BD59" s="2699">
        <v>42772</v>
      </c>
      <c r="BE59" s="2699">
        <v>43100</v>
      </c>
      <c r="BF59" s="2699">
        <v>42860</v>
      </c>
      <c r="BG59" s="4038" t="s">
        <v>596</v>
      </c>
      <c r="BH59" s="40"/>
    </row>
    <row r="60" spans="1:60" ht="72" customHeight="1" x14ac:dyDescent="0.2">
      <c r="A60" s="156"/>
      <c r="B60" s="157"/>
      <c r="C60" s="162"/>
      <c r="D60" s="163"/>
      <c r="E60" s="166"/>
      <c r="F60" s="167"/>
      <c r="G60" s="2640"/>
      <c r="H60" s="2428"/>
      <c r="I60" s="2428"/>
      <c r="J60" s="4041"/>
      <c r="K60" s="4040"/>
      <c r="L60" s="4016"/>
      <c r="M60" s="4031"/>
      <c r="N60" s="2428"/>
      <c r="O60" s="2529"/>
      <c r="P60" s="4036"/>
      <c r="Q60" s="2428"/>
      <c r="R60" s="2694"/>
      <c r="S60" s="595" t="s">
        <v>722</v>
      </c>
      <c r="T60" s="114">
        <v>1000000</v>
      </c>
      <c r="U60" s="114">
        <v>0</v>
      </c>
      <c r="V60" s="114">
        <v>0</v>
      </c>
      <c r="W60" s="2536"/>
      <c r="X60" s="2536"/>
      <c r="Y60" s="3668"/>
      <c r="Z60" s="2635"/>
      <c r="AA60" s="2635"/>
      <c r="AB60" s="2635"/>
      <c r="AC60" s="2635"/>
      <c r="AD60" s="2635"/>
      <c r="AE60" s="2635"/>
      <c r="AF60" s="2635"/>
      <c r="AG60" s="2635"/>
      <c r="AH60" s="2635"/>
      <c r="AI60" s="2635"/>
      <c r="AJ60" s="2635"/>
      <c r="AK60" s="2635"/>
      <c r="AL60" s="2635"/>
      <c r="AM60" s="2635"/>
      <c r="AN60" s="2416"/>
      <c r="AO60" s="3668"/>
      <c r="AP60" s="3668"/>
      <c r="AQ60" s="3668"/>
      <c r="AR60" s="3668"/>
      <c r="AS60" s="3668"/>
      <c r="AT60" s="3668"/>
      <c r="AU60" s="3668"/>
      <c r="AV60" s="3668"/>
      <c r="AW60" s="2417"/>
      <c r="AX60" s="4097"/>
      <c r="AY60" s="4097"/>
      <c r="AZ60" s="4071"/>
      <c r="BA60" s="3670"/>
      <c r="BB60" s="2713"/>
      <c r="BC60" s="2700"/>
      <c r="BD60" s="2700"/>
      <c r="BE60" s="2700"/>
      <c r="BF60" s="2700"/>
      <c r="BG60" s="4038"/>
      <c r="BH60" s="40"/>
    </row>
    <row r="61" spans="1:60" ht="37.5" customHeight="1" x14ac:dyDescent="0.2">
      <c r="A61" s="156"/>
      <c r="B61" s="157"/>
      <c r="C61" s="162"/>
      <c r="D61" s="163"/>
      <c r="E61" s="116">
        <v>66</v>
      </c>
      <c r="F61" s="501" t="s">
        <v>723</v>
      </c>
      <c r="G61" s="501"/>
      <c r="H61" s="501"/>
      <c r="I61" s="501"/>
      <c r="J61" s="501"/>
      <c r="K61" s="501"/>
      <c r="L61" s="501"/>
      <c r="M61" s="501"/>
      <c r="N61" s="501"/>
      <c r="O61" s="501"/>
      <c r="P61" s="501"/>
      <c r="Q61" s="501"/>
      <c r="R61" s="501"/>
      <c r="S61" s="501"/>
      <c r="T61" s="501"/>
      <c r="U61" s="501"/>
      <c r="V61" s="501"/>
      <c r="W61" s="501"/>
      <c r="X61" s="501"/>
      <c r="Y61" s="501"/>
      <c r="Z61" s="501"/>
      <c r="AA61" s="501"/>
      <c r="AB61" s="501"/>
      <c r="AC61" s="501"/>
      <c r="AD61" s="501"/>
      <c r="AE61" s="501"/>
      <c r="AF61" s="501"/>
      <c r="AG61" s="501"/>
      <c r="AH61" s="501"/>
      <c r="AI61" s="501"/>
      <c r="AJ61" s="501"/>
      <c r="AK61" s="501"/>
      <c r="AL61" s="501"/>
      <c r="AM61" s="501"/>
      <c r="AN61" s="501"/>
      <c r="AO61" s="501"/>
      <c r="AP61" s="501"/>
      <c r="AQ61" s="501"/>
      <c r="AR61" s="501"/>
      <c r="AS61" s="501"/>
      <c r="AT61" s="501"/>
      <c r="AU61" s="501"/>
      <c r="AV61" s="501"/>
      <c r="AW61" s="501"/>
      <c r="AX61" s="59"/>
      <c r="AY61" s="59"/>
      <c r="AZ61" s="60"/>
      <c r="BA61" s="73"/>
      <c r="BB61" s="73"/>
      <c r="BC61" s="501"/>
      <c r="BD61" s="501"/>
      <c r="BE61" s="501"/>
      <c r="BF61" s="501"/>
      <c r="BG61" s="83"/>
      <c r="BH61" s="40"/>
    </row>
    <row r="62" spans="1:60" ht="75.75" customHeight="1" x14ac:dyDescent="0.2">
      <c r="A62" s="156"/>
      <c r="B62" s="157"/>
      <c r="C62" s="162"/>
      <c r="D62" s="163"/>
      <c r="E62" s="178"/>
      <c r="F62" s="179"/>
      <c r="G62" s="3537">
        <v>197</v>
      </c>
      <c r="H62" s="2424" t="s">
        <v>724</v>
      </c>
      <c r="I62" s="2424" t="s">
        <v>725</v>
      </c>
      <c r="J62" s="2457">
        <v>1</v>
      </c>
      <c r="K62" s="2572" t="s">
        <v>726</v>
      </c>
      <c r="L62" s="4016" t="s">
        <v>727</v>
      </c>
      <c r="M62" s="4031">
        <v>128</v>
      </c>
      <c r="N62" s="2424" t="s">
        <v>728</v>
      </c>
      <c r="O62" s="2787">
        <v>1</v>
      </c>
      <c r="P62" s="4036">
        <v>82000000</v>
      </c>
      <c r="Q62" s="2424" t="s">
        <v>669</v>
      </c>
      <c r="R62" s="2420" t="s">
        <v>729</v>
      </c>
      <c r="S62" s="595" t="s">
        <v>730</v>
      </c>
      <c r="T62" s="63">
        <v>6500000</v>
      </c>
      <c r="U62" s="63">
        <v>0</v>
      </c>
      <c r="V62" s="63">
        <v>0</v>
      </c>
      <c r="W62" s="2535">
        <v>20</v>
      </c>
      <c r="X62" s="2535" t="s">
        <v>208</v>
      </c>
      <c r="Y62" s="4110"/>
      <c r="Z62" s="4119"/>
      <c r="AA62" s="4116">
        <v>16975</v>
      </c>
      <c r="AB62" s="4119"/>
      <c r="AC62" s="4116">
        <v>34764</v>
      </c>
      <c r="AD62" s="4116"/>
      <c r="AE62" s="4116">
        <v>38285</v>
      </c>
      <c r="AF62" s="4116">
        <v>260</v>
      </c>
      <c r="AG62" s="4116">
        <v>69532</v>
      </c>
      <c r="AH62" s="4116">
        <v>95</v>
      </c>
      <c r="AI62" s="4116">
        <v>103</v>
      </c>
      <c r="AJ62" s="4116">
        <v>45</v>
      </c>
      <c r="AK62" s="2634">
        <v>213</v>
      </c>
      <c r="AL62" s="2634"/>
      <c r="AM62" s="2634">
        <v>12</v>
      </c>
      <c r="AN62" s="2634"/>
      <c r="AO62" s="2415"/>
      <c r="AP62" s="3667"/>
      <c r="AQ62" s="3667"/>
      <c r="AR62" s="3667"/>
      <c r="AS62" s="3667"/>
      <c r="AT62" s="3667"/>
      <c r="AU62" s="3667"/>
      <c r="AV62" s="3667"/>
      <c r="AW62" s="2415">
        <v>1</v>
      </c>
      <c r="AX62" s="4065">
        <v>5070000</v>
      </c>
      <c r="AY62" s="4065">
        <v>1690000</v>
      </c>
      <c r="AZ62" s="4067">
        <f>+AY62/AX62</f>
        <v>0.33333333333333331</v>
      </c>
      <c r="BA62" s="3669" t="s">
        <v>208</v>
      </c>
      <c r="BB62" s="2712" t="s">
        <v>731</v>
      </c>
      <c r="BC62" s="3691">
        <v>42736</v>
      </c>
      <c r="BD62" s="2699">
        <v>42779</v>
      </c>
      <c r="BE62" s="3691">
        <v>43100</v>
      </c>
      <c r="BF62" s="2699">
        <v>42867</v>
      </c>
      <c r="BG62" s="4070" t="s">
        <v>596</v>
      </c>
      <c r="BH62" s="40"/>
    </row>
    <row r="63" spans="1:60" ht="81" customHeight="1" x14ac:dyDescent="0.2">
      <c r="A63" s="156"/>
      <c r="B63" s="157"/>
      <c r="C63" s="162"/>
      <c r="D63" s="163"/>
      <c r="E63" s="180"/>
      <c r="F63" s="181"/>
      <c r="G63" s="2640"/>
      <c r="H63" s="2428"/>
      <c r="I63" s="2428"/>
      <c r="J63" s="2457"/>
      <c r="K63" s="2573"/>
      <c r="L63" s="4016"/>
      <c r="M63" s="4031"/>
      <c r="N63" s="2428"/>
      <c r="O63" s="2788"/>
      <c r="P63" s="4036"/>
      <c r="Q63" s="2428"/>
      <c r="R63" s="2420"/>
      <c r="S63" s="595" t="s">
        <v>732</v>
      </c>
      <c r="T63" s="63">
        <v>1500000</v>
      </c>
      <c r="U63" s="63">
        <v>0</v>
      </c>
      <c r="V63" s="63">
        <v>0</v>
      </c>
      <c r="W63" s="2536"/>
      <c r="X63" s="2536"/>
      <c r="Y63" s="4111"/>
      <c r="Z63" s="4120"/>
      <c r="AA63" s="4117"/>
      <c r="AB63" s="4120"/>
      <c r="AC63" s="4117"/>
      <c r="AD63" s="4117"/>
      <c r="AE63" s="4117"/>
      <c r="AF63" s="4117"/>
      <c r="AG63" s="4117"/>
      <c r="AH63" s="4117"/>
      <c r="AI63" s="4117"/>
      <c r="AJ63" s="4117"/>
      <c r="AK63" s="2635"/>
      <c r="AL63" s="2635"/>
      <c r="AM63" s="2635"/>
      <c r="AN63" s="2635"/>
      <c r="AO63" s="2416"/>
      <c r="AP63" s="3668"/>
      <c r="AQ63" s="3668"/>
      <c r="AR63" s="3668"/>
      <c r="AS63" s="3668"/>
      <c r="AT63" s="3668"/>
      <c r="AU63" s="3668"/>
      <c r="AV63" s="3668"/>
      <c r="AW63" s="2416"/>
      <c r="AX63" s="4066"/>
      <c r="AY63" s="4066"/>
      <c r="AZ63" s="4068"/>
      <c r="BA63" s="3675"/>
      <c r="BB63" s="3150"/>
      <c r="BC63" s="3691"/>
      <c r="BD63" s="4082"/>
      <c r="BE63" s="3691"/>
      <c r="BF63" s="4082"/>
      <c r="BG63" s="4070"/>
      <c r="BH63" s="40"/>
    </row>
    <row r="64" spans="1:60" ht="67.5" customHeight="1" x14ac:dyDescent="0.2">
      <c r="A64" s="156"/>
      <c r="B64" s="157"/>
      <c r="C64" s="162"/>
      <c r="D64" s="163"/>
      <c r="E64" s="180"/>
      <c r="F64" s="181"/>
      <c r="G64" s="2640"/>
      <c r="H64" s="2428"/>
      <c r="I64" s="2428"/>
      <c r="J64" s="2457"/>
      <c r="K64" s="2573"/>
      <c r="L64" s="4016"/>
      <c r="M64" s="4031"/>
      <c r="N64" s="2428"/>
      <c r="O64" s="2788"/>
      <c r="P64" s="4036"/>
      <c r="Q64" s="2428"/>
      <c r="R64" s="2536" t="s">
        <v>733</v>
      </c>
      <c r="S64" s="595" t="s">
        <v>734</v>
      </c>
      <c r="T64" s="63">
        <f>25000000+40000000</f>
        <v>65000000</v>
      </c>
      <c r="U64" s="63">
        <v>0</v>
      </c>
      <c r="V64" s="63">
        <v>0</v>
      </c>
      <c r="W64" s="2536"/>
      <c r="X64" s="2536"/>
      <c r="Y64" s="4111"/>
      <c r="Z64" s="4120"/>
      <c r="AA64" s="4117"/>
      <c r="AB64" s="4120"/>
      <c r="AC64" s="4117"/>
      <c r="AD64" s="4117"/>
      <c r="AE64" s="4117"/>
      <c r="AF64" s="4117"/>
      <c r="AG64" s="4117"/>
      <c r="AH64" s="4117"/>
      <c r="AI64" s="4117"/>
      <c r="AJ64" s="4117"/>
      <c r="AK64" s="2635"/>
      <c r="AL64" s="2635"/>
      <c r="AM64" s="2635"/>
      <c r="AN64" s="2635"/>
      <c r="AO64" s="2416"/>
      <c r="AP64" s="3668"/>
      <c r="AQ64" s="3668"/>
      <c r="AR64" s="3668"/>
      <c r="AS64" s="3668"/>
      <c r="AT64" s="3668"/>
      <c r="AU64" s="3668"/>
      <c r="AV64" s="3668"/>
      <c r="AW64" s="2416"/>
      <c r="AX64" s="4066"/>
      <c r="AY64" s="4066"/>
      <c r="AZ64" s="4068"/>
      <c r="BA64" s="3675"/>
      <c r="BB64" s="3150"/>
      <c r="BC64" s="2696"/>
      <c r="BD64" s="4082"/>
      <c r="BE64" s="2696"/>
      <c r="BF64" s="4082"/>
      <c r="BG64" s="4070"/>
      <c r="BH64" s="40"/>
    </row>
    <row r="65" spans="1:60" ht="59.25" customHeight="1" x14ac:dyDescent="0.2">
      <c r="A65" s="156"/>
      <c r="B65" s="157"/>
      <c r="C65" s="166"/>
      <c r="D65" s="167"/>
      <c r="E65" s="182"/>
      <c r="F65" s="183"/>
      <c r="G65" s="3538"/>
      <c r="H65" s="2429"/>
      <c r="I65" s="2429"/>
      <c r="J65" s="2457"/>
      <c r="K65" s="2574"/>
      <c r="L65" s="4017"/>
      <c r="M65" s="4032"/>
      <c r="N65" s="2429"/>
      <c r="O65" s="2789"/>
      <c r="P65" s="4036"/>
      <c r="Q65" s="2429"/>
      <c r="R65" s="2664"/>
      <c r="S65" s="595" t="s">
        <v>735</v>
      </c>
      <c r="T65" s="63">
        <v>9000000</v>
      </c>
      <c r="U65" s="112">
        <v>5070000</v>
      </c>
      <c r="V65" s="112">
        <v>1690000</v>
      </c>
      <c r="W65" s="2664"/>
      <c r="X65" s="2664"/>
      <c r="Y65" s="4112"/>
      <c r="Z65" s="4121"/>
      <c r="AA65" s="4118"/>
      <c r="AB65" s="4121"/>
      <c r="AC65" s="4118"/>
      <c r="AD65" s="4118"/>
      <c r="AE65" s="4118"/>
      <c r="AF65" s="4118"/>
      <c r="AG65" s="4118"/>
      <c r="AH65" s="4118"/>
      <c r="AI65" s="4118"/>
      <c r="AJ65" s="4118"/>
      <c r="AK65" s="2636"/>
      <c r="AL65" s="2636"/>
      <c r="AM65" s="2636"/>
      <c r="AN65" s="2636"/>
      <c r="AO65" s="2417"/>
      <c r="AP65" s="4053"/>
      <c r="AQ65" s="4053"/>
      <c r="AR65" s="4053"/>
      <c r="AS65" s="4053"/>
      <c r="AT65" s="4053"/>
      <c r="AU65" s="4053"/>
      <c r="AV65" s="4053"/>
      <c r="AW65" s="2417"/>
      <c r="AX65" s="4097"/>
      <c r="AY65" s="4097"/>
      <c r="AZ65" s="4071"/>
      <c r="BA65" s="3670"/>
      <c r="BB65" s="2713"/>
      <c r="BC65" s="2696"/>
      <c r="BD65" s="2700"/>
      <c r="BE65" s="2696"/>
      <c r="BF65" s="2700"/>
      <c r="BG65" s="4070"/>
      <c r="BH65" s="40"/>
    </row>
    <row r="66" spans="1:60" ht="29.25" customHeight="1" x14ac:dyDescent="0.2">
      <c r="A66" s="156"/>
      <c r="B66" s="157"/>
      <c r="C66" s="52">
        <v>19</v>
      </c>
      <c r="D66" s="53" t="s">
        <v>736</v>
      </c>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98"/>
      <c r="AY66" s="98"/>
      <c r="AZ66" s="99"/>
      <c r="BA66" s="71"/>
      <c r="BB66" s="71"/>
      <c r="BC66" s="53"/>
      <c r="BD66" s="53"/>
      <c r="BE66" s="53"/>
      <c r="BF66" s="53"/>
      <c r="BG66" s="117"/>
      <c r="BH66" s="40"/>
    </row>
    <row r="67" spans="1:60" ht="30" customHeight="1" x14ac:dyDescent="0.2">
      <c r="A67" s="156"/>
      <c r="B67" s="157"/>
      <c r="C67" s="162"/>
      <c r="D67" s="163"/>
      <c r="E67" s="58">
        <v>67</v>
      </c>
      <c r="F67" s="105" t="s">
        <v>737</v>
      </c>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6"/>
      <c r="AY67" s="106"/>
      <c r="AZ67" s="107"/>
      <c r="BA67" s="73"/>
      <c r="BB67" s="73"/>
      <c r="BC67" s="105"/>
      <c r="BD67" s="105"/>
      <c r="BE67" s="105"/>
      <c r="BF67" s="105"/>
      <c r="BG67" s="83"/>
      <c r="BH67" s="40"/>
    </row>
    <row r="68" spans="1:60" s="51" customFormat="1" ht="81" customHeight="1" x14ac:dyDescent="0.2">
      <c r="A68" s="156"/>
      <c r="B68" s="157"/>
      <c r="C68" s="162"/>
      <c r="D68" s="163"/>
      <c r="E68" s="168"/>
      <c r="F68" s="169"/>
      <c r="G68" s="2419">
        <v>198</v>
      </c>
      <c r="H68" s="2424" t="s">
        <v>738</v>
      </c>
      <c r="I68" s="2595" t="s">
        <v>739</v>
      </c>
      <c r="J68" s="2572">
        <v>1</v>
      </c>
      <c r="K68" s="2572" t="s">
        <v>740</v>
      </c>
      <c r="L68" s="4113" t="s">
        <v>741</v>
      </c>
      <c r="M68" s="4031">
        <v>129</v>
      </c>
      <c r="N68" s="2428" t="s">
        <v>742</v>
      </c>
      <c r="O68" s="4115">
        <v>2.6145196407975354E-2</v>
      </c>
      <c r="P68" s="2521">
        <v>4207273806</v>
      </c>
      <c r="Q68" s="2428" t="s">
        <v>743</v>
      </c>
      <c r="R68" s="2694" t="s">
        <v>744</v>
      </c>
      <c r="S68" s="579" t="s">
        <v>745</v>
      </c>
      <c r="T68" s="94">
        <v>20000000</v>
      </c>
      <c r="U68" s="94">
        <v>16900000</v>
      </c>
      <c r="V68" s="94">
        <v>5280000</v>
      </c>
      <c r="W68" s="2420">
        <v>20</v>
      </c>
      <c r="X68" s="2535" t="s">
        <v>208</v>
      </c>
      <c r="Y68" s="2499"/>
      <c r="Z68" s="2498"/>
      <c r="AA68" s="2663"/>
      <c r="AB68" s="2662"/>
      <c r="AC68" s="2663"/>
      <c r="AD68" s="2662"/>
      <c r="AE68" s="2663"/>
      <c r="AF68" s="2662"/>
      <c r="AG68" s="2663"/>
      <c r="AH68" s="2662"/>
      <c r="AI68" s="2635">
        <v>81882</v>
      </c>
      <c r="AJ68" s="2634">
        <v>400</v>
      </c>
      <c r="AK68" s="2663"/>
      <c r="AL68" s="2662"/>
      <c r="AM68" s="2663"/>
      <c r="AN68" s="2662"/>
      <c r="AO68" s="2663"/>
      <c r="AP68" s="2662"/>
      <c r="AQ68" s="2663"/>
      <c r="AR68" s="2498"/>
      <c r="AS68" s="2499"/>
      <c r="AT68" s="2498"/>
      <c r="AU68" s="2499"/>
      <c r="AV68" s="2498"/>
      <c r="AW68" s="2541">
        <v>3</v>
      </c>
      <c r="AX68" s="4122">
        <v>46740000</v>
      </c>
      <c r="AY68" s="4122">
        <v>11733333</v>
      </c>
      <c r="AZ68" s="2513">
        <f>+AY68/AX68</f>
        <v>0.25103408215661105</v>
      </c>
      <c r="BA68" s="2540" t="s">
        <v>208</v>
      </c>
      <c r="BB68" s="2712" t="s">
        <v>655</v>
      </c>
      <c r="BC68" s="3691">
        <v>42736</v>
      </c>
      <c r="BD68" s="3691">
        <v>42759</v>
      </c>
      <c r="BE68" s="3691">
        <v>43100</v>
      </c>
      <c r="BF68" s="3691">
        <v>42941</v>
      </c>
      <c r="BG68" s="4131" t="s">
        <v>596</v>
      </c>
      <c r="BH68" s="118"/>
    </row>
    <row r="69" spans="1:60" s="51" customFormat="1" ht="81" customHeight="1" x14ac:dyDescent="0.2">
      <c r="A69" s="156"/>
      <c r="B69" s="157"/>
      <c r="C69" s="162"/>
      <c r="D69" s="163"/>
      <c r="E69" s="170"/>
      <c r="F69" s="171"/>
      <c r="G69" s="2419"/>
      <c r="H69" s="2428"/>
      <c r="I69" s="2603"/>
      <c r="J69" s="2573"/>
      <c r="K69" s="2573"/>
      <c r="L69" s="4114"/>
      <c r="M69" s="4031"/>
      <c r="N69" s="2428"/>
      <c r="O69" s="4115"/>
      <c r="P69" s="2522"/>
      <c r="Q69" s="2428"/>
      <c r="R69" s="2694"/>
      <c r="S69" s="595" t="s">
        <v>746</v>
      </c>
      <c r="T69" s="93">
        <v>89000000</v>
      </c>
      <c r="U69" s="112">
        <v>29840000</v>
      </c>
      <c r="V69" s="112">
        <v>6453333</v>
      </c>
      <c r="W69" s="2420"/>
      <c r="X69" s="2536"/>
      <c r="Y69" s="2499"/>
      <c r="Z69" s="2499"/>
      <c r="AA69" s="2663"/>
      <c r="AB69" s="2663"/>
      <c r="AC69" s="2663"/>
      <c r="AD69" s="2663"/>
      <c r="AE69" s="2663"/>
      <c r="AF69" s="2663"/>
      <c r="AG69" s="2663"/>
      <c r="AH69" s="2663"/>
      <c r="AI69" s="2635"/>
      <c r="AJ69" s="2635"/>
      <c r="AK69" s="2663"/>
      <c r="AL69" s="2663"/>
      <c r="AM69" s="2663"/>
      <c r="AN69" s="2663"/>
      <c r="AO69" s="2663"/>
      <c r="AP69" s="2663"/>
      <c r="AQ69" s="2663"/>
      <c r="AR69" s="2499"/>
      <c r="AS69" s="2499"/>
      <c r="AT69" s="2499"/>
      <c r="AU69" s="2499"/>
      <c r="AV69" s="2499"/>
      <c r="AW69" s="2542"/>
      <c r="AX69" s="4123"/>
      <c r="AY69" s="4123"/>
      <c r="AZ69" s="2544"/>
      <c r="BA69" s="2540"/>
      <c r="BB69" s="3150"/>
      <c r="BC69" s="3691"/>
      <c r="BD69" s="3691"/>
      <c r="BE69" s="3691"/>
      <c r="BF69" s="3691"/>
      <c r="BG69" s="4132"/>
      <c r="BH69" s="118"/>
    </row>
    <row r="70" spans="1:60" s="51" customFormat="1" ht="77.25" customHeight="1" x14ac:dyDescent="0.2">
      <c r="A70" s="156"/>
      <c r="B70" s="157"/>
      <c r="C70" s="162"/>
      <c r="D70" s="163"/>
      <c r="E70" s="170"/>
      <c r="F70" s="171"/>
      <c r="G70" s="2419"/>
      <c r="H70" s="2428"/>
      <c r="I70" s="2603"/>
      <c r="J70" s="2573"/>
      <c r="K70" s="2574"/>
      <c r="L70" s="4114"/>
      <c r="M70" s="4031"/>
      <c r="N70" s="2428"/>
      <c r="O70" s="4115"/>
      <c r="P70" s="2522"/>
      <c r="Q70" s="2428"/>
      <c r="R70" s="2694"/>
      <c r="S70" s="595" t="s">
        <v>747</v>
      </c>
      <c r="T70" s="93">
        <v>1000000</v>
      </c>
      <c r="U70" s="93">
        <v>0</v>
      </c>
      <c r="V70" s="93">
        <v>0</v>
      </c>
      <c r="W70" s="2420"/>
      <c r="X70" s="2536"/>
      <c r="Y70" s="2499"/>
      <c r="Z70" s="2499"/>
      <c r="AA70" s="2663"/>
      <c r="AB70" s="2663"/>
      <c r="AC70" s="2663"/>
      <c r="AD70" s="2663"/>
      <c r="AE70" s="2663"/>
      <c r="AF70" s="2663"/>
      <c r="AG70" s="2663"/>
      <c r="AH70" s="2663"/>
      <c r="AI70" s="2635"/>
      <c r="AJ70" s="2635"/>
      <c r="AK70" s="2663"/>
      <c r="AL70" s="2663"/>
      <c r="AM70" s="2663"/>
      <c r="AN70" s="2663"/>
      <c r="AO70" s="2663"/>
      <c r="AP70" s="2663"/>
      <c r="AQ70" s="2663"/>
      <c r="AR70" s="2499"/>
      <c r="AS70" s="2499"/>
      <c r="AT70" s="2499"/>
      <c r="AU70" s="2499"/>
      <c r="AV70" s="2499"/>
      <c r="AW70" s="2542"/>
      <c r="AX70" s="4124"/>
      <c r="AY70" s="4124"/>
      <c r="AZ70" s="2514"/>
      <c r="BA70" s="2540"/>
      <c r="BB70" s="3150"/>
      <c r="BC70" s="3691"/>
      <c r="BD70" s="3691"/>
      <c r="BE70" s="3691"/>
      <c r="BF70" s="3691"/>
      <c r="BG70" s="4132"/>
      <c r="BH70" s="118"/>
    </row>
    <row r="71" spans="1:60" s="51" customFormat="1" ht="77.25" customHeight="1" x14ac:dyDescent="0.2">
      <c r="A71" s="156"/>
      <c r="B71" s="157"/>
      <c r="C71" s="162"/>
      <c r="D71" s="163"/>
      <c r="E71" s="170"/>
      <c r="F71" s="171"/>
      <c r="G71" s="605">
        <v>199</v>
      </c>
      <c r="H71" s="84" t="s">
        <v>748</v>
      </c>
      <c r="I71" s="84" t="s">
        <v>749</v>
      </c>
      <c r="J71" s="590">
        <v>4</v>
      </c>
      <c r="K71" s="590" t="s">
        <v>750</v>
      </c>
      <c r="L71" s="1623" t="s">
        <v>741</v>
      </c>
      <c r="M71" s="4031"/>
      <c r="N71" s="2428"/>
      <c r="O71" s="576">
        <v>2.3768360370886687E-3</v>
      </c>
      <c r="P71" s="2522"/>
      <c r="Q71" s="2428"/>
      <c r="R71" s="2694"/>
      <c r="S71" s="595" t="s">
        <v>751</v>
      </c>
      <c r="T71" s="93">
        <v>10000000</v>
      </c>
      <c r="U71" s="93">
        <v>10000000</v>
      </c>
      <c r="V71" s="93">
        <v>1666667</v>
      </c>
      <c r="W71" s="2420"/>
      <c r="X71" s="2664"/>
      <c r="Y71" s="2499"/>
      <c r="Z71" s="2499"/>
      <c r="AA71" s="2663"/>
      <c r="AB71" s="2663"/>
      <c r="AC71" s="2663"/>
      <c r="AD71" s="2663"/>
      <c r="AE71" s="2663"/>
      <c r="AF71" s="2663"/>
      <c r="AG71" s="2663"/>
      <c r="AH71" s="2663"/>
      <c r="AI71" s="2635"/>
      <c r="AJ71" s="2635"/>
      <c r="AK71" s="2663"/>
      <c r="AL71" s="2663"/>
      <c r="AM71" s="2663"/>
      <c r="AN71" s="2663"/>
      <c r="AO71" s="2663"/>
      <c r="AP71" s="2663"/>
      <c r="AQ71" s="2663"/>
      <c r="AR71" s="2499"/>
      <c r="AS71" s="2499"/>
      <c r="AT71" s="2499"/>
      <c r="AU71" s="2499"/>
      <c r="AV71" s="2499"/>
      <c r="AW71" s="2542"/>
      <c r="AX71" s="119">
        <v>10000000</v>
      </c>
      <c r="AY71" s="119">
        <v>1666667</v>
      </c>
      <c r="AZ71" s="570">
        <f>+AY71/AX71</f>
        <v>0.1666667</v>
      </c>
      <c r="BA71" s="2540"/>
      <c r="BB71" s="3150"/>
      <c r="BC71" s="3691"/>
      <c r="BD71" s="3691"/>
      <c r="BE71" s="3691"/>
      <c r="BF71" s="3691"/>
      <c r="BG71" s="4132"/>
      <c r="BH71" s="118"/>
    </row>
    <row r="72" spans="1:60" s="51" customFormat="1" ht="69" customHeight="1" x14ac:dyDescent="0.2">
      <c r="A72" s="156"/>
      <c r="B72" s="157"/>
      <c r="C72" s="162"/>
      <c r="D72" s="163"/>
      <c r="E72" s="170"/>
      <c r="F72" s="171"/>
      <c r="G72" s="120">
        <v>200</v>
      </c>
      <c r="H72" s="595" t="s">
        <v>752</v>
      </c>
      <c r="I72" s="595" t="s">
        <v>753</v>
      </c>
      <c r="J72" s="580">
        <v>12</v>
      </c>
      <c r="K72" s="580">
        <v>0</v>
      </c>
      <c r="L72" s="4133" t="s">
        <v>754</v>
      </c>
      <c r="M72" s="4031"/>
      <c r="N72" s="2428"/>
      <c r="O72" s="576">
        <v>0.2914433903140175</v>
      </c>
      <c r="P72" s="2522"/>
      <c r="Q72" s="2428"/>
      <c r="R72" s="2694"/>
      <c r="S72" s="2428" t="s">
        <v>755</v>
      </c>
      <c r="T72" s="121">
        <v>1226182142</v>
      </c>
      <c r="U72" s="63">
        <v>0</v>
      </c>
      <c r="V72" s="63">
        <v>0</v>
      </c>
      <c r="W72" s="122">
        <v>6</v>
      </c>
      <c r="X72" s="2535" t="s">
        <v>756</v>
      </c>
      <c r="Y72" s="2499"/>
      <c r="Z72" s="2499"/>
      <c r="AA72" s="2663"/>
      <c r="AB72" s="2663"/>
      <c r="AC72" s="2663"/>
      <c r="AD72" s="2663"/>
      <c r="AE72" s="2663"/>
      <c r="AF72" s="2663"/>
      <c r="AG72" s="2663"/>
      <c r="AH72" s="2663"/>
      <c r="AI72" s="2635"/>
      <c r="AJ72" s="2635"/>
      <c r="AK72" s="2663"/>
      <c r="AL72" s="2663"/>
      <c r="AM72" s="2663"/>
      <c r="AN72" s="2663"/>
      <c r="AO72" s="2663"/>
      <c r="AP72" s="2663"/>
      <c r="AQ72" s="2663"/>
      <c r="AR72" s="2499"/>
      <c r="AS72" s="2499"/>
      <c r="AT72" s="2499"/>
      <c r="AU72" s="2499"/>
      <c r="AV72" s="2499"/>
      <c r="AW72" s="2541">
        <v>0</v>
      </c>
      <c r="AX72" s="4135">
        <v>0</v>
      </c>
      <c r="AY72" s="4135">
        <v>0</v>
      </c>
      <c r="AZ72" s="2545">
        <v>0</v>
      </c>
      <c r="BA72" s="2534" t="s">
        <v>757</v>
      </c>
      <c r="BB72" s="3150"/>
      <c r="BC72" s="3691"/>
      <c r="BD72" s="3691"/>
      <c r="BE72" s="3691"/>
      <c r="BF72" s="3691"/>
      <c r="BG72" s="4132"/>
      <c r="BH72" s="118"/>
    </row>
    <row r="73" spans="1:60" s="51" customFormat="1" ht="68.25" customHeight="1" thickBot="1" x14ac:dyDescent="0.25">
      <c r="A73" s="156"/>
      <c r="B73" s="157"/>
      <c r="C73" s="162"/>
      <c r="D73" s="163"/>
      <c r="E73" s="170"/>
      <c r="F73" s="171"/>
      <c r="G73" s="587">
        <v>201</v>
      </c>
      <c r="H73" s="578" t="s">
        <v>758</v>
      </c>
      <c r="I73" s="578" t="s">
        <v>759</v>
      </c>
      <c r="J73" s="603">
        <v>14</v>
      </c>
      <c r="K73" s="604">
        <v>0</v>
      </c>
      <c r="L73" s="4134"/>
      <c r="M73" s="4031"/>
      <c r="N73" s="2428"/>
      <c r="O73" s="123">
        <v>0.68003457724091843</v>
      </c>
      <c r="P73" s="2522"/>
      <c r="Q73" s="2428"/>
      <c r="R73" s="2694"/>
      <c r="S73" s="2428"/>
      <c r="T73" s="124">
        <v>2861091664</v>
      </c>
      <c r="U73" s="125">
        <v>0</v>
      </c>
      <c r="V73" s="125">
        <v>0</v>
      </c>
      <c r="W73" s="126">
        <v>6</v>
      </c>
      <c r="X73" s="2536"/>
      <c r="Y73" s="2499"/>
      <c r="Z73" s="2499"/>
      <c r="AA73" s="2663"/>
      <c r="AB73" s="2663"/>
      <c r="AC73" s="2663"/>
      <c r="AD73" s="2663"/>
      <c r="AE73" s="2663"/>
      <c r="AF73" s="2663"/>
      <c r="AG73" s="2663"/>
      <c r="AH73" s="2663"/>
      <c r="AI73" s="2635"/>
      <c r="AJ73" s="2635"/>
      <c r="AK73" s="2663"/>
      <c r="AL73" s="2663"/>
      <c r="AM73" s="2663"/>
      <c r="AN73" s="2663"/>
      <c r="AO73" s="2663"/>
      <c r="AP73" s="2663"/>
      <c r="AQ73" s="2663"/>
      <c r="AR73" s="2499"/>
      <c r="AS73" s="2499"/>
      <c r="AT73" s="2499"/>
      <c r="AU73" s="2499"/>
      <c r="AV73" s="2499"/>
      <c r="AW73" s="2542"/>
      <c r="AX73" s="4122"/>
      <c r="AY73" s="4122"/>
      <c r="AZ73" s="2513"/>
      <c r="BA73" s="2694"/>
      <c r="BB73" s="3150"/>
      <c r="BC73" s="2699"/>
      <c r="BD73" s="2699"/>
      <c r="BE73" s="2699"/>
      <c r="BF73" s="2699"/>
      <c r="BG73" s="4132"/>
      <c r="BH73" s="118"/>
    </row>
    <row r="74" spans="1:60" ht="39.75" customHeight="1" thickBot="1" x14ac:dyDescent="0.25">
      <c r="A74" s="4125" t="s">
        <v>760</v>
      </c>
      <c r="B74" s="4126"/>
      <c r="C74" s="4126"/>
      <c r="D74" s="4126"/>
      <c r="E74" s="4126"/>
      <c r="F74" s="4126"/>
      <c r="G74" s="4126"/>
      <c r="H74" s="4126"/>
      <c r="I74" s="4126"/>
      <c r="J74" s="4126"/>
      <c r="K74" s="4126"/>
      <c r="L74" s="4126"/>
      <c r="M74" s="4126"/>
      <c r="N74" s="4126"/>
      <c r="O74" s="4127"/>
      <c r="P74" s="127">
        <f>SUM(P13:P73)</f>
        <v>6999273806</v>
      </c>
      <c r="Q74" s="128"/>
      <c r="R74" s="129"/>
      <c r="S74" s="130"/>
      <c r="T74" s="127">
        <f>SUM(T13:T73)</f>
        <v>6999273806</v>
      </c>
      <c r="U74" s="131">
        <f>SUM(U13:U73)</f>
        <v>345018000</v>
      </c>
      <c r="V74" s="131">
        <f>SUM(V13:V73)</f>
        <v>81790000</v>
      </c>
      <c r="W74" s="132"/>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33">
        <f>AX16+AX19+AX22+AX28+AX30+AX33+AX41+AX46+AX51+AX55+AX59+AX62+AX68+AX71</f>
        <v>345018000</v>
      </c>
      <c r="AY74" s="133">
        <f>AY16+AY19+AY22+AY28+AY30+AY33+AY41+AY46+AY51+AY55+AY59+AY62+AY68+AY71</f>
        <v>81790000</v>
      </c>
      <c r="AZ74" s="134">
        <f>+AY74/AX74</f>
        <v>0.23706009541531167</v>
      </c>
      <c r="BA74" s="129"/>
      <c r="BB74" s="129"/>
      <c r="BC74" s="129"/>
      <c r="BD74" s="129"/>
      <c r="BE74" s="129"/>
      <c r="BF74" s="129"/>
      <c r="BG74" s="130"/>
    </row>
    <row r="75" spans="1:60" ht="15" x14ac:dyDescent="0.25">
      <c r="A75" s="40"/>
      <c r="B75" s="40"/>
      <c r="C75" s="40"/>
      <c r="D75" s="40"/>
      <c r="E75" s="135"/>
      <c r="F75" s="136"/>
      <c r="G75" s="137"/>
      <c r="H75" s="137"/>
      <c r="I75" s="138"/>
      <c r="J75" s="139"/>
      <c r="K75" s="139"/>
      <c r="L75" s="139"/>
      <c r="M75" s="139"/>
      <c r="N75" s="138"/>
      <c r="O75" s="140"/>
      <c r="P75" s="141"/>
      <c r="Q75" s="137"/>
      <c r="R75" s="142"/>
      <c r="S75" s="143"/>
      <c r="T75" s="144"/>
      <c r="U75" s="144"/>
      <c r="V75" s="144"/>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BC75" s="147"/>
      <c r="BE75" s="147"/>
      <c r="BG75" s="148"/>
    </row>
    <row r="76" spans="1:60" ht="15" x14ac:dyDescent="0.25">
      <c r="A76" s="40"/>
      <c r="B76" s="40"/>
      <c r="C76" s="40"/>
      <c r="D76" s="40"/>
      <c r="E76" s="135"/>
      <c r="F76" s="136"/>
      <c r="G76" s="137"/>
      <c r="H76" s="137"/>
      <c r="I76" s="138"/>
      <c r="J76" s="139"/>
      <c r="K76" s="139"/>
      <c r="L76" s="139"/>
      <c r="M76" s="139"/>
      <c r="N76" s="138"/>
      <c r="O76" s="140"/>
      <c r="P76" s="141"/>
      <c r="Q76" s="137"/>
      <c r="R76" s="142"/>
      <c r="S76" s="143"/>
      <c r="T76" s="144"/>
      <c r="U76" s="144"/>
      <c r="V76" s="144"/>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BC76" s="138"/>
      <c r="BE76" s="138"/>
      <c r="BG76" s="148"/>
    </row>
    <row r="77" spans="1:60" x14ac:dyDescent="0.2">
      <c r="A77" s="40"/>
      <c r="B77" s="40"/>
      <c r="C77" s="40"/>
      <c r="D77" s="40"/>
      <c r="E77" s="135"/>
      <c r="F77" s="149"/>
      <c r="G77" s="135"/>
      <c r="H77" s="135"/>
      <c r="I77" s="135"/>
      <c r="J77" s="135"/>
      <c r="K77" s="135"/>
      <c r="L77" s="139"/>
      <c r="M77" s="139"/>
      <c r="N77" s="140"/>
      <c r="O77" s="140"/>
      <c r="P77" s="150"/>
      <c r="Q77" s="140"/>
      <c r="R77" s="140"/>
      <c r="U77" s="152"/>
      <c r="V77" s="152"/>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BG77" s="148"/>
    </row>
    <row r="78" spans="1:60" x14ac:dyDescent="0.2">
      <c r="A78" s="40"/>
      <c r="B78" s="40"/>
      <c r="C78" s="40"/>
      <c r="D78" s="40"/>
      <c r="E78" s="135"/>
      <c r="F78" s="149"/>
      <c r="G78" s="135"/>
      <c r="H78" s="135"/>
      <c r="I78" s="135"/>
      <c r="J78" s="135"/>
      <c r="K78" s="135"/>
      <c r="L78" s="139"/>
      <c r="M78" s="139"/>
      <c r="N78" s="140"/>
      <c r="O78" s="140"/>
      <c r="P78" s="150"/>
      <c r="Q78" s="140"/>
      <c r="R78" s="40"/>
      <c r="U78" s="152"/>
      <c r="V78" s="152"/>
      <c r="W78" s="40"/>
      <c r="X78" s="40"/>
      <c r="Y78" s="40"/>
      <c r="Z78" s="40"/>
      <c r="AA78" s="153"/>
      <c r="AB78" s="40"/>
      <c r="AC78" s="40"/>
      <c r="AD78" s="40"/>
      <c r="AE78" s="40"/>
      <c r="AF78" s="40"/>
      <c r="AG78" s="40"/>
      <c r="AH78" s="40"/>
      <c r="AI78" s="40"/>
      <c r="AJ78" s="40"/>
      <c r="AK78" s="40"/>
      <c r="AL78" s="40"/>
      <c r="AM78" s="40"/>
      <c r="AN78" s="40"/>
      <c r="AO78" s="40"/>
      <c r="AP78" s="40"/>
      <c r="AQ78" s="40"/>
      <c r="AR78" s="40"/>
      <c r="AS78" s="40"/>
      <c r="AT78" s="40"/>
    </row>
    <row r="79" spans="1:60" x14ac:dyDescent="0.2">
      <c r="A79" s="40"/>
      <c r="B79" s="40"/>
      <c r="C79" s="40"/>
      <c r="D79" s="40"/>
      <c r="E79" s="135"/>
      <c r="F79" s="149"/>
      <c r="G79" s="135"/>
      <c r="H79" s="135"/>
      <c r="I79" s="135"/>
      <c r="J79" s="135"/>
      <c r="K79" s="135"/>
      <c r="L79" s="139"/>
      <c r="M79" s="139"/>
      <c r="N79" s="140"/>
      <c r="O79" s="140"/>
      <c r="P79" s="150"/>
      <c r="Q79" s="140"/>
      <c r="R79" s="40"/>
      <c r="S79" s="40"/>
      <c r="T79" s="152"/>
      <c r="U79" s="152"/>
      <c r="V79" s="152"/>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row>
    <row r="80" spans="1:60" ht="15" x14ac:dyDescent="0.2">
      <c r="A80" s="40"/>
      <c r="B80" s="40"/>
      <c r="C80" s="40"/>
      <c r="D80" s="40"/>
      <c r="E80" s="135"/>
      <c r="F80" s="149"/>
      <c r="G80" s="135"/>
      <c r="H80" s="2477" t="s">
        <v>761</v>
      </c>
      <c r="I80" s="2477"/>
      <c r="J80" s="135"/>
      <c r="K80" s="135"/>
      <c r="L80" s="139"/>
      <c r="M80" s="139"/>
      <c r="N80" s="140"/>
      <c r="O80" s="140"/>
      <c r="P80" s="150"/>
      <c r="Q80" s="140"/>
      <c r="R80" s="40"/>
      <c r="S80" s="40"/>
      <c r="T80" s="152"/>
      <c r="U80" s="152"/>
      <c r="V80" s="152"/>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row>
    <row r="81" spans="1:46" ht="18" customHeight="1" x14ac:dyDescent="0.25">
      <c r="A81" s="40"/>
      <c r="B81" s="40"/>
      <c r="C81" s="40"/>
      <c r="D81" s="40"/>
      <c r="E81" s="135"/>
      <c r="F81" s="149"/>
      <c r="G81" s="135"/>
      <c r="H81" s="4128" t="s">
        <v>583</v>
      </c>
      <c r="I81" s="4128"/>
      <c r="J81" s="135"/>
      <c r="K81" s="135"/>
      <c r="L81" s="139"/>
      <c r="M81" s="139"/>
      <c r="N81" s="140"/>
      <c r="O81" s="140"/>
      <c r="P81" s="150"/>
      <c r="Q81" s="140"/>
      <c r="R81" s="40"/>
      <c r="S81" s="40"/>
      <c r="T81" s="152"/>
      <c r="U81" s="152"/>
      <c r="V81" s="152"/>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row>
    <row r="82" spans="1:46" x14ac:dyDescent="0.2">
      <c r="E82" s="135"/>
      <c r="F82" s="149"/>
      <c r="G82" s="135"/>
      <c r="H82" s="135"/>
      <c r="I82" s="135"/>
      <c r="J82" s="135"/>
      <c r="K82" s="135"/>
      <c r="L82" s="139"/>
      <c r="M82" s="139"/>
      <c r="N82" s="140"/>
      <c r="O82" s="140"/>
      <c r="P82" s="150"/>
      <c r="Q82" s="140"/>
      <c r="R82" s="40"/>
      <c r="S82" s="40"/>
      <c r="T82" s="152"/>
      <c r="U82" s="152"/>
      <c r="V82" s="152"/>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row>
    <row r="83" spans="1:46" x14ac:dyDescent="0.2">
      <c r="A83" s="40"/>
      <c r="B83" s="40"/>
      <c r="C83" s="40"/>
      <c r="D83" s="40"/>
      <c r="E83" s="135"/>
      <c r="F83" s="149"/>
      <c r="G83" s="135"/>
      <c r="H83" s="135"/>
      <c r="I83" s="135"/>
      <c r="J83" s="135"/>
      <c r="K83" s="135"/>
      <c r="L83" s="139"/>
      <c r="M83" s="139"/>
      <c r="N83" s="140"/>
      <c r="O83" s="140"/>
      <c r="P83" s="150"/>
      <c r="Q83" s="140"/>
      <c r="R83" s="40"/>
      <c r="S83" s="40"/>
      <c r="T83" s="152"/>
      <c r="U83" s="152"/>
      <c r="V83" s="152"/>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row>
    <row r="84" spans="1:46" x14ac:dyDescent="0.2">
      <c r="A84" s="40"/>
      <c r="B84" s="40"/>
      <c r="C84" s="40"/>
      <c r="D84" s="40"/>
      <c r="E84" s="135"/>
      <c r="F84" s="149"/>
      <c r="G84" s="135"/>
      <c r="H84" s="135"/>
      <c r="I84" s="135"/>
      <c r="J84" s="135"/>
      <c r="K84" s="135"/>
      <c r="L84" s="139"/>
      <c r="M84" s="139"/>
      <c r="N84" s="140"/>
      <c r="O84" s="140"/>
      <c r="P84" s="150"/>
      <c r="Q84" s="140"/>
      <c r="R84" s="40"/>
      <c r="S84" s="40"/>
      <c r="T84" s="152"/>
      <c r="U84" s="152"/>
      <c r="V84" s="152"/>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row>
    <row r="85" spans="1:46" ht="52.5" customHeight="1" x14ac:dyDescent="0.2">
      <c r="A85" s="40"/>
      <c r="B85" s="40"/>
      <c r="C85" s="40"/>
      <c r="D85" s="4129" t="s">
        <v>762</v>
      </c>
      <c r="E85" s="4130"/>
      <c r="F85" s="4130"/>
      <c r="G85" s="4130"/>
      <c r="H85" s="135"/>
      <c r="I85" s="135"/>
      <c r="J85" s="135"/>
      <c r="K85" s="135"/>
      <c r="L85" s="139"/>
      <c r="M85" s="139"/>
      <c r="N85" s="140"/>
      <c r="O85" s="140"/>
      <c r="P85" s="150"/>
      <c r="Q85" s="140"/>
      <c r="R85" s="40"/>
      <c r="S85" s="40"/>
      <c r="T85" s="152"/>
      <c r="U85" s="152"/>
      <c r="V85" s="152"/>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row>
    <row r="86" spans="1:46" x14ac:dyDescent="0.2">
      <c r="A86" s="40"/>
      <c r="B86" s="40"/>
      <c r="C86" s="40"/>
      <c r="D86" s="40"/>
      <c r="E86" s="135"/>
      <c r="F86" s="149"/>
      <c r="G86" s="135"/>
      <c r="H86" s="135"/>
      <c r="I86" s="135"/>
      <c r="J86" s="135"/>
      <c r="K86" s="135"/>
      <c r="L86" s="139"/>
      <c r="M86" s="139"/>
      <c r="N86" s="140"/>
      <c r="O86" s="140"/>
      <c r="P86" s="150"/>
      <c r="Q86" s="140"/>
      <c r="R86" s="40"/>
      <c r="S86" s="40"/>
      <c r="T86" s="152"/>
      <c r="U86" s="152"/>
      <c r="V86" s="152"/>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row>
    <row r="87" spans="1:46" x14ac:dyDescent="0.2">
      <c r="A87" s="40"/>
      <c r="B87" s="40"/>
      <c r="C87" s="40"/>
      <c r="D87" s="40"/>
      <c r="E87" s="135"/>
      <c r="F87" s="149"/>
      <c r="G87" s="135"/>
      <c r="H87" s="135"/>
      <c r="I87" s="135"/>
      <c r="J87" s="135"/>
      <c r="K87" s="135"/>
      <c r="L87" s="139"/>
      <c r="M87" s="139"/>
      <c r="N87" s="140"/>
      <c r="O87" s="140"/>
      <c r="P87" s="150"/>
      <c r="Q87" s="140"/>
      <c r="R87" s="40"/>
      <c r="S87" s="40"/>
      <c r="T87" s="152"/>
      <c r="U87" s="152"/>
      <c r="V87" s="152"/>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row>
    <row r="88" spans="1:46" x14ac:dyDescent="0.2">
      <c r="A88" s="40"/>
      <c r="B88" s="40"/>
      <c r="C88" s="40"/>
      <c r="D88" s="40"/>
      <c r="E88" s="135"/>
      <c r="F88" s="149"/>
      <c r="G88" s="135"/>
      <c r="H88" s="135"/>
      <c r="I88" s="135"/>
      <c r="J88" s="135"/>
      <c r="K88" s="135"/>
      <c r="L88" s="139"/>
      <c r="M88" s="139"/>
      <c r="N88" s="140"/>
      <c r="O88" s="140"/>
      <c r="P88" s="150"/>
      <c r="Q88" s="140"/>
      <c r="R88" s="40"/>
      <c r="S88" s="40"/>
      <c r="T88" s="152"/>
      <c r="U88" s="152"/>
      <c r="V88" s="152"/>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row>
    <row r="89" spans="1:46" ht="14.25" customHeight="1" x14ac:dyDescent="0.2">
      <c r="A89" s="40"/>
      <c r="B89" s="40"/>
      <c r="C89" s="40"/>
      <c r="D89" s="40"/>
      <c r="E89" s="135"/>
      <c r="F89" s="149"/>
      <c r="G89" s="135"/>
      <c r="H89" s="135"/>
      <c r="I89" s="135"/>
      <c r="J89" s="135"/>
      <c r="K89" s="135"/>
      <c r="L89" s="139"/>
      <c r="M89" s="139"/>
      <c r="N89" s="140"/>
      <c r="O89" s="140"/>
      <c r="P89" s="150"/>
      <c r="Q89" s="140"/>
      <c r="R89" s="40"/>
      <c r="S89" s="40"/>
      <c r="T89" s="152"/>
      <c r="U89" s="152"/>
      <c r="V89" s="152"/>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row>
    <row r="90" spans="1:46" x14ac:dyDescent="0.2">
      <c r="A90" s="40"/>
      <c r="B90" s="40"/>
      <c r="C90" s="40"/>
      <c r="D90" s="40"/>
      <c r="E90" s="135"/>
      <c r="F90" s="149"/>
      <c r="G90" s="135"/>
      <c r="H90" s="135"/>
      <c r="I90" s="135"/>
      <c r="J90" s="135"/>
      <c r="K90" s="135"/>
      <c r="L90" s="139"/>
      <c r="M90" s="139"/>
      <c r="N90" s="140"/>
      <c r="O90" s="140"/>
      <c r="P90" s="150"/>
      <c r="Q90" s="140"/>
      <c r="R90" s="40"/>
      <c r="S90" s="40"/>
      <c r="T90" s="152"/>
      <c r="U90" s="152"/>
      <c r="V90" s="152"/>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row>
    <row r="91" spans="1:46" x14ac:dyDescent="0.2">
      <c r="A91" s="40"/>
      <c r="B91" s="40"/>
      <c r="C91" s="40"/>
      <c r="D91" s="40"/>
      <c r="E91" s="135"/>
      <c r="F91" s="149"/>
      <c r="G91" s="135"/>
      <c r="H91" s="135"/>
      <c r="I91" s="135"/>
      <c r="J91" s="135"/>
      <c r="K91" s="135"/>
      <c r="L91" s="139"/>
      <c r="M91" s="139"/>
      <c r="N91" s="140"/>
      <c r="O91" s="140"/>
      <c r="P91" s="150"/>
      <c r="Q91" s="140"/>
      <c r="R91" s="40"/>
      <c r="S91" s="40"/>
      <c r="T91" s="152"/>
      <c r="U91" s="152"/>
      <c r="V91" s="152"/>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row>
    <row r="92" spans="1:46" x14ac:dyDescent="0.2">
      <c r="A92" s="40"/>
      <c r="B92" s="40"/>
      <c r="C92" s="40"/>
      <c r="D92" s="40"/>
      <c r="E92" s="135"/>
      <c r="F92" s="149"/>
      <c r="G92" s="135"/>
      <c r="H92" s="135"/>
      <c r="I92" s="135"/>
      <c r="J92" s="135"/>
      <c r="K92" s="135"/>
      <c r="L92" s="139"/>
      <c r="M92" s="139"/>
      <c r="N92" s="140"/>
      <c r="O92" s="140"/>
      <c r="P92" s="150"/>
      <c r="Q92" s="140"/>
      <c r="R92" s="40"/>
      <c r="S92" s="40"/>
      <c r="T92" s="152"/>
      <c r="U92" s="152"/>
      <c r="V92" s="152"/>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row>
    <row r="93" spans="1:46" x14ac:dyDescent="0.2">
      <c r="A93" s="40"/>
      <c r="B93" s="40"/>
      <c r="C93" s="40"/>
      <c r="D93" s="40"/>
      <c r="E93" s="135"/>
      <c r="F93" s="149"/>
      <c r="G93" s="135"/>
      <c r="H93" s="135"/>
      <c r="I93" s="135"/>
      <c r="J93" s="135"/>
      <c r="K93" s="135"/>
      <c r="L93" s="139"/>
      <c r="M93" s="139"/>
      <c r="N93" s="140"/>
      <c r="O93" s="140"/>
      <c r="P93" s="150"/>
      <c r="Q93" s="140"/>
      <c r="R93" s="40"/>
      <c r="S93" s="40"/>
      <c r="T93" s="152"/>
      <c r="U93" s="152"/>
      <c r="V93" s="152"/>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row>
    <row r="94" spans="1:46" x14ac:dyDescent="0.2">
      <c r="A94" s="40"/>
      <c r="B94" s="40"/>
      <c r="C94" s="40"/>
      <c r="D94" s="40"/>
      <c r="E94" s="135"/>
      <c r="F94" s="149"/>
      <c r="G94" s="135"/>
      <c r="H94" s="135"/>
      <c r="I94" s="135"/>
      <c r="J94" s="135"/>
      <c r="K94" s="135"/>
      <c r="L94" s="139"/>
      <c r="M94" s="139"/>
      <c r="N94" s="140"/>
      <c r="O94" s="140"/>
      <c r="P94" s="150"/>
      <c r="Q94" s="140"/>
      <c r="R94" s="40"/>
      <c r="S94" s="40"/>
      <c r="T94" s="152"/>
      <c r="U94" s="152"/>
      <c r="V94" s="152"/>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row>
    <row r="95" spans="1:46" x14ac:dyDescent="0.2">
      <c r="A95" s="40"/>
      <c r="B95" s="40"/>
      <c r="C95" s="40"/>
      <c r="D95" s="40"/>
      <c r="E95" s="135"/>
      <c r="F95" s="149"/>
      <c r="G95" s="135"/>
      <c r="H95" s="135"/>
      <c r="I95" s="135"/>
      <c r="J95" s="135"/>
      <c r="K95" s="135"/>
      <c r="L95" s="139"/>
      <c r="M95" s="139"/>
      <c r="N95" s="140"/>
      <c r="O95" s="140"/>
      <c r="P95" s="150"/>
      <c r="Q95" s="140"/>
      <c r="R95" s="40"/>
      <c r="S95" s="40"/>
      <c r="T95" s="152"/>
      <c r="U95" s="152"/>
      <c r="V95" s="152"/>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row>
    <row r="96" spans="1:46" x14ac:dyDescent="0.2">
      <c r="A96" s="40"/>
      <c r="B96" s="40"/>
      <c r="C96" s="40"/>
      <c r="D96" s="40"/>
      <c r="E96" s="135"/>
      <c r="F96" s="149"/>
      <c r="G96" s="135"/>
      <c r="H96" s="135"/>
      <c r="I96" s="135"/>
      <c r="J96" s="135"/>
      <c r="K96" s="135"/>
      <c r="L96" s="139"/>
      <c r="M96" s="139"/>
      <c r="N96" s="140"/>
      <c r="O96" s="140"/>
      <c r="P96" s="150"/>
      <c r="Q96" s="140"/>
      <c r="R96" s="40"/>
      <c r="S96" s="40"/>
      <c r="T96" s="152"/>
      <c r="U96" s="152"/>
      <c r="V96" s="152"/>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row>
    <row r="97" spans="1:46" x14ac:dyDescent="0.2">
      <c r="A97" s="40"/>
      <c r="B97" s="40"/>
      <c r="C97" s="40"/>
      <c r="D97" s="40"/>
      <c r="E97" s="135"/>
      <c r="F97" s="149"/>
      <c r="G97" s="135"/>
      <c r="H97" s="135"/>
      <c r="I97" s="135"/>
      <c r="J97" s="135"/>
      <c r="K97" s="135"/>
      <c r="L97" s="139"/>
      <c r="M97" s="139"/>
      <c r="N97" s="140"/>
      <c r="O97" s="140"/>
      <c r="P97" s="150"/>
      <c r="Q97" s="140"/>
      <c r="R97" s="40"/>
      <c r="S97" s="40"/>
      <c r="T97" s="152"/>
      <c r="U97" s="152"/>
      <c r="V97" s="152"/>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row>
    <row r="98" spans="1:46" x14ac:dyDescent="0.2">
      <c r="A98" s="40"/>
      <c r="B98" s="40"/>
      <c r="C98" s="40"/>
      <c r="D98" s="40"/>
      <c r="E98" s="135"/>
      <c r="F98" s="149"/>
      <c r="G98" s="135"/>
      <c r="H98" s="135"/>
      <c r="I98" s="135"/>
      <c r="J98" s="135"/>
      <c r="K98" s="135"/>
      <c r="L98" s="139"/>
      <c r="M98" s="139"/>
      <c r="N98" s="140"/>
      <c r="O98" s="140"/>
      <c r="P98" s="150"/>
      <c r="Q98" s="140"/>
      <c r="R98" s="40"/>
      <c r="S98" s="40"/>
      <c r="T98" s="152"/>
      <c r="U98" s="152"/>
      <c r="V98" s="152"/>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row>
    <row r="99" spans="1:46" x14ac:dyDescent="0.2">
      <c r="A99" s="40"/>
      <c r="B99" s="40"/>
      <c r="C99" s="40"/>
      <c r="D99" s="40"/>
      <c r="E99" s="135"/>
      <c r="F99" s="149"/>
      <c r="G99" s="135"/>
      <c r="H99" s="135"/>
      <c r="I99" s="135"/>
      <c r="J99" s="135"/>
      <c r="K99" s="135"/>
      <c r="L99" s="135"/>
      <c r="M99" s="135"/>
      <c r="N99" s="40"/>
      <c r="O99" s="40"/>
      <c r="P99" s="152"/>
      <c r="Q99" s="40"/>
      <c r="R99" s="40"/>
      <c r="S99" s="40"/>
      <c r="T99" s="152"/>
      <c r="U99" s="152"/>
      <c r="V99" s="152"/>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row>
    <row r="100" spans="1:46" x14ac:dyDescent="0.2">
      <c r="A100" s="40"/>
      <c r="B100" s="40"/>
      <c r="C100" s="40"/>
      <c r="D100" s="40"/>
      <c r="E100" s="40"/>
      <c r="F100" s="154"/>
      <c r="G100" s="40"/>
      <c r="H100" s="40"/>
      <c r="I100" s="40"/>
      <c r="J100" s="40"/>
      <c r="K100" s="40"/>
      <c r="L100" s="40"/>
      <c r="M100" s="40"/>
      <c r="N100" s="40"/>
      <c r="O100" s="40"/>
      <c r="P100" s="152"/>
      <c r="Q100" s="40"/>
      <c r="R100" s="40"/>
      <c r="S100" s="40"/>
      <c r="T100" s="152"/>
      <c r="U100" s="152"/>
      <c r="V100" s="152"/>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row>
    <row r="101" spans="1:46" x14ac:dyDescent="0.2">
      <c r="A101" s="40"/>
      <c r="B101" s="40"/>
      <c r="C101" s="40"/>
      <c r="D101" s="40"/>
      <c r="E101" s="40"/>
      <c r="F101" s="154"/>
      <c r="G101" s="40"/>
      <c r="H101" s="40"/>
      <c r="I101" s="40"/>
      <c r="J101" s="40"/>
      <c r="K101" s="40"/>
      <c r="L101" s="40"/>
      <c r="M101" s="40"/>
      <c r="N101" s="40"/>
      <c r="O101" s="40"/>
      <c r="P101" s="152"/>
      <c r="Q101" s="40"/>
      <c r="R101" s="40"/>
      <c r="S101" s="40"/>
      <c r="T101" s="152"/>
      <c r="U101" s="152"/>
      <c r="V101" s="152"/>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row>
    <row r="102" spans="1:46" x14ac:dyDescent="0.2">
      <c r="A102" s="40"/>
      <c r="B102" s="40"/>
      <c r="C102" s="40"/>
      <c r="D102" s="40"/>
      <c r="E102" s="40"/>
      <c r="F102" s="154"/>
      <c r="G102" s="40"/>
      <c r="H102" s="40"/>
      <c r="I102" s="40"/>
      <c r="J102" s="40"/>
      <c r="K102" s="40"/>
      <c r="L102" s="40"/>
      <c r="M102" s="40"/>
      <c r="N102" s="40"/>
      <c r="O102" s="40"/>
      <c r="P102" s="152"/>
      <c r="Q102" s="40"/>
      <c r="R102" s="40"/>
      <c r="S102" s="40"/>
      <c r="T102" s="152"/>
      <c r="U102" s="152"/>
      <c r="V102" s="152"/>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row>
    <row r="103" spans="1:46" x14ac:dyDescent="0.2">
      <c r="A103" s="40"/>
      <c r="B103" s="40"/>
      <c r="C103" s="40"/>
      <c r="D103" s="40"/>
      <c r="E103" s="40"/>
      <c r="F103" s="154"/>
      <c r="G103" s="40"/>
      <c r="H103" s="40"/>
      <c r="I103" s="40"/>
      <c r="J103" s="40"/>
      <c r="K103" s="40"/>
      <c r="L103" s="40"/>
      <c r="M103" s="40"/>
      <c r="N103" s="40"/>
      <c r="O103" s="40"/>
      <c r="P103" s="152"/>
      <c r="Q103" s="40"/>
      <c r="R103" s="40"/>
      <c r="S103" s="40"/>
      <c r="T103" s="152"/>
      <c r="U103" s="152"/>
      <c r="V103" s="152"/>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row>
    <row r="104" spans="1:46" x14ac:dyDescent="0.2">
      <c r="A104" s="40"/>
      <c r="B104" s="40"/>
      <c r="C104" s="40"/>
      <c r="D104" s="40"/>
      <c r="E104" s="40"/>
      <c r="F104" s="154"/>
      <c r="G104" s="40"/>
      <c r="H104" s="40"/>
      <c r="I104" s="40"/>
      <c r="J104" s="40"/>
      <c r="K104" s="40"/>
      <c r="L104" s="40"/>
      <c r="M104" s="40"/>
      <c r="N104" s="40"/>
      <c r="O104" s="40"/>
      <c r="P104" s="152"/>
      <c r="Q104" s="40"/>
      <c r="R104" s="40"/>
    </row>
    <row r="105" spans="1:46" x14ac:dyDescent="0.2">
      <c r="A105" s="40"/>
      <c r="B105" s="40"/>
      <c r="C105" s="40"/>
      <c r="D105" s="40"/>
      <c r="E105" s="40"/>
      <c r="F105" s="154"/>
      <c r="G105" s="40"/>
      <c r="H105" s="40"/>
      <c r="I105" s="40"/>
      <c r="J105" s="40"/>
      <c r="K105" s="40"/>
      <c r="L105" s="40"/>
      <c r="M105" s="40"/>
      <c r="N105" s="40"/>
      <c r="O105" s="40"/>
      <c r="P105" s="152"/>
      <c r="Q105" s="40"/>
      <c r="R105" s="40"/>
    </row>
  </sheetData>
  <sheetProtection password="CBEB" sheet="1" objects="1" scenarios="1"/>
  <mergeCells count="718">
    <mergeCell ref="A74:O74"/>
    <mergeCell ref="H80:I80"/>
    <mergeCell ref="H81:I81"/>
    <mergeCell ref="D85:G85"/>
    <mergeCell ref="BF68:BF73"/>
    <mergeCell ref="BG68:BG73"/>
    <mergeCell ref="L72:L73"/>
    <mergeCell ref="S72:S73"/>
    <mergeCell ref="X72:X73"/>
    <mergeCell ref="AW72:AW73"/>
    <mergeCell ref="AX72:AX73"/>
    <mergeCell ref="AY72:AY73"/>
    <mergeCell ref="AZ72:AZ73"/>
    <mergeCell ref="BA72:BA73"/>
    <mergeCell ref="AZ68:AZ70"/>
    <mergeCell ref="BA68:BA71"/>
    <mergeCell ref="BB68:BB73"/>
    <mergeCell ref="BC68:BC73"/>
    <mergeCell ref="BD68:BD73"/>
    <mergeCell ref="BE68:BE73"/>
    <mergeCell ref="AT68:AT73"/>
    <mergeCell ref="AU68:AU73"/>
    <mergeCell ref="AV68:AV73"/>
    <mergeCell ref="AW68:AW71"/>
    <mergeCell ref="AX68:AX70"/>
    <mergeCell ref="AY68:AY70"/>
    <mergeCell ref="AN68:AN73"/>
    <mergeCell ref="AO68:AO73"/>
    <mergeCell ref="AP68:AP73"/>
    <mergeCell ref="AQ68:AQ73"/>
    <mergeCell ref="AR68:AR73"/>
    <mergeCell ref="AS68:AS73"/>
    <mergeCell ref="AH68:AH73"/>
    <mergeCell ref="AI68:AI73"/>
    <mergeCell ref="AJ68:AJ73"/>
    <mergeCell ref="AK68:AK73"/>
    <mergeCell ref="AL68:AL73"/>
    <mergeCell ref="AM68:AM73"/>
    <mergeCell ref="AB68:AB73"/>
    <mergeCell ref="AC68:AC73"/>
    <mergeCell ref="AD68:AD73"/>
    <mergeCell ref="AE68:AE73"/>
    <mergeCell ref="AF68:AF73"/>
    <mergeCell ref="AG68:AG73"/>
    <mergeCell ref="R68:R73"/>
    <mergeCell ref="W68:W71"/>
    <mergeCell ref="X68:X71"/>
    <mergeCell ref="Y68:Y73"/>
    <mergeCell ref="Z68:Z73"/>
    <mergeCell ref="AA68:AA73"/>
    <mergeCell ref="L68:L70"/>
    <mergeCell ref="M68:M73"/>
    <mergeCell ref="N68:N73"/>
    <mergeCell ref="O68:O70"/>
    <mergeCell ref="P68:P73"/>
    <mergeCell ref="Q68:Q73"/>
    <mergeCell ref="BD62:BD65"/>
    <mergeCell ref="BE62:BE65"/>
    <mergeCell ref="BF62:BF65"/>
    <mergeCell ref="AQ62:AQ65"/>
    <mergeCell ref="AF62:AF65"/>
    <mergeCell ref="AG62:AG65"/>
    <mergeCell ref="AH62:AH65"/>
    <mergeCell ref="AI62:AI65"/>
    <mergeCell ref="AJ62:AJ65"/>
    <mergeCell ref="AK62:AK65"/>
    <mergeCell ref="Z62:Z65"/>
    <mergeCell ref="AA62:AA65"/>
    <mergeCell ref="AB62:AB65"/>
    <mergeCell ref="AC62:AC65"/>
    <mergeCell ref="AD62:AD65"/>
    <mergeCell ref="AE62:AE65"/>
    <mergeCell ref="P62:P65"/>
    <mergeCell ref="Q62:Q65"/>
    <mergeCell ref="BG62:BG65"/>
    <mergeCell ref="R64:R65"/>
    <mergeCell ref="G68:G70"/>
    <mergeCell ref="H68:H70"/>
    <mergeCell ref="I68:I70"/>
    <mergeCell ref="J68:J70"/>
    <mergeCell ref="K68:K70"/>
    <mergeCell ref="AX62:AX65"/>
    <mergeCell ref="AY62:AY65"/>
    <mergeCell ref="AZ62:AZ65"/>
    <mergeCell ref="BA62:BA65"/>
    <mergeCell ref="BB62:BB65"/>
    <mergeCell ref="BC62:BC65"/>
    <mergeCell ref="AR62:AR65"/>
    <mergeCell ref="AS62:AS65"/>
    <mergeCell ref="AT62:AT65"/>
    <mergeCell ref="AU62:AU65"/>
    <mergeCell ref="AV62:AV65"/>
    <mergeCell ref="AW62:AW65"/>
    <mergeCell ref="AL62:AL65"/>
    <mergeCell ref="AM62:AM65"/>
    <mergeCell ref="AN62:AN65"/>
    <mergeCell ref="AO62:AO65"/>
    <mergeCell ref="AP62:AP65"/>
    <mergeCell ref="R62:R63"/>
    <mergeCell ref="W62:W65"/>
    <mergeCell ref="X62:X65"/>
    <mergeCell ref="Y62:Y65"/>
    <mergeCell ref="BG59:BG60"/>
    <mergeCell ref="G62:G65"/>
    <mergeCell ref="H62:H65"/>
    <mergeCell ref="I62:I65"/>
    <mergeCell ref="J62:J65"/>
    <mergeCell ref="K62:K65"/>
    <mergeCell ref="L62:L65"/>
    <mergeCell ref="M62:M65"/>
    <mergeCell ref="N62:N65"/>
    <mergeCell ref="O62:O65"/>
    <mergeCell ref="BA59:BA60"/>
    <mergeCell ref="BB59:BB60"/>
    <mergeCell ref="BC59:BC60"/>
    <mergeCell ref="BD59:BD60"/>
    <mergeCell ref="BE59:BE60"/>
    <mergeCell ref="BF59:BF60"/>
    <mergeCell ref="AU59:AU60"/>
    <mergeCell ref="AV59:AV60"/>
    <mergeCell ref="AW59:AW60"/>
    <mergeCell ref="AX59:AX60"/>
    <mergeCell ref="AY59:AY60"/>
    <mergeCell ref="AZ59:AZ60"/>
    <mergeCell ref="AO59:AO60"/>
    <mergeCell ref="AP59:AP60"/>
    <mergeCell ref="AQ59:AQ60"/>
    <mergeCell ref="AR59:AR60"/>
    <mergeCell ref="AS59:AS60"/>
    <mergeCell ref="AT59:AT60"/>
    <mergeCell ref="AI59:AI60"/>
    <mergeCell ref="AJ59:AJ60"/>
    <mergeCell ref="AK59:AK60"/>
    <mergeCell ref="AL59:AL60"/>
    <mergeCell ref="AM59:AM60"/>
    <mergeCell ref="AN59:AN60"/>
    <mergeCell ref="AC59:AC60"/>
    <mergeCell ref="AD59:AD60"/>
    <mergeCell ref="AE59:AE60"/>
    <mergeCell ref="AF59:AF60"/>
    <mergeCell ref="AG59:AG60"/>
    <mergeCell ref="AH59:AH60"/>
    <mergeCell ref="W59:W60"/>
    <mergeCell ref="X59:X60"/>
    <mergeCell ref="Y59:Y60"/>
    <mergeCell ref="Z59:Z60"/>
    <mergeCell ref="AA59:AA60"/>
    <mergeCell ref="AB59:AB60"/>
    <mergeCell ref="M59:M60"/>
    <mergeCell ref="N59:N60"/>
    <mergeCell ref="O59:O60"/>
    <mergeCell ref="P59:P60"/>
    <mergeCell ref="Q59:Q60"/>
    <mergeCell ref="R59:R60"/>
    <mergeCell ref="BD55:BD57"/>
    <mergeCell ref="BE55:BE57"/>
    <mergeCell ref="BF55:BF57"/>
    <mergeCell ref="AQ55:AQ57"/>
    <mergeCell ref="AF55:AF57"/>
    <mergeCell ref="AG55:AG57"/>
    <mergeCell ref="AH55:AH57"/>
    <mergeCell ref="AI55:AI57"/>
    <mergeCell ref="AJ55:AJ57"/>
    <mergeCell ref="AK55:AK57"/>
    <mergeCell ref="Z55:Z57"/>
    <mergeCell ref="AA55:AA57"/>
    <mergeCell ref="AB55:AB57"/>
    <mergeCell ref="AC55:AC57"/>
    <mergeCell ref="AD55:AD57"/>
    <mergeCell ref="AE55:AE57"/>
    <mergeCell ref="P55:P57"/>
    <mergeCell ref="Q55:Q57"/>
    <mergeCell ref="BG55:BG57"/>
    <mergeCell ref="G59:G60"/>
    <mergeCell ref="H59:H60"/>
    <mergeCell ref="I59:I60"/>
    <mergeCell ref="J59:J60"/>
    <mergeCell ref="K59:K60"/>
    <mergeCell ref="L59:L60"/>
    <mergeCell ref="AX55:AX57"/>
    <mergeCell ref="AY55:AY57"/>
    <mergeCell ref="AZ55:AZ57"/>
    <mergeCell ref="BA55:BA57"/>
    <mergeCell ref="BB55:BB57"/>
    <mergeCell ref="BC55:BC57"/>
    <mergeCell ref="AR55:AR57"/>
    <mergeCell ref="AS55:AS57"/>
    <mergeCell ref="AT55:AT57"/>
    <mergeCell ref="AU55:AU57"/>
    <mergeCell ref="AV55:AV57"/>
    <mergeCell ref="AW55:AW57"/>
    <mergeCell ref="AL55:AL57"/>
    <mergeCell ref="AM55:AM57"/>
    <mergeCell ref="AN55:AN57"/>
    <mergeCell ref="AO55:AO57"/>
    <mergeCell ref="AP55:AP57"/>
    <mergeCell ref="R55:R57"/>
    <mergeCell ref="W55:W57"/>
    <mergeCell ref="X55:X57"/>
    <mergeCell ref="Y55:Y57"/>
    <mergeCell ref="BG51:BG53"/>
    <mergeCell ref="G55:G57"/>
    <mergeCell ref="H55:H57"/>
    <mergeCell ref="I55:I57"/>
    <mergeCell ref="J55:J57"/>
    <mergeCell ref="K55:K57"/>
    <mergeCell ref="L55:L57"/>
    <mergeCell ref="M55:M57"/>
    <mergeCell ref="N55:N57"/>
    <mergeCell ref="O55:O57"/>
    <mergeCell ref="BA51:BA53"/>
    <mergeCell ref="BB51:BB53"/>
    <mergeCell ref="BC51:BC53"/>
    <mergeCell ref="BD51:BD53"/>
    <mergeCell ref="BE51:BE53"/>
    <mergeCell ref="BF51:BF53"/>
    <mergeCell ref="AU51:AU53"/>
    <mergeCell ref="AV51:AV53"/>
    <mergeCell ref="AW51:AW53"/>
    <mergeCell ref="AX51:AX53"/>
    <mergeCell ref="AY51:AY53"/>
    <mergeCell ref="AZ51:AZ53"/>
    <mergeCell ref="AO51:AO53"/>
    <mergeCell ref="AP51:AP53"/>
    <mergeCell ref="AQ51:AQ53"/>
    <mergeCell ref="AR51:AR53"/>
    <mergeCell ref="AS51:AS53"/>
    <mergeCell ref="AT51:AT53"/>
    <mergeCell ref="AI51:AI53"/>
    <mergeCell ref="AJ51:AJ53"/>
    <mergeCell ref="AK51:AK53"/>
    <mergeCell ref="AL51:AL53"/>
    <mergeCell ref="AM51:AM53"/>
    <mergeCell ref="AN51:AN53"/>
    <mergeCell ref="AC51:AC53"/>
    <mergeCell ref="AD51:AD53"/>
    <mergeCell ref="AE51:AE53"/>
    <mergeCell ref="AF51:AF53"/>
    <mergeCell ref="AG51:AG53"/>
    <mergeCell ref="AH51:AH53"/>
    <mergeCell ref="W51:W53"/>
    <mergeCell ref="X51:X53"/>
    <mergeCell ref="Y51:Y53"/>
    <mergeCell ref="Z51:Z53"/>
    <mergeCell ref="AA51:AA53"/>
    <mergeCell ref="AB51:AB53"/>
    <mergeCell ref="M51:M53"/>
    <mergeCell ref="N51:N53"/>
    <mergeCell ref="O51:O53"/>
    <mergeCell ref="P51:P53"/>
    <mergeCell ref="Q51:Q53"/>
    <mergeCell ref="R51:R52"/>
    <mergeCell ref="BD49:BD50"/>
    <mergeCell ref="BE49:BE50"/>
    <mergeCell ref="BF49:BF50"/>
    <mergeCell ref="AQ49:AQ50"/>
    <mergeCell ref="AF49:AF50"/>
    <mergeCell ref="AG49:AG50"/>
    <mergeCell ref="AH49:AH50"/>
    <mergeCell ref="AI49:AI50"/>
    <mergeCell ref="AJ49:AJ50"/>
    <mergeCell ref="AK49:AK50"/>
    <mergeCell ref="Z49:Z50"/>
    <mergeCell ref="AA49:AA50"/>
    <mergeCell ref="AB49:AB50"/>
    <mergeCell ref="AC49:AC50"/>
    <mergeCell ref="AD49:AD50"/>
    <mergeCell ref="AE49:AE50"/>
    <mergeCell ref="P49:P50"/>
    <mergeCell ref="Q49:Q50"/>
    <mergeCell ref="BG49:BG50"/>
    <mergeCell ref="G51:G53"/>
    <mergeCell ref="H51:H53"/>
    <mergeCell ref="I51:I53"/>
    <mergeCell ref="J51:J53"/>
    <mergeCell ref="K51:K53"/>
    <mergeCell ref="L51:L53"/>
    <mergeCell ref="AX49:AX50"/>
    <mergeCell ref="AY49:AY50"/>
    <mergeCell ref="AZ49:AZ50"/>
    <mergeCell ref="BA49:BA50"/>
    <mergeCell ref="BB49:BB50"/>
    <mergeCell ref="BC49:BC50"/>
    <mergeCell ref="AR49:AR50"/>
    <mergeCell ref="AS49:AS50"/>
    <mergeCell ref="AT49:AT50"/>
    <mergeCell ref="AU49:AU50"/>
    <mergeCell ref="AV49:AV50"/>
    <mergeCell ref="AW49:AW50"/>
    <mergeCell ref="AL49:AL50"/>
    <mergeCell ref="AM49:AM50"/>
    <mergeCell ref="AN49:AN50"/>
    <mergeCell ref="AO49:AO50"/>
    <mergeCell ref="AP49:AP50"/>
    <mergeCell ref="R49:R50"/>
    <mergeCell ref="W49:W50"/>
    <mergeCell ref="X49:X50"/>
    <mergeCell ref="Y49:Y50"/>
    <mergeCell ref="BG46:BG47"/>
    <mergeCell ref="G49:G50"/>
    <mergeCell ref="H49:H50"/>
    <mergeCell ref="I49:I50"/>
    <mergeCell ref="J49:J50"/>
    <mergeCell ref="K49:K50"/>
    <mergeCell ref="L49:L50"/>
    <mergeCell ref="M49:M50"/>
    <mergeCell ref="N49:N50"/>
    <mergeCell ref="O49:O50"/>
    <mergeCell ref="BA46:BA47"/>
    <mergeCell ref="BB46:BB47"/>
    <mergeCell ref="BC46:BC47"/>
    <mergeCell ref="BD46:BD47"/>
    <mergeCell ref="BE46:BE47"/>
    <mergeCell ref="BF46:BF47"/>
    <mergeCell ref="AU46:AU47"/>
    <mergeCell ref="AV46:AV47"/>
    <mergeCell ref="AW46:AW47"/>
    <mergeCell ref="AX46:AX47"/>
    <mergeCell ref="AY46:AY47"/>
    <mergeCell ref="AZ46:AZ47"/>
    <mergeCell ref="AO46:AO47"/>
    <mergeCell ref="AP46:AP47"/>
    <mergeCell ref="AQ46:AQ47"/>
    <mergeCell ref="AR46:AR47"/>
    <mergeCell ref="AS46:AS47"/>
    <mergeCell ref="AT46:AT47"/>
    <mergeCell ref="AI46:AI47"/>
    <mergeCell ref="AJ46:AJ47"/>
    <mergeCell ref="AK46:AK47"/>
    <mergeCell ref="AL46:AL47"/>
    <mergeCell ref="AM46:AM47"/>
    <mergeCell ref="AN46:AN47"/>
    <mergeCell ref="AC46:AC47"/>
    <mergeCell ref="AD46:AD47"/>
    <mergeCell ref="AE46:AE47"/>
    <mergeCell ref="AF46:AF47"/>
    <mergeCell ref="AG46:AG47"/>
    <mergeCell ref="AH46:AH47"/>
    <mergeCell ref="W46:W47"/>
    <mergeCell ref="X46:X47"/>
    <mergeCell ref="Y46:Y47"/>
    <mergeCell ref="Z46:Z47"/>
    <mergeCell ref="AA46:AA47"/>
    <mergeCell ref="AB46:AB47"/>
    <mergeCell ref="M46:M47"/>
    <mergeCell ref="N46:N47"/>
    <mergeCell ref="O46:O47"/>
    <mergeCell ref="P46:P47"/>
    <mergeCell ref="Q46:Q47"/>
    <mergeCell ref="R46:R47"/>
    <mergeCell ref="G46:G47"/>
    <mergeCell ref="H46:H47"/>
    <mergeCell ref="I46:I47"/>
    <mergeCell ref="J46:J47"/>
    <mergeCell ref="K46:K47"/>
    <mergeCell ref="L46:L47"/>
    <mergeCell ref="BE41:BE45"/>
    <mergeCell ref="BF41:BF45"/>
    <mergeCell ref="BG41:BG45"/>
    <mergeCell ref="R44:R45"/>
    <mergeCell ref="S44:S45"/>
    <mergeCell ref="T44:T45"/>
    <mergeCell ref="U44:U45"/>
    <mergeCell ref="V44:V45"/>
    <mergeCell ref="AY41:AY45"/>
    <mergeCell ref="AZ41:AZ45"/>
    <mergeCell ref="BA41:BA45"/>
    <mergeCell ref="BB41:BB45"/>
    <mergeCell ref="BC41:BC45"/>
    <mergeCell ref="BD41:BD45"/>
    <mergeCell ref="AS41:AS45"/>
    <mergeCell ref="AT41:AT45"/>
    <mergeCell ref="AU41:AU45"/>
    <mergeCell ref="AV41:AV45"/>
    <mergeCell ref="AW41:AW45"/>
    <mergeCell ref="AX41:AX45"/>
    <mergeCell ref="AM41:AM45"/>
    <mergeCell ref="AN41:AN45"/>
    <mergeCell ref="AO41:AO45"/>
    <mergeCell ref="AP41:AP45"/>
    <mergeCell ref="AQ41:AQ45"/>
    <mergeCell ref="AR41:AR45"/>
    <mergeCell ref="AG41:AG45"/>
    <mergeCell ref="AH41:AH45"/>
    <mergeCell ref="AI41:AI45"/>
    <mergeCell ref="AJ41:AJ45"/>
    <mergeCell ref="AK41:AK45"/>
    <mergeCell ref="AL41:AL45"/>
    <mergeCell ref="AA41:AA45"/>
    <mergeCell ref="AB41:AB45"/>
    <mergeCell ref="AC41:AC45"/>
    <mergeCell ref="AD41:AD45"/>
    <mergeCell ref="AE41:AE45"/>
    <mergeCell ref="AF41:AF45"/>
    <mergeCell ref="U41:U42"/>
    <mergeCell ref="V41:V42"/>
    <mergeCell ref="W41:W45"/>
    <mergeCell ref="X41:X45"/>
    <mergeCell ref="Y41:Y45"/>
    <mergeCell ref="Z41:Z45"/>
    <mergeCell ref="O41:O45"/>
    <mergeCell ref="P41:P45"/>
    <mergeCell ref="Q41:Q45"/>
    <mergeCell ref="R41:R43"/>
    <mergeCell ref="S41:S42"/>
    <mergeCell ref="T41:T42"/>
    <mergeCell ref="BG33:BG38"/>
    <mergeCell ref="R36:R38"/>
    <mergeCell ref="G41:G45"/>
    <mergeCell ref="H41:H45"/>
    <mergeCell ref="I41:I45"/>
    <mergeCell ref="J41:J45"/>
    <mergeCell ref="K41:K45"/>
    <mergeCell ref="L41:L45"/>
    <mergeCell ref="M41:M45"/>
    <mergeCell ref="N41:N45"/>
    <mergeCell ref="BA33:BA38"/>
    <mergeCell ref="BB33:BB38"/>
    <mergeCell ref="BC33:BC38"/>
    <mergeCell ref="BD33:BD38"/>
    <mergeCell ref="BE33:BE38"/>
    <mergeCell ref="BF33:BF38"/>
    <mergeCell ref="AU33:AU38"/>
    <mergeCell ref="AV33:AV38"/>
    <mergeCell ref="AW33:AW38"/>
    <mergeCell ref="AX33:AX38"/>
    <mergeCell ref="AY33:AY38"/>
    <mergeCell ref="AZ33:AZ38"/>
    <mergeCell ref="AO33:AO38"/>
    <mergeCell ref="AP33:AP38"/>
    <mergeCell ref="AQ33:AQ38"/>
    <mergeCell ref="AR33:AR38"/>
    <mergeCell ref="AS33:AS38"/>
    <mergeCell ref="AT33:AT38"/>
    <mergeCell ref="AI33:AI38"/>
    <mergeCell ref="AJ33:AJ38"/>
    <mergeCell ref="AK33:AK38"/>
    <mergeCell ref="AL33:AL38"/>
    <mergeCell ref="AM33:AM38"/>
    <mergeCell ref="AN33:AN38"/>
    <mergeCell ref="AC33:AC38"/>
    <mergeCell ref="AD33:AD38"/>
    <mergeCell ref="AE33:AE38"/>
    <mergeCell ref="AF33:AF38"/>
    <mergeCell ref="AG33:AG38"/>
    <mergeCell ref="AH33:AH38"/>
    <mergeCell ref="W33:W38"/>
    <mergeCell ref="X33:X38"/>
    <mergeCell ref="Y33:Y38"/>
    <mergeCell ref="Z33:Z38"/>
    <mergeCell ref="AA33:AA38"/>
    <mergeCell ref="AB33:AB38"/>
    <mergeCell ref="M33:M38"/>
    <mergeCell ref="N33:N38"/>
    <mergeCell ref="O33:O38"/>
    <mergeCell ref="P33:P38"/>
    <mergeCell ref="Q33:Q38"/>
    <mergeCell ref="R33:R35"/>
    <mergeCell ref="G33:G38"/>
    <mergeCell ref="H33:H38"/>
    <mergeCell ref="I33:I38"/>
    <mergeCell ref="J33:J38"/>
    <mergeCell ref="K33:K38"/>
    <mergeCell ref="L33:L38"/>
    <mergeCell ref="BG28:BG31"/>
    <mergeCell ref="G30:G31"/>
    <mergeCell ref="H30:H31"/>
    <mergeCell ref="I30:I31"/>
    <mergeCell ref="J30:J31"/>
    <mergeCell ref="K30:K31"/>
    <mergeCell ref="O30:O31"/>
    <mergeCell ref="R30:R31"/>
    <mergeCell ref="AW30:AW31"/>
    <mergeCell ref="AX30:AX31"/>
    <mergeCell ref="BA28:BA31"/>
    <mergeCell ref="BB28:BB31"/>
    <mergeCell ref="BC28:BC31"/>
    <mergeCell ref="BD28:BD31"/>
    <mergeCell ref="BE28:BE31"/>
    <mergeCell ref="BF28:BF31"/>
    <mergeCell ref="AR28:AR31"/>
    <mergeCell ref="AS28:AS31"/>
    <mergeCell ref="AT28:AT31"/>
    <mergeCell ref="AU28:AU31"/>
    <mergeCell ref="AV28:AV31"/>
    <mergeCell ref="AZ28:AZ31"/>
    <mergeCell ref="AY30:AY31"/>
    <mergeCell ref="AL28:AL31"/>
    <mergeCell ref="AM28:AM31"/>
    <mergeCell ref="AN28:AN31"/>
    <mergeCell ref="AO28:AO31"/>
    <mergeCell ref="AP28:AP31"/>
    <mergeCell ref="AQ28:AQ31"/>
    <mergeCell ref="AF28:AF31"/>
    <mergeCell ref="AG28:AG31"/>
    <mergeCell ref="AH28:AH31"/>
    <mergeCell ref="AI28:AI31"/>
    <mergeCell ref="AJ28:AJ31"/>
    <mergeCell ref="AK28:AK31"/>
    <mergeCell ref="Z28:Z31"/>
    <mergeCell ref="AA28:AA31"/>
    <mergeCell ref="AB28:AB31"/>
    <mergeCell ref="AC28:AC31"/>
    <mergeCell ref="AD28:AD31"/>
    <mergeCell ref="AE28:AE31"/>
    <mergeCell ref="BF22:BF26"/>
    <mergeCell ref="BG22:BG26"/>
    <mergeCell ref="L28:L31"/>
    <mergeCell ref="M28:M31"/>
    <mergeCell ref="N28:N31"/>
    <mergeCell ref="P28:P31"/>
    <mergeCell ref="Q28:Q31"/>
    <mergeCell ref="W28:W31"/>
    <mergeCell ref="X28:X31"/>
    <mergeCell ref="Y28:Y31"/>
    <mergeCell ref="AZ22:AZ26"/>
    <mergeCell ref="BA22:BA26"/>
    <mergeCell ref="BB22:BB26"/>
    <mergeCell ref="BC22:BC26"/>
    <mergeCell ref="BD22:BD26"/>
    <mergeCell ref="BE22:BE26"/>
    <mergeCell ref="AT22:AT26"/>
    <mergeCell ref="AU22:AU26"/>
    <mergeCell ref="AV22:AV26"/>
    <mergeCell ref="AW22:AW24"/>
    <mergeCell ref="AX22:AX24"/>
    <mergeCell ref="AY22:AY24"/>
    <mergeCell ref="AN22:AN26"/>
    <mergeCell ref="AO22:AO26"/>
    <mergeCell ref="AP22:AP26"/>
    <mergeCell ref="AQ22:AQ26"/>
    <mergeCell ref="AR22:AR26"/>
    <mergeCell ref="AS22:AS26"/>
    <mergeCell ref="AH22:AH26"/>
    <mergeCell ref="AI22:AI26"/>
    <mergeCell ref="AJ22:AJ26"/>
    <mergeCell ref="AK22:AK26"/>
    <mergeCell ref="AL22:AL26"/>
    <mergeCell ref="AM22:AM26"/>
    <mergeCell ref="AB22:AB26"/>
    <mergeCell ref="AC22:AC26"/>
    <mergeCell ref="AD22:AD26"/>
    <mergeCell ref="AE22:AE26"/>
    <mergeCell ref="AF22:AF26"/>
    <mergeCell ref="AG22:AG26"/>
    <mergeCell ref="V22:V23"/>
    <mergeCell ref="W22:W26"/>
    <mergeCell ref="X22:X26"/>
    <mergeCell ref="Y22:Y26"/>
    <mergeCell ref="Z22:Z26"/>
    <mergeCell ref="AA22:AA26"/>
    <mergeCell ref="P22:P26"/>
    <mergeCell ref="Q22:Q26"/>
    <mergeCell ref="R22:R24"/>
    <mergeCell ref="S22:S23"/>
    <mergeCell ref="T22:T23"/>
    <mergeCell ref="U22:U23"/>
    <mergeCell ref="BG19:BG20"/>
    <mergeCell ref="G22:G24"/>
    <mergeCell ref="H22:H24"/>
    <mergeCell ref="I22:I24"/>
    <mergeCell ref="J22:J24"/>
    <mergeCell ref="K22:K24"/>
    <mergeCell ref="L22:L26"/>
    <mergeCell ref="M22:M26"/>
    <mergeCell ref="N22:N26"/>
    <mergeCell ref="O22:O24"/>
    <mergeCell ref="BA19:BA20"/>
    <mergeCell ref="BB19:BB20"/>
    <mergeCell ref="BC19:BC20"/>
    <mergeCell ref="BD19:BD20"/>
    <mergeCell ref="BE19:BE20"/>
    <mergeCell ref="BF19:BF20"/>
    <mergeCell ref="AU19:AU20"/>
    <mergeCell ref="AV19:AV20"/>
    <mergeCell ref="AW19:AW20"/>
    <mergeCell ref="AX19:AX20"/>
    <mergeCell ref="AY19:AY20"/>
    <mergeCell ref="AZ19:AZ20"/>
    <mergeCell ref="AO19:AO20"/>
    <mergeCell ref="AP19:AP20"/>
    <mergeCell ref="AQ19:AQ20"/>
    <mergeCell ref="AR19:AR20"/>
    <mergeCell ref="AS19:AS20"/>
    <mergeCell ref="AT19:AT20"/>
    <mergeCell ref="AI19:AI20"/>
    <mergeCell ref="AJ19:AJ20"/>
    <mergeCell ref="AK19:AK20"/>
    <mergeCell ref="AL19:AL20"/>
    <mergeCell ref="AM19:AM20"/>
    <mergeCell ref="AN19:AN20"/>
    <mergeCell ref="AC19:AC20"/>
    <mergeCell ref="AD19:AD20"/>
    <mergeCell ref="AE19:AE20"/>
    <mergeCell ref="AF19:AF20"/>
    <mergeCell ref="AG19:AG20"/>
    <mergeCell ref="AH19:AH20"/>
    <mergeCell ref="W19:W20"/>
    <mergeCell ref="X19:X20"/>
    <mergeCell ref="Y19:Y20"/>
    <mergeCell ref="Z19:Z20"/>
    <mergeCell ref="AA19:AA20"/>
    <mergeCell ref="AB19:AB20"/>
    <mergeCell ref="L19:L20"/>
    <mergeCell ref="M19:M20"/>
    <mergeCell ref="N19:N20"/>
    <mergeCell ref="O19:O20"/>
    <mergeCell ref="P19:P20"/>
    <mergeCell ref="Q19:Q20"/>
    <mergeCell ref="BC13:BC16"/>
    <mergeCell ref="BD13:BD16"/>
    <mergeCell ref="BE13:BE16"/>
    <mergeCell ref="AP13:AP16"/>
    <mergeCell ref="AE13:AE16"/>
    <mergeCell ref="AF13:AF16"/>
    <mergeCell ref="AG13:AG16"/>
    <mergeCell ref="AH13:AH16"/>
    <mergeCell ref="AI13:AI16"/>
    <mergeCell ref="AJ13:AJ16"/>
    <mergeCell ref="Y13:Y16"/>
    <mergeCell ref="Z13:Z16"/>
    <mergeCell ref="AA13:AA16"/>
    <mergeCell ref="AB13:AB16"/>
    <mergeCell ref="AC13:AC16"/>
    <mergeCell ref="AD13:AD16"/>
    <mergeCell ref="S13:S14"/>
    <mergeCell ref="T13:T14"/>
    <mergeCell ref="BF13:BF16"/>
    <mergeCell ref="BG13:BG16"/>
    <mergeCell ref="G19:G20"/>
    <mergeCell ref="H19:H20"/>
    <mergeCell ref="I19:I20"/>
    <mergeCell ref="J19:J20"/>
    <mergeCell ref="K19:K20"/>
    <mergeCell ref="AW13:AW15"/>
    <mergeCell ref="AX13:AX15"/>
    <mergeCell ref="AY13:AY15"/>
    <mergeCell ref="AZ13:AZ16"/>
    <mergeCell ref="BA13:BA16"/>
    <mergeCell ref="BB13:BB16"/>
    <mergeCell ref="AQ13:AQ16"/>
    <mergeCell ref="AR13:AR16"/>
    <mergeCell ref="AS13:AS16"/>
    <mergeCell ref="AT13:AT16"/>
    <mergeCell ref="AU13:AU16"/>
    <mergeCell ref="AV13:AV16"/>
    <mergeCell ref="AK13:AK16"/>
    <mergeCell ref="AL13:AL16"/>
    <mergeCell ref="AM13:AM16"/>
    <mergeCell ref="AN13:AN16"/>
    <mergeCell ref="AO13:AO16"/>
    <mergeCell ref="U13:U14"/>
    <mergeCell ref="V13:V14"/>
    <mergeCell ref="W13:W16"/>
    <mergeCell ref="X13:X16"/>
    <mergeCell ref="M13:M16"/>
    <mergeCell ref="N13:N16"/>
    <mergeCell ref="O13:O15"/>
    <mergeCell ref="P13:P16"/>
    <mergeCell ref="Q13:Q16"/>
    <mergeCell ref="R13:R15"/>
    <mergeCell ref="BA8:BA9"/>
    <mergeCell ref="BB8:BB9"/>
    <mergeCell ref="BC8:BD8"/>
    <mergeCell ref="BE8:BF8"/>
    <mergeCell ref="G13:G15"/>
    <mergeCell ref="H13:H15"/>
    <mergeCell ref="I13:I15"/>
    <mergeCell ref="J13:J15"/>
    <mergeCell ref="K13:K15"/>
    <mergeCell ref="L13:L16"/>
    <mergeCell ref="AS8:AT8"/>
    <mergeCell ref="AU8:AV8"/>
    <mergeCell ref="AW8:AW9"/>
    <mergeCell ref="AX8:AX9"/>
    <mergeCell ref="AY8:AY9"/>
    <mergeCell ref="AZ8:AZ9"/>
    <mergeCell ref="AG8:AH8"/>
    <mergeCell ref="AI8:AJ8"/>
    <mergeCell ref="AK8:AL8"/>
    <mergeCell ref="AM8:AN8"/>
    <mergeCell ref="AO8:AP8"/>
    <mergeCell ref="AQ8:AR8"/>
    <mergeCell ref="T7:V8"/>
    <mergeCell ref="W7:W9"/>
    <mergeCell ref="AA8:AB8"/>
    <mergeCell ref="AC8:AD8"/>
    <mergeCell ref="AE8:AF8"/>
    <mergeCell ref="N7:N9"/>
    <mergeCell ref="O7:O9"/>
    <mergeCell ref="P7:P9"/>
    <mergeCell ref="Q7:Q9"/>
    <mergeCell ref="R7:R9"/>
    <mergeCell ref="S7:S9"/>
    <mergeCell ref="A1:BE2"/>
    <mergeCell ref="A3:BE3"/>
    <mergeCell ref="A4:BE4"/>
    <mergeCell ref="A5:K6"/>
    <mergeCell ref="L5:X6"/>
    <mergeCell ref="Y5:AV6"/>
    <mergeCell ref="AW5:BG6"/>
    <mergeCell ref="AW7:BB7"/>
    <mergeCell ref="G7:G9"/>
    <mergeCell ref="H7:H9"/>
    <mergeCell ref="I7:I9"/>
    <mergeCell ref="J7:K8"/>
    <mergeCell ref="L7:L9"/>
    <mergeCell ref="M7:M9"/>
    <mergeCell ref="A7:A9"/>
    <mergeCell ref="B7:B9"/>
    <mergeCell ref="C7:C9"/>
    <mergeCell ref="D7:D9"/>
    <mergeCell ref="E7:E9"/>
    <mergeCell ref="F7:F9"/>
    <mergeCell ref="X7:X9"/>
    <mergeCell ref="Y7:AJ7"/>
    <mergeCell ref="AK7:AV7"/>
    <mergeCell ref="Y8:Z8"/>
  </mergeCells>
  <printOptions horizontalCentered="1" verticalCentered="1"/>
  <pageMargins left="0.51181102362204722" right="0.51181102362204722" top="0.19685039370078741" bottom="0.55118110236220474" header="0.31496062992125984" footer="0.31496062992125984"/>
  <pageSetup paperSize="5" scale="30" orientation="landscape" r:id="rId1"/>
  <rowBreaks count="5" manualBreakCount="5">
    <brk id="21" max="16383" man="1"/>
    <brk id="32" max="16383" man="1"/>
    <brk id="38" max="16383" man="1"/>
    <brk id="47" max="52" man="1"/>
    <brk id="60" max="16383" man="1"/>
  </rowBreaks>
  <colBreaks count="1" manualBreakCount="1">
    <brk id="17" max="87" man="1"/>
  </col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BG22"/>
  <sheetViews>
    <sheetView showGridLines="0" zoomScale="60" zoomScaleNormal="60" workbookViewId="0">
      <selection sqref="A1:BE2"/>
    </sheetView>
  </sheetViews>
  <sheetFormatPr baseColWidth="10" defaultColWidth="11.42578125" defaultRowHeight="14.25" x14ac:dyDescent="0.2"/>
  <cols>
    <col min="1" max="1" width="11" style="38" customWidth="1"/>
    <col min="2" max="2" width="13" style="38" customWidth="1"/>
    <col min="3" max="3" width="11.5703125" style="38" bestFit="1" customWidth="1"/>
    <col min="4" max="4" width="17.140625" style="38" customWidth="1"/>
    <col min="5" max="5" width="11.42578125" style="38" hidden="1" customWidth="1"/>
    <col min="6" max="6" width="10.5703125" style="38" customWidth="1"/>
    <col min="7" max="7" width="18.7109375" style="38" customWidth="1"/>
    <col min="8" max="8" width="19" style="38" customWidth="1"/>
    <col min="9" max="9" width="14.85546875" style="38" customWidth="1"/>
    <col min="10" max="11" width="12.5703125" style="38" customWidth="1"/>
    <col min="12" max="12" width="21.42578125" style="38" customWidth="1"/>
    <col min="13" max="13" width="11.7109375" style="38" customWidth="1"/>
    <col min="14" max="14" width="21.5703125" style="38" customWidth="1"/>
    <col min="15" max="15" width="11.5703125" style="38" bestFit="1" customWidth="1"/>
    <col min="16" max="16" width="18.7109375" style="38" customWidth="1"/>
    <col min="17" max="17" width="26.85546875" style="38" customWidth="1"/>
    <col min="18" max="18" width="27.42578125" style="38" customWidth="1"/>
    <col min="19" max="19" width="35.85546875" style="38" customWidth="1"/>
    <col min="20" max="22" width="24.42578125" style="155" customWidth="1"/>
    <col min="23" max="23" width="14.7109375" style="38" customWidth="1"/>
    <col min="24" max="24" width="16.140625" style="38" customWidth="1"/>
    <col min="25" max="25" width="9.5703125" style="38" bestFit="1" customWidth="1"/>
    <col min="26" max="26" width="3.85546875" style="38" bestFit="1" customWidth="1"/>
    <col min="27" max="27" width="9.85546875" style="38" bestFit="1" customWidth="1"/>
    <col min="28" max="28" width="3.85546875" style="38" bestFit="1" customWidth="1"/>
    <col min="29" max="29" width="9.85546875" style="38" bestFit="1" customWidth="1"/>
    <col min="30" max="30" width="3.85546875" style="38" bestFit="1" customWidth="1"/>
    <col min="31" max="31" width="9.85546875" style="38" bestFit="1" customWidth="1"/>
    <col min="32" max="32" width="3.85546875" style="38" bestFit="1" customWidth="1"/>
    <col min="33" max="33" width="11" style="38" bestFit="1" customWidth="1"/>
    <col min="34" max="34" width="3.85546875" style="38" bestFit="1" customWidth="1"/>
    <col min="35" max="35" width="9.5703125" style="38" bestFit="1" customWidth="1"/>
    <col min="36" max="36" width="6.85546875" style="38" customWidth="1"/>
    <col min="37" max="37" width="9.5703125" style="38" bestFit="1" customWidth="1"/>
    <col min="38" max="38" width="6.85546875" style="38" customWidth="1"/>
    <col min="39" max="39" width="8.140625" style="38" bestFit="1" customWidth="1"/>
    <col min="40" max="40" width="6.85546875" style="38" customWidth="1"/>
    <col min="41" max="41" width="6.42578125" style="38" customWidth="1"/>
    <col min="42" max="42" width="6.85546875" style="38" customWidth="1"/>
    <col min="43" max="43" width="7.140625" style="38" customWidth="1"/>
    <col min="44" max="44" width="7" style="38" customWidth="1"/>
    <col min="45" max="45" width="9.5703125" style="38" bestFit="1" customWidth="1"/>
    <col min="46" max="46" width="7.42578125" style="38" customWidth="1"/>
    <col min="47" max="47" width="9.5703125" style="38" bestFit="1" customWidth="1"/>
    <col min="48" max="48" width="6.7109375" style="38" customWidth="1"/>
    <col min="49" max="49" width="16.5703125" style="38" customWidth="1"/>
    <col min="50" max="50" width="24.42578125" style="38" customWidth="1"/>
    <col min="51" max="51" width="18.42578125" style="38" customWidth="1"/>
    <col min="52" max="52" width="11.5703125" style="38" customWidth="1"/>
    <col min="53" max="53" width="15" style="38" customWidth="1"/>
    <col min="54" max="54" width="20.28515625" style="38" customWidth="1"/>
    <col min="55" max="55" width="11" style="744" customWidth="1"/>
    <col min="56" max="56" width="12.140625" style="744" customWidth="1"/>
    <col min="57" max="57" width="13" style="744" customWidth="1"/>
    <col min="58" max="58" width="13.85546875" style="744" customWidth="1"/>
    <col min="59" max="59" width="24.28515625" style="38" customWidth="1"/>
    <col min="60" max="16384" width="11.42578125" style="38"/>
  </cols>
  <sheetData>
    <row r="1" spans="1:59" ht="14.25" customHeight="1" x14ac:dyDescent="0.25">
      <c r="A1" s="2471" t="s">
        <v>141</v>
      </c>
      <c r="B1" s="2471"/>
      <c r="C1" s="2471"/>
      <c r="D1" s="2471"/>
      <c r="E1" s="2471"/>
      <c r="F1" s="2471"/>
      <c r="G1" s="2471"/>
      <c r="H1" s="2471"/>
      <c r="I1" s="2471"/>
      <c r="J1" s="2471"/>
      <c r="K1" s="2471"/>
      <c r="L1" s="2471"/>
      <c r="M1" s="2471"/>
      <c r="N1" s="2471"/>
      <c r="O1" s="2471"/>
      <c r="P1" s="2471"/>
      <c r="Q1" s="2471"/>
      <c r="R1" s="2471"/>
      <c r="S1" s="2471"/>
      <c r="T1" s="2471"/>
      <c r="U1" s="2471"/>
      <c r="V1" s="2471"/>
      <c r="W1" s="2471"/>
      <c r="X1" s="2471"/>
      <c r="Y1" s="2471"/>
      <c r="Z1" s="2471"/>
      <c r="AA1" s="2471"/>
      <c r="AB1" s="2471"/>
      <c r="AC1" s="2471"/>
      <c r="AD1" s="2471"/>
      <c r="AE1" s="2471"/>
      <c r="AF1" s="2471"/>
      <c r="AG1" s="2471"/>
      <c r="AH1" s="2471"/>
      <c r="AI1" s="2471"/>
      <c r="AJ1" s="2471"/>
      <c r="AK1" s="2471"/>
      <c r="AL1" s="2471"/>
      <c r="AM1" s="2471"/>
      <c r="AN1" s="2471"/>
      <c r="AO1" s="2471"/>
      <c r="AP1" s="2471"/>
      <c r="AQ1" s="2471"/>
      <c r="AR1" s="2471"/>
      <c r="AS1" s="2471"/>
      <c r="AT1" s="2471"/>
      <c r="AU1" s="2471"/>
      <c r="AV1" s="2471"/>
      <c r="AW1" s="2471"/>
      <c r="AX1" s="2471"/>
      <c r="AY1" s="2471"/>
      <c r="AZ1" s="2471"/>
      <c r="BA1" s="2471"/>
      <c r="BB1" s="2471"/>
      <c r="BC1" s="2471"/>
      <c r="BD1" s="2471"/>
      <c r="BE1" s="2472"/>
      <c r="BF1" s="305" t="s">
        <v>0</v>
      </c>
      <c r="BG1" s="305" t="s">
        <v>1</v>
      </c>
    </row>
    <row r="2" spans="1:59" ht="14.25" customHeight="1" x14ac:dyDescent="0.25">
      <c r="A2" s="2471"/>
      <c r="B2" s="2471"/>
      <c r="C2" s="2471"/>
      <c r="D2" s="2471"/>
      <c r="E2" s="2471"/>
      <c r="F2" s="2471"/>
      <c r="G2" s="2471"/>
      <c r="H2" s="2471"/>
      <c r="I2" s="2471"/>
      <c r="J2" s="2471"/>
      <c r="K2" s="2471"/>
      <c r="L2" s="2471"/>
      <c r="M2" s="2471"/>
      <c r="N2" s="2471"/>
      <c r="O2" s="2471"/>
      <c r="P2" s="2471"/>
      <c r="Q2" s="2471"/>
      <c r="R2" s="2471"/>
      <c r="S2" s="2471"/>
      <c r="T2" s="2471"/>
      <c r="U2" s="2471"/>
      <c r="V2" s="2471"/>
      <c r="W2" s="2471"/>
      <c r="X2" s="2471"/>
      <c r="Y2" s="2471"/>
      <c r="Z2" s="2471"/>
      <c r="AA2" s="2471"/>
      <c r="AB2" s="2471"/>
      <c r="AC2" s="2471"/>
      <c r="AD2" s="2471"/>
      <c r="AE2" s="2471"/>
      <c r="AF2" s="2471"/>
      <c r="AG2" s="2471"/>
      <c r="AH2" s="2471"/>
      <c r="AI2" s="2471"/>
      <c r="AJ2" s="2471"/>
      <c r="AK2" s="2471"/>
      <c r="AL2" s="2471"/>
      <c r="AM2" s="2471"/>
      <c r="AN2" s="2471"/>
      <c r="AO2" s="2471"/>
      <c r="AP2" s="2471"/>
      <c r="AQ2" s="2471"/>
      <c r="AR2" s="2471"/>
      <c r="AS2" s="2471"/>
      <c r="AT2" s="2471"/>
      <c r="AU2" s="2471"/>
      <c r="AV2" s="2471"/>
      <c r="AW2" s="2471"/>
      <c r="AX2" s="2471"/>
      <c r="AY2" s="2471"/>
      <c r="AZ2" s="2471"/>
      <c r="BA2" s="2471"/>
      <c r="BB2" s="2471"/>
      <c r="BC2" s="2471"/>
      <c r="BD2" s="2471"/>
      <c r="BE2" s="2472"/>
      <c r="BF2" s="649" t="s">
        <v>2</v>
      </c>
      <c r="BG2" s="306">
        <v>5</v>
      </c>
    </row>
    <row r="3" spans="1:59" ht="14.25" customHeight="1" x14ac:dyDescent="0.25">
      <c r="A3" s="2471" t="s">
        <v>763</v>
      </c>
      <c r="B3" s="2471"/>
      <c r="C3" s="2471"/>
      <c r="D3" s="2471"/>
      <c r="E3" s="2471"/>
      <c r="F3" s="2471"/>
      <c r="G3" s="2471"/>
      <c r="H3" s="2471"/>
      <c r="I3" s="2471"/>
      <c r="J3" s="2471"/>
      <c r="K3" s="2471"/>
      <c r="L3" s="2471"/>
      <c r="M3" s="2471"/>
      <c r="N3" s="2471"/>
      <c r="O3" s="2471"/>
      <c r="P3" s="2471"/>
      <c r="Q3" s="2471"/>
      <c r="R3" s="2471"/>
      <c r="S3" s="2471"/>
      <c r="T3" s="2471"/>
      <c r="U3" s="2471"/>
      <c r="V3" s="2471"/>
      <c r="W3" s="2471"/>
      <c r="X3" s="2471"/>
      <c r="Y3" s="2471"/>
      <c r="Z3" s="2471"/>
      <c r="AA3" s="2471"/>
      <c r="AB3" s="2471"/>
      <c r="AC3" s="2471"/>
      <c r="AD3" s="2471"/>
      <c r="AE3" s="2471"/>
      <c r="AF3" s="2471"/>
      <c r="AG3" s="2471"/>
      <c r="AH3" s="2471"/>
      <c r="AI3" s="2471"/>
      <c r="AJ3" s="2471"/>
      <c r="AK3" s="2471"/>
      <c r="AL3" s="2471"/>
      <c r="AM3" s="2471"/>
      <c r="AN3" s="2471"/>
      <c r="AO3" s="2471"/>
      <c r="AP3" s="2471"/>
      <c r="AQ3" s="2471"/>
      <c r="AR3" s="2471"/>
      <c r="AS3" s="2471"/>
      <c r="AT3" s="2471"/>
      <c r="AU3" s="2471"/>
      <c r="AV3" s="2471"/>
      <c r="AW3" s="2471"/>
      <c r="AX3" s="2471"/>
      <c r="AY3" s="2471"/>
      <c r="AZ3" s="2471"/>
      <c r="BA3" s="2471"/>
      <c r="BB3" s="2471"/>
      <c r="BC3" s="2471"/>
      <c r="BD3" s="2471"/>
      <c r="BE3" s="2472"/>
      <c r="BF3" s="305" t="s">
        <v>3</v>
      </c>
      <c r="BG3" s="307" t="s">
        <v>4</v>
      </c>
    </row>
    <row r="4" spans="1:59" s="40" customFormat="1" ht="14.25" customHeight="1" x14ac:dyDescent="0.2">
      <c r="A4" s="2474" t="s">
        <v>139</v>
      </c>
      <c r="B4" s="2474"/>
      <c r="C4" s="2474"/>
      <c r="D4" s="2474"/>
      <c r="E4" s="2474"/>
      <c r="F4" s="2474"/>
      <c r="G4" s="2474"/>
      <c r="H4" s="2474"/>
      <c r="I4" s="2474"/>
      <c r="J4" s="2474"/>
      <c r="K4" s="2474"/>
      <c r="L4" s="2474"/>
      <c r="M4" s="2474"/>
      <c r="N4" s="2474"/>
      <c r="O4" s="2474"/>
      <c r="P4" s="2474"/>
      <c r="Q4" s="2474"/>
      <c r="R4" s="2474"/>
      <c r="S4" s="2474"/>
      <c r="T4" s="2474"/>
      <c r="U4" s="2474"/>
      <c r="V4" s="2474"/>
      <c r="W4" s="2474"/>
      <c r="X4" s="2474"/>
      <c r="Y4" s="2474"/>
      <c r="Z4" s="2474"/>
      <c r="AA4" s="2474"/>
      <c r="AB4" s="2474"/>
      <c r="AC4" s="2474"/>
      <c r="AD4" s="2474"/>
      <c r="AE4" s="2474"/>
      <c r="AF4" s="2474"/>
      <c r="AG4" s="2474"/>
      <c r="AH4" s="2474"/>
      <c r="AI4" s="2474"/>
      <c r="AJ4" s="2474"/>
      <c r="AK4" s="2474"/>
      <c r="AL4" s="2474"/>
      <c r="AM4" s="2474"/>
      <c r="AN4" s="2474"/>
      <c r="AO4" s="2474"/>
      <c r="AP4" s="2474"/>
      <c r="AQ4" s="2474"/>
      <c r="AR4" s="2474"/>
      <c r="AS4" s="2474"/>
      <c r="AT4" s="2474"/>
      <c r="AU4" s="2474"/>
      <c r="AV4" s="2474"/>
      <c r="AW4" s="2474"/>
      <c r="AX4" s="2474"/>
      <c r="AY4" s="2474"/>
      <c r="AZ4" s="2474"/>
      <c r="BA4" s="2474"/>
      <c r="BB4" s="2474"/>
      <c r="BC4" s="2474"/>
      <c r="BD4" s="2474"/>
      <c r="BE4" s="2475"/>
      <c r="BF4" s="652" t="s">
        <v>5</v>
      </c>
      <c r="BG4" s="308" t="s">
        <v>6</v>
      </c>
    </row>
    <row r="5" spans="1:59" ht="15" customHeight="1" x14ac:dyDescent="0.2">
      <c r="A5" s="2476" t="s">
        <v>7</v>
      </c>
      <c r="B5" s="2477"/>
      <c r="C5" s="2477"/>
      <c r="D5" s="2477"/>
      <c r="E5" s="2477"/>
      <c r="F5" s="2477"/>
      <c r="G5" s="2477"/>
      <c r="H5" s="2477"/>
      <c r="I5" s="2477"/>
      <c r="J5" s="2477"/>
      <c r="K5" s="2480"/>
      <c r="L5" s="2476" t="s">
        <v>8</v>
      </c>
      <c r="M5" s="2477"/>
      <c r="N5" s="2477"/>
      <c r="O5" s="2477"/>
      <c r="P5" s="2477"/>
      <c r="Q5" s="2477"/>
      <c r="R5" s="2477"/>
      <c r="S5" s="2477"/>
      <c r="T5" s="2477"/>
      <c r="U5" s="2477"/>
      <c r="V5" s="2477"/>
      <c r="W5" s="2477"/>
      <c r="X5" s="2480"/>
      <c r="Y5" s="2476" t="s">
        <v>9</v>
      </c>
      <c r="Z5" s="2477"/>
      <c r="AA5" s="2477"/>
      <c r="AB5" s="2477"/>
      <c r="AC5" s="2477"/>
      <c r="AD5" s="2477"/>
      <c r="AE5" s="2477"/>
      <c r="AF5" s="2477"/>
      <c r="AG5" s="2477"/>
      <c r="AH5" s="2477"/>
      <c r="AI5" s="2477"/>
      <c r="AJ5" s="2477"/>
      <c r="AK5" s="2477"/>
      <c r="AL5" s="2477"/>
      <c r="AM5" s="2477"/>
      <c r="AN5" s="2477"/>
      <c r="AO5" s="2477"/>
      <c r="AP5" s="2477"/>
      <c r="AQ5" s="2477"/>
      <c r="AR5" s="2477"/>
      <c r="AS5" s="2477"/>
      <c r="AT5" s="2477"/>
      <c r="AU5" s="2477"/>
      <c r="AV5" s="2480"/>
      <c r="AW5" s="2476"/>
      <c r="AX5" s="2477"/>
      <c r="AY5" s="2477"/>
      <c r="AZ5" s="2477"/>
      <c r="BA5" s="2477"/>
      <c r="BB5" s="2477"/>
      <c r="BC5" s="2477"/>
      <c r="BD5" s="2477"/>
      <c r="BE5" s="2477"/>
      <c r="BF5" s="652"/>
      <c r="BG5" s="652"/>
    </row>
    <row r="6" spans="1:59" ht="14.45" customHeight="1" thickBot="1" x14ac:dyDescent="0.25">
      <c r="A6" s="2478"/>
      <c r="B6" s="2479"/>
      <c r="C6" s="2479"/>
      <c r="D6" s="2479"/>
      <c r="E6" s="2479"/>
      <c r="F6" s="2479"/>
      <c r="G6" s="2479"/>
      <c r="H6" s="2479"/>
      <c r="I6" s="2479"/>
      <c r="J6" s="2479"/>
      <c r="K6" s="2481"/>
      <c r="L6" s="2478"/>
      <c r="M6" s="2479"/>
      <c r="N6" s="2479"/>
      <c r="O6" s="2479"/>
      <c r="P6" s="2479"/>
      <c r="Q6" s="2479"/>
      <c r="R6" s="2479"/>
      <c r="S6" s="2479"/>
      <c r="T6" s="2479"/>
      <c r="U6" s="2479"/>
      <c r="V6" s="2479"/>
      <c r="W6" s="2479"/>
      <c r="X6" s="2481"/>
      <c r="Y6" s="2478"/>
      <c r="Z6" s="2479"/>
      <c r="AA6" s="2479"/>
      <c r="AB6" s="2479"/>
      <c r="AC6" s="2479"/>
      <c r="AD6" s="2479"/>
      <c r="AE6" s="2479"/>
      <c r="AF6" s="2479"/>
      <c r="AG6" s="2479"/>
      <c r="AH6" s="2479"/>
      <c r="AI6" s="2479"/>
      <c r="AJ6" s="2479"/>
      <c r="AK6" s="2479"/>
      <c r="AL6" s="2479"/>
      <c r="AM6" s="2479"/>
      <c r="AN6" s="2479"/>
      <c r="AO6" s="2479"/>
      <c r="AP6" s="2479"/>
      <c r="AQ6" s="2479"/>
      <c r="AR6" s="2479"/>
      <c r="AS6" s="2479"/>
      <c r="AT6" s="2479"/>
      <c r="AU6" s="2479"/>
      <c r="AV6" s="2481"/>
      <c r="AW6" s="2493"/>
      <c r="AX6" s="2494"/>
      <c r="AY6" s="2494"/>
      <c r="AZ6" s="2494"/>
      <c r="BA6" s="2494"/>
      <c r="BB6" s="2494"/>
      <c r="BC6" s="2494"/>
      <c r="BD6" s="2494"/>
      <c r="BE6" s="2494"/>
      <c r="BF6" s="733"/>
      <c r="BG6" s="737"/>
    </row>
    <row r="7" spans="1:59" ht="22.5" customHeight="1" x14ac:dyDescent="0.2">
      <c r="A7" s="2448" t="s">
        <v>10</v>
      </c>
      <c r="B7" s="2448" t="s">
        <v>11</v>
      </c>
      <c r="C7" s="2450" t="s">
        <v>10</v>
      </c>
      <c r="D7" s="2450" t="s">
        <v>12</v>
      </c>
      <c r="E7" s="2450"/>
      <c r="F7" s="2450" t="s">
        <v>10</v>
      </c>
      <c r="G7" s="2450" t="s">
        <v>13</v>
      </c>
      <c r="H7" s="2450" t="s">
        <v>14</v>
      </c>
      <c r="I7" s="2450" t="s">
        <v>15</v>
      </c>
      <c r="J7" s="2442" t="s">
        <v>16</v>
      </c>
      <c r="K7" s="2444"/>
      <c r="L7" s="2450" t="s">
        <v>17</v>
      </c>
      <c r="M7" s="2448" t="s">
        <v>18</v>
      </c>
      <c r="N7" s="2450" t="s">
        <v>8</v>
      </c>
      <c r="O7" s="2450" t="s">
        <v>19</v>
      </c>
      <c r="P7" s="2450" t="s">
        <v>20</v>
      </c>
      <c r="Q7" s="2450" t="s">
        <v>21</v>
      </c>
      <c r="R7" s="2450" t="s">
        <v>22</v>
      </c>
      <c r="S7" s="2450" t="s">
        <v>23</v>
      </c>
      <c r="T7" s="2442" t="s">
        <v>20</v>
      </c>
      <c r="U7" s="2443"/>
      <c r="V7" s="2444"/>
      <c r="W7" s="2448" t="s">
        <v>10</v>
      </c>
      <c r="X7" s="2450" t="s">
        <v>24</v>
      </c>
      <c r="Y7" s="2453" t="s">
        <v>25</v>
      </c>
      <c r="Z7" s="2454"/>
      <c r="AA7" s="2454"/>
      <c r="AB7" s="2454"/>
      <c r="AC7" s="2454"/>
      <c r="AD7" s="2454"/>
      <c r="AE7" s="2454"/>
      <c r="AF7" s="2454"/>
      <c r="AG7" s="2454"/>
      <c r="AH7" s="2454"/>
      <c r="AI7" s="2454"/>
      <c r="AJ7" s="2455"/>
      <c r="AK7" s="2453" t="s">
        <v>26</v>
      </c>
      <c r="AL7" s="2454"/>
      <c r="AM7" s="2454"/>
      <c r="AN7" s="2454"/>
      <c r="AO7" s="2454"/>
      <c r="AP7" s="2454"/>
      <c r="AQ7" s="2454"/>
      <c r="AR7" s="2454"/>
      <c r="AS7" s="2454"/>
      <c r="AT7" s="2454"/>
      <c r="AU7" s="2454"/>
      <c r="AV7" s="2455"/>
      <c r="AW7" s="2458" t="s">
        <v>27</v>
      </c>
      <c r="AX7" s="2459"/>
      <c r="AY7" s="2459"/>
      <c r="AZ7" s="2459"/>
      <c r="BA7" s="2459"/>
      <c r="BB7" s="2460"/>
      <c r="BC7" s="2486" t="s">
        <v>28</v>
      </c>
      <c r="BD7" s="2487"/>
      <c r="BE7" s="2486" t="s">
        <v>29</v>
      </c>
      <c r="BF7" s="2487"/>
      <c r="BG7" s="2490" t="s">
        <v>30</v>
      </c>
    </row>
    <row r="8" spans="1:59" ht="31.5" customHeight="1" x14ac:dyDescent="0.2">
      <c r="A8" s="2449"/>
      <c r="B8" s="2449"/>
      <c r="C8" s="2450"/>
      <c r="D8" s="2450"/>
      <c r="E8" s="2450"/>
      <c r="F8" s="2450"/>
      <c r="G8" s="2450"/>
      <c r="H8" s="2450"/>
      <c r="I8" s="2450"/>
      <c r="J8" s="2482"/>
      <c r="K8" s="2483"/>
      <c r="L8" s="2450"/>
      <c r="M8" s="2449"/>
      <c r="N8" s="2450"/>
      <c r="O8" s="2450"/>
      <c r="P8" s="2450"/>
      <c r="Q8" s="2450"/>
      <c r="R8" s="2450"/>
      <c r="S8" s="2450"/>
      <c r="T8" s="2445"/>
      <c r="U8" s="2446"/>
      <c r="V8" s="2447"/>
      <c r="W8" s="2449"/>
      <c r="X8" s="2450"/>
      <c r="Y8" s="2451" t="s">
        <v>31</v>
      </c>
      <c r="Z8" s="2452"/>
      <c r="AA8" s="2451" t="s">
        <v>32</v>
      </c>
      <c r="AB8" s="2452"/>
      <c r="AC8" s="2451" t="s">
        <v>33</v>
      </c>
      <c r="AD8" s="2452"/>
      <c r="AE8" s="2451" t="s">
        <v>34</v>
      </c>
      <c r="AF8" s="2452"/>
      <c r="AG8" s="2451" t="s">
        <v>35</v>
      </c>
      <c r="AH8" s="2452"/>
      <c r="AI8" s="2451" t="s">
        <v>36</v>
      </c>
      <c r="AJ8" s="2452"/>
      <c r="AK8" s="2451" t="s">
        <v>37</v>
      </c>
      <c r="AL8" s="2452"/>
      <c r="AM8" s="2451" t="s">
        <v>38</v>
      </c>
      <c r="AN8" s="2452"/>
      <c r="AO8" s="2451" t="s">
        <v>39</v>
      </c>
      <c r="AP8" s="2452"/>
      <c r="AQ8" s="2451" t="s">
        <v>40</v>
      </c>
      <c r="AR8" s="2452"/>
      <c r="AS8" s="2451" t="s">
        <v>41</v>
      </c>
      <c r="AT8" s="2452"/>
      <c r="AU8" s="2451" t="s">
        <v>42</v>
      </c>
      <c r="AV8" s="2452"/>
      <c r="AW8" s="2463" t="s">
        <v>43</v>
      </c>
      <c r="AX8" s="3166" t="s">
        <v>44</v>
      </c>
      <c r="AY8" s="2463" t="s">
        <v>45</v>
      </c>
      <c r="AZ8" s="2468" t="s">
        <v>46</v>
      </c>
      <c r="BA8" s="2463" t="s">
        <v>47</v>
      </c>
      <c r="BB8" s="2461" t="s">
        <v>48</v>
      </c>
      <c r="BC8" s="2488"/>
      <c r="BD8" s="2489"/>
      <c r="BE8" s="2488"/>
      <c r="BF8" s="2489"/>
      <c r="BG8" s="2490"/>
    </row>
    <row r="9" spans="1:59" ht="15" x14ac:dyDescent="0.2">
      <c r="A9" s="2449"/>
      <c r="B9" s="2449"/>
      <c r="C9" s="2448"/>
      <c r="D9" s="2448"/>
      <c r="E9" s="2448"/>
      <c r="F9" s="2448"/>
      <c r="G9" s="2448"/>
      <c r="H9" s="2448"/>
      <c r="I9" s="2448"/>
      <c r="J9" s="43" t="s">
        <v>49</v>
      </c>
      <c r="K9" s="43" t="s">
        <v>50</v>
      </c>
      <c r="L9" s="2448"/>
      <c r="M9" s="2449"/>
      <c r="N9" s="2448"/>
      <c r="O9" s="2448"/>
      <c r="P9" s="2448"/>
      <c r="Q9" s="2448"/>
      <c r="R9" s="2448"/>
      <c r="S9" s="2448"/>
      <c r="T9" s="43" t="s">
        <v>51</v>
      </c>
      <c r="U9" s="43" t="s">
        <v>52</v>
      </c>
      <c r="V9" s="43" t="s">
        <v>53</v>
      </c>
      <c r="W9" s="2449"/>
      <c r="X9" s="2448"/>
      <c r="Y9" s="43" t="s">
        <v>49</v>
      </c>
      <c r="Z9" s="660" t="s">
        <v>50</v>
      </c>
      <c r="AA9" s="43" t="s">
        <v>49</v>
      </c>
      <c r="AB9" s="660" t="s">
        <v>50</v>
      </c>
      <c r="AC9" s="43" t="s">
        <v>49</v>
      </c>
      <c r="AD9" s="660" t="s">
        <v>50</v>
      </c>
      <c r="AE9" s="43" t="s">
        <v>49</v>
      </c>
      <c r="AF9" s="660" t="s">
        <v>50</v>
      </c>
      <c r="AG9" s="43" t="s">
        <v>49</v>
      </c>
      <c r="AH9" s="660" t="s">
        <v>50</v>
      </c>
      <c r="AI9" s="43" t="s">
        <v>49</v>
      </c>
      <c r="AJ9" s="660" t="s">
        <v>50</v>
      </c>
      <c r="AK9" s="43" t="s">
        <v>49</v>
      </c>
      <c r="AL9" s="660" t="s">
        <v>50</v>
      </c>
      <c r="AM9" s="43" t="s">
        <v>49</v>
      </c>
      <c r="AN9" s="660" t="s">
        <v>50</v>
      </c>
      <c r="AO9" s="43" t="s">
        <v>49</v>
      </c>
      <c r="AP9" s="660" t="s">
        <v>50</v>
      </c>
      <c r="AQ9" s="43" t="s">
        <v>49</v>
      </c>
      <c r="AR9" s="660" t="s">
        <v>50</v>
      </c>
      <c r="AS9" s="43" t="s">
        <v>49</v>
      </c>
      <c r="AT9" s="660" t="s">
        <v>50</v>
      </c>
      <c r="AU9" s="43" t="s">
        <v>49</v>
      </c>
      <c r="AV9" s="660" t="s">
        <v>50</v>
      </c>
      <c r="AW9" s="2461"/>
      <c r="AX9" s="2854"/>
      <c r="AY9" s="2461"/>
      <c r="AZ9" s="2469"/>
      <c r="BA9" s="2461"/>
      <c r="BB9" s="2462"/>
      <c r="BC9" s="661" t="s">
        <v>49</v>
      </c>
      <c r="BD9" s="661" t="s">
        <v>50</v>
      </c>
      <c r="BE9" s="661" t="s">
        <v>49</v>
      </c>
      <c r="BF9" s="661" t="s">
        <v>50</v>
      </c>
      <c r="BG9" s="2491"/>
    </row>
    <row r="10" spans="1:59" s="51" customFormat="1" ht="25.5" customHeight="1" x14ac:dyDescent="0.2">
      <c r="A10" s="45">
        <v>5</v>
      </c>
      <c r="B10" s="756" t="s">
        <v>143</v>
      </c>
      <c r="C10" s="1098"/>
      <c r="D10" s="1098"/>
      <c r="E10" s="1098"/>
      <c r="F10" s="1098"/>
      <c r="G10" s="1098"/>
      <c r="H10" s="1098"/>
      <c r="I10" s="1098"/>
      <c r="J10" s="1098"/>
      <c r="K10" s="1098"/>
      <c r="L10" s="1098"/>
      <c r="M10" s="1098"/>
      <c r="N10" s="1098"/>
      <c r="O10" s="1098"/>
      <c r="P10" s="1098"/>
      <c r="Q10" s="1098"/>
      <c r="R10" s="1098"/>
      <c r="S10" s="1098"/>
      <c r="T10" s="1098"/>
      <c r="U10" s="1098"/>
      <c r="V10" s="1098"/>
      <c r="W10" s="1098"/>
      <c r="X10" s="1098"/>
      <c r="Y10" s="1098"/>
      <c r="Z10" s="1098"/>
      <c r="AA10" s="1098"/>
      <c r="AB10" s="1098"/>
      <c r="AC10" s="1098"/>
      <c r="AD10" s="1098"/>
      <c r="AE10" s="1098"/>
      <c r="AF10" s="1098"/>
      <c r="AG10" s="1098"/>
      <c r="AH10" s="1098"/>
      <c r="AI10" s="1098"/>
      <c r="AJ10" s="1098"/>
      <c r="AK10" s="1098"/>
      <c r="AL10" s="1098"/>
      <c r="AM10" s="1098"/>
      <c r="AN10" s="1098"/>
      <c r="AO10" s="1098"/>
      <c r="AP10" s="1098"/>
      <c r="AQ10" s="1098"/>
      <c r="AR10" s="1098"/>
      <c r="AS10" s="1098"/>
      <c r="AT10" s="1098"/>
      <c r="AU10" s="1098"/>
      <c r="AV10" s="1098"/>
      <c r="AW10" s="1098"/>
      <c r="AX10" s="1624"/>
      <c r="AY10" s="1098"/>
      <c r="AZ10" s="1625"/>
      <c r="BA10" s="1098"/>
      <c r="BB10" s="1098"/>
      <c r="BC10" s="1626"/>
      <c r="BD10" s="1626"/>
      <c r="BE10" s="1626"/>
      <c r="BF10" s="1626"/>
      <c r="BG10" s="1106"/>
    </row>
    <row r="11" spans="1:59" s="51" customFormat="1" ht="25.5" customHeight="1" x14ac:dyDescent="0.2">
      <c r="A11" s="1107"/>
      <c r="B11" s="1108"/>
      <c r="C11" s="1627">
        <v>25</v>
      </c>
      <c r="D11" s="1628" t="s">
        <v>297</v>
      </c>
      <c r="E11" s="1627"/>
      <c r="F11" s="1627"/>
      <c r="G11" s="1627"/>
      <c r="H11" s="1627"/>
      <c r="I11" s="1627"/>
      <c r="J11" s="1627"/>
      <c r="K11" s="1627"/>
      <c r="L11" s="1627"/>
      <c r="M11" s="1627"/>
      <c r="N11" s="1627"/>
      <c r="O11" s="1627"/>
      <c r="P11" s="1627"/>
      <c r="Q11" s="1627"/>
      <c r="R11" s="1627"/>
      <c r="S11" s="1627"/>
      <c r="T11" s="1627"/>
      <c r="U11" s="1627"/>
      <c r="V11" s="1627"/>
      <c r="W11" s="1627"/>
      <c r="X11" s="1627"/>
      <c r="Y11" s="1627"/>
      <c r="Z11" s="1627"/>
      <c r="AA11" s="1627"/>
      <c r="AB11" s="1627"/>
      <c r="AC11" s="1627"/>
      <c r="AD11" s="1627"/>
      <c r="AE11" s="1627"/>
      <c r="AF11" s="1627"/>
      <c r="AG11" s="1627"/>
      <c r="AH11" s="1627"/>
      <c r="AI11" s="1627"/>
      <c r="AJ11" s="1627"/>
      <c r="AK11" s="1627"/>
      <c r="AL11" s="1627"/>
      <c r="AM11" s="1627"/>
      <c r="AN11" s="1627"/>
      <c r="AO11" s="1627"/>
      <c r="AP11" s="1627"/>
      <c r="AQ11" s="1627"/>
      <c r="AR11" s="1627"/>
      <c r="AS11" s="1627"/>
      <c r="AT11" s="1627"/>
      <c r="AU11" s="1627"/>
      <c r="AV11" s="1627"/>
      <c r="AW11" s="1627"/>
      <c r="AX11" s="1629"/>
      <c r="AY11" s="1627"/>
      <c r="AZ11" s="1630"/>
      <c r="BA11" s="1627"/>
      <c r="BB11" s="1627"/>
      <c r="BC11" s="1631"/>
      <c r="BD11" s="1631"/>
      <c r="BE11" s="1631"/>
      <c r="BF11" s="1631"/>
      <c r="BG11" s="1629"/>
    </row>
    <row r="12" spans="1:59" s="51" customFormat="1" ht="25.5" customHeight="1" x14ac:dyDescent="0.2">
      <c r="A12" s="1118"/>
      <c r="B12" s="1119"/>
      <c r="C12" s="1107"/>
      <c r="D12" s="1108"/>
      <c r="E12" s="1632"/>
      <c r="F12" s="58">
        <v>83</v>
      </c>
      <c r="G12" s="501" t="s">
        <v>298</v>
      </c>
      <c r="H12" s="501"/>
      <c r="I12" s="501"/>
      <c r="J12" s="1121"/>
      <c r="K12" s="1121"/>
      <c r="L12" s="1121"/>
      <c r="M12" s="1121"/>
      <c r="N12" s="1121"/>
      <c r="O12" s="1121"/>
      <c r="P12" s="1121"/>
      <c r="Q12" s="1121"/>
      <c r="R12" s="1121"/>
      <c r="S12" s="1121"/>
      <c r="T12" s="1121"/>
      <c r="U12" s="1121"/>
      <c r="V12" s="1121"/>
      <c r="W12" s="1121"/>
      <c r="X12" s="1121"/>
      <c r="Y12" s="1121"/>
      <c r="Z12" s="1121"/>
      <c r="AA12" s="1121"/>
      <c r="AB12" s="1121"/>
      <c r="AC12" s="1121"/>
      <c r="AD12" s="1121"/>
      <c r="AE12" s="1121"/>
      <c r="AF12" s="1121"/>
      <c r="AG12" s="1121"/>
      <c r="AH12" s="1121"/>
      <c r="AI12" s="1121"/>
      <c r="AJ12" s="1121"/>
      <c r="AK12" s="1121"/>
      <c r="AL12" s="1121"/>
      <c r="AM12" s="1121"/>
      <c r="AN12" s="1121"/>
      <c r="AO12" s="1121"/>
      <c r="AP12" s="1121"/>
      <c r="AQ12" s="1121"/>
      <c r="AR12" s="1121"/>
      <c r="AS12" s="1121"/>
      <c r="AT12" s="1121"/>
      <c r="AU12" s="1121"/>
      <c r="AV12" s="1121"/>
      <c r="AW12" s="1121"/>
      <c r="AX12" s="1124"/>
      <c r="AY12" s="1121"/>
      <c r="AZ12" s="1125"/>
      <c r="BA12" s="1121"/>
      <c r="BB12" s="1121"/>
      <c r="BC12" s="684"/>
      <c r="BD12" s="684"/>
      <c r="BE12" s="684"/>
      <c r="BF12" s="684"/>
      <c r="BG12" s="685"/>
    </row>
    <row r="13" spans="1:59" ht="126.75" customHeight="1" x14ac:dyDescent="0.2">
      <c r="A13" s="4152"/>
      <c r="B13" s="4154"/>
      <c r="C13" s="4152"/>
      <c r="D13" s="3177"/>
      <c r="E13" s="729"/>
      <c r="F13" s="4156"/>
      <c r="G13" s="4157"/>
      <c r="H13" s="3150" t="s">
        <v>764</v>
      </c>
      <c r="I13" s="2416" t="s">
        <v>18</v>
      </c>
      <c r="J13" s="2416">
        <v>6</v>
      </c>
      <c r="K13" s="2416">
        <v>0</v>
      </c>
      <c r="L13" s="3168" t="s">
        <v>765</v>
      </c>
      <c r="M13" s="2416" t="s">
        <v>766</v>
      </c>
      <c r="N13" s="3150" t="s">
        <v>767</v>
      </c>
      <c r="O13" s="4148">
        <v>100</v>
      </c>
      <c r="P13" s="4150">
        <v>100000000</v>
      </c>
      <c r="Q13" s="2694" t="s">
        <v>768</v>
      </c>
      <c r="R13" s="2694" t="s">
        <v>769</v>
      </c>
      <c r="S13" s="596" t="s">
        <v>770</v>
      </c>
      <c r="T13" s="1633">
        <v>25000000</v>
      </c>
      <c r="U13" s="1634">
        <v>17839999.75</v>
      </c>
      <c r="V13" s="1635"/>
      <c r="W13" s="2542">
        <v>20</v>
      </c>
      <c r="X13" s="2416" t="s">
        <v>153</v>
      </c>
      <c r="Y13" s="4145">
        <v>64149</v>
      </c>
      <c r="Z13" s="3668"/>
      <c r="AA13" s="4145">
        <v>72224</v>
      </c>
      <c r="AB13" s="3668"/>
      <c r="AC13" s="4145">
        <v>27477</v>
      </c>
      <c r="AD13" s="3668"/>
      <c r="AE13" s="4145">
        <v>86843</v>
      </c>
      <c r="AF13" s="3668"/>
      <c r="AG13" s="4146">
        <v>236429</v>
      </c>
      <c r="AH13" s="4053"/>
      <c r="AI13" s="4143">
        <v>81384</v>
      </c>
      <c r="AJ13" s="4053"/>
      <c r="AK13" s="4143">
        <v>13208</v>
      </c>
      <c r="AL13" s="4053"/>
      <c r="AM13" s="4143">
        <v>1817</v>
      </c>
      <c r="AN13" s="4053"/>
      <c r="AO13" s="4053"/>
      <c r="AP13" s="4053"/>
      <c r="AQ13" s="4053"/>
      <c r="AR13" s="4053"/>
      <c r="AS13" s="4143">
        <v>16897</v>
      </c>
      <c r="AT13" s="4053"/>
      <c r="AU13" s="4143">
        <v>81384</v>
      </c>
      <c r="AV13" s="4053"/>
      <c r="AW13" s="4136">
        <v>3</v>
      </c>
      <c r="AX13" s="4138">
        <f>+U13+U14++U15+U16</f>
        <v>71359999</v>
      </c>
      <c r="AY13" s="4140">
        <v>0</v>
      </c>
      <c r="AZ13" s="4142">
        <v>0</v>
      </c>
      <c r="BA13" s="2416" t="s">
        <v>153</v>
      </c>
      <c r="BB13" s="3150" t="s">
        <v>771</v>
      </c>
      <c r="BC13" s="4082">
        <v>42737</v>
      </c>
      <c r="BD13" s="4082">
        <v>42821</v>
      </c>
      <c r="BE13" s="4082">
        <v>43100</v>
      </c>
      <c r="BF13" s="4082">
        <v>43089</v>
      </c>
      <c r="BG13" s="3150" t="s">
        <v>772</v>
      </c>
    </row>
    <row r="14" spans="1:59" ht="74.25" customHeight="1" x14ac:dyDescent="0.2">
      <c r="A14" s="4152"/>
      <c r="B14" s="4154"/>
      <c r="C14" s="4152"/>
      <c r="D14" s="3177"/>
      <c r="E14" s="1144"/>
      <c r="F14" s="4152"/>
      <c r="G14" s="3181"/>
      <c r="H14" s="3150"/>
      <c r="I14" s="2416"/>
      <c r="J14" s="2416"/>
      <c r="K14" s="2416"/>
      <c r="L14" s="3168"/>
      <c r="M14" s="2416"/>
      <c r="N14" s="3150"/>
      <c r="O14" s="4148"/>
      <c r="P14" s="4150"/>
      <c r="Q14" s="2694"/>
      <c r="R14" s="2695"/>
      <c r="S14" s="601" t="s">
        <v>773</v>
      </c>
      <c r="T14" s="1636">
        <v>25000000</v>
      </c>
      <c r="U14" s="1637">
        <v>17839999.75</v>
      </c>
      <c r="V14" s="1638"/>
      <c r="W14" s="2542"/>
      <c r="X14" s="2416"/>
      <c r="Y14" s="4145"/>
      <c r="Z14" s="3668"/>
      <c r="AA14" s="4145"/>
      <c r="AB14" s="3668"/>
      <c r="AC14" s="4145"/>
      <c r="AD14" s="3668"/>
      <c r="AE14" s="4145"/>
      <c r="AF14" s="3668"/>
      <c r="AG14" s="4146"/>
      <c r="AH14" s="2705"/>
      <c r="AI14" s="4144"/>
      <c r="AJ14" s="2705"/>
      <c r="AK14" s="4144"/>
      <c r="AL14" s="2705"/>
      <c r="AM14" s="4144"/>
      <c r="AN14" s="2705"/>
      <c r="AO14" s="2705"/>
      <c r="AP14" s="2705"/>
      <c r="AQ14" s="2705"/>
      <c r="AR14" s="2705"/>
      <c r="AS14" s="4144"/>
      <c r="AT14" s="2705"/>
      <c r="AU14" s="4144"/>
      <c r="AV14" s="2705"/>
      <c r="AW14" s="4136"/>
      <c r="AX14" s="4138"/>
      <c r="AY14" s="4140"/>
      <c r="AZ14" s="4136"/>
      <c r="BA14" s="2416"/>
      <c r="BB14" s="3150"/>
      <c r="BC14" s="2416"/>
      <c r="BD14" s="2416"/>
      <c r="BE14" s="2416"/>
      <c r="BF14" s="2416"/>
      <c r="BG14" s="3150"/>
    </row>
    <row r="15" spans="1:59" ht="102" customHeight="1" x14ac:dyDescent="0.2">
      <c r="A15" s="4152"/>
      <c r="B15" s="4154"/>
      <c r="C15" s="4152"/>
      <c r="D15" s="3177"/>
      <c r="E15" s="1144"/>
      <c r="F15" s="4152"/>
      <c r="G15" s="3181"/>
      <c r="H15" s="3150"/>
      <c r="I15" s="2416"/>
      <c r="J15" s="2416"/>
      <c r="K15" s="2416"/>
      <c r="L15" s="3168"/>
      <c r="M15" s="2416"/>
      <c r="N15" s="3150"/>
      <c r="O15" s="4148"/>
      <c r="P15" s="4150"/>
      <c r="Q15" s="2694"/>
      <c r="R15" s="2712" t="s">
        <v>774</v>
      </c>
      <c r="S15" s="601" t="s">
        <v>775</v>
      </c>
      <c r="T15" s="1636">
        <v>25000000</v>
      </c>
      <c r="U15" s="1637">
        <v>17839999.75</v>
      </c>
      <c r="V15" s="1638"/>
      <c r="W15" s="2542"/>
      <c r="X15" s="2416"/>
      <c r="Y15" s="4145"/>
      <c r="Z15" s="3668"/>
      <c r="AA15" s="4145"/>
      <c r="AB15" s="3668"/>
      <c r="AC15" s="4145"/>
      <c r="AD15" s="3668"/>
      <c r="AE15" s="4145"/>
      <c r="AF15" s="3668"/>
      <c r="AG15" s="4146"/>
      <c r="AH15" s="2705"/>
      <c r="AI15" s="4144"/>
      <c r="AJ15" s="2705"/>
      <c r="AK15" s="4144"/>
      <c r="AL15" s="2705"/>
      <c r="AM15" s="4144"/>
      <c r="AN15" s="2705"/>
      <c r="AO15" s="2705"/>
      <c r="AP15" s="2705"/>
      <c r="AQ15" s="2705"/>
      <c r="AR15" s="2705"/>
      <c r="AS15" s="4144"/>
      <c r="AT15" s="2705"/>
      <c r="AU15" s="4144"/>
      <c r="AV15" s="2705"/>
      <c r="AW15" s="4136"/>
      <c r="AX15" s="4138"/>
      <c r="AY15" s="4140"/>
      <c r="AZ15" s="4136"/>
      <c r="BA15" s="2416"/>
      <c r="BB15" s="3150"/>
      <c r="BC15" s="2416"/>
      <c r="BD15" s="2416"/>
      <c r="BE15" s="2416"/>
      <c r="BF15" s="2416"/>
      <c r="BG15" s="3150"/>
    </row>
    <row r="16" spans="1:59" ht="63" customHeight="1" x14ac:dyDescent="0.2">
      <c r="A16" s="4153"/>
      <c r="B16" s="4155"/>
      <c r="C16" s="4153"/>
      <c r="D16" s="3178"/>
      <c r="E16" s="1144"/>
      <c r="F16" s="4153"/>
      <c r="G16" s="3185"/>
      <c r="H16" s="2713"/>
      <c r="I16" s="2417"/>
      <c r="J16" s="2417"/>
      <c r="K16" s="2417"/>
      <c r="L16" s="3169"/>
      <c r="M16" s="2417"/>
      <c r="N16" s="2713"/>
      <c r="O16" s="4149"/>
      <c r="P16" s="4151"/>
      <c r="Q16" s="2695"/>
      <c r="R16" s="2713"/>
      <c r="S16" s="601" t="s">
        <v>776</v>
      </c>
      <c r="T16" s="1636">
        <v>25000000</v>
      </c>
      <c r="U16" s="1637">
        <v>17839999.75</v>
      </c>
      <c r="V16" s="1638"/>
      <c r="W16" s="2627"/>
      <c r="X16" s="2417"/>
      <c r="Y16" s="4143"/>
      <c r="Z16" s="4053"/>
      <c r="AA16" s="4143"/>
      <c r="AB16" s="4053"/>
      <c r="AC16" s="4143"/>
      <c r="AD16" s="4053"/>
      <c r="AE16" s="4143"/>
      <c r="AF16" s="4053"/>
      <c r="AG16" s="4147"/>
      <c r="AH16" s="2705"/>
      <c r="AI16" s="4144"/>
      <c r="AJ16" s="2705"/>
      <c r="AK16" s="4144"/>
      <c r="AL16" s="2705"/>
      <c r="AM16" s="4144"/>
      <c r="AN16" s="2705"/>
      <c r="AO16" s="2705"/>
      <c r="AP16" s="2705"/>
      <c r="AQ16" s="2705"/>
      <c r="AR16" s="2705"/>
      <c r="AS16" s="4144"/>
      <c r="AT16" s="2705"/>
      <c r="AU16" s="4144"/>
      <c r="AV16" s="2705"/>
      <c r="AW16" s="4137"/>
      <c r="AX16" s="4139"/>
      <c r="AY16" s="4141"/>
      <c r="AZ16" s="4137"/>
      <c r="BA16" s="2417"/>
      <c r="BB16" s="2713"/>
      <c r="BC16" s="2417"/>
      <c r="BD16" s="2417"/>
      <c r="BE16" s="2417"/>
      <c r="BF16" s="2417"/>
      <c r="BG16" s="2713"/>
    </row>
    <row r="17" spans="1:59" s="742" customFormat="1" ht="22.5" customHeight="1" x14ac:dyDescent="0.25">
      <c r="A17" s="732"/>
      <c r="B17" s="733"/>
      <c r="C17" s="733"/>
      <c r="D17" s="733"/>
      <c r="E17" s="733"/>
      <c r="F17" s="733"/>
      <c r="G17" s="733"/>
      <c r="H17" s="733"/>
      <c r="I17" s="733"/>
      <c r="J17" s="733"/>
      <c r="K17" s="733"/>
      <c r="L17" s="733"/>
      <c r="M17" s="3148" t="s">
        <v>291</v>
      </c>
      <c r="N17" s="3148"/>
      <c r="O17" s="3149"/>
      <c r="P17" s="1639">
        <f>SUM(P13)</f>
        <v>100000000</v>
      </c>
      <c r="Q17" s="732"/>
      <c r="R17" s="733"/>
      <c r="S17" s="1640"/>
      <c r="T17" s="1641">
        <f>SUM(T13:T16)</f>
        <v>100000000</v>
      </c>
      <c r="U17" s="1641">
        <f>SUM(U13:U16)</f>
        <v>71359999</v>
      </c>
      <c r="V17" s="1641"/>
      <c r="W17" s="732"/>
      <c r="X17" s="733"/>
      <c r="Y17" s="733"/>
      <c r="Z17" s="733"/>
      <c r="AA17" s="733"/>
      <c r="AB17" s="733"/>
      <c r="AC17" s="733"/>
      <c r="AD17" s="733"/>
      <c r="AE17" s="733"/>
      <c r="AF17" s="733"/>
      <c r="AG17" s="733"/>
      <c r="AH17" s="733"/>
      <c r="AI17" s="1642"/>
      <c r="AJ17" s="733"/>
      <c r="AK17" s="1642"/>
      <c r="AL17" s="733"/>
      <c r="AM17" s="1642"/>
      <c r="AN17" s="733"/>
      <c r="AO17" s="733"/>
      <c r="AP17" s="733"/>
      <c r="AQ17" s="733"/>
      <c r="AR17" s="733"/>
      <c r="AS17" s="1642"/>
      <c r="AT17" s="733"/>
      <c r="AU17" s="1642"/>
      <c r="AV17" s="733"/>
      <c r="AW17" s="737"/>
      <c r="AX17" s="1643">
        <f>SUM(AX13)</f>
        <v>71359999</v>
      </c>
      <c r="AY17" s="732"/>
      <c r="AZ17" s="733"/>
      <c r="BA17" s="733"/>
      <c r="BB17" s="733"/>
      <c r="BC17" s="741"/>
      <c r="BD17" s="741"/>
      <c r="BE17" s="741"/>
      <c r="BF17" s="733"/>
      <c r="BG17" s="737"/>
    </row>
    <row r="18" spans="1:59" x14ac:dyDescent="0.2">
      <c r="A18" s="688"/>
      <c r="B18" s="688"/>
      <c r="C18" s="688"/>
      <c r="D18" s="688"/>
      <c r="E18" s="688"/>
      <c r="F18" s="688"/>
      <c r="G18" s="688"/>
      <c r="H18" s="688"/>
      <c r="I18" s="688"/>
      <c r="J18" s="688"/>
      <c r="K18" s="688"/>
      <c r="L18" s="688"/>
      <c r="M18" s="688"/>
      <c r="N18" s="688"/>
      <c r="O18" s="688"/>
      <c r="P18" s="688"/>
      <c r="Q18" s="688"/>
      <c r="R18" s="688"/>
      <c r="S18" s="1008"/>
      <c r="T18" s="1644"/>
      <c r="U18" s="1644"/>
      <c r="V18" s="1644"/>
      <c r="W18" s="688"/>
      <c r="X18" s="688"/>
      <c r="Y18" s="688"/>
      <c r="Z18" s="688"/>
      <c r="AA18" s="688"/>
      <c r="AB18" s="688"/>
      <c r="AC18" s="688"/>
      <c r="AD18" s="688"/>
      <c r="AE18" s="688"/>
      <c r="AF18" s="688"/>
      <c r="AG18" s="688"/>
      <c r="AH18" s="688"/>
      <c r="AI18" s="688"/>
      <c r="AJ18" s="688"/>
      <c r="AK18" s="688"/>
      <c r="AL18" s="688"/>
      <c r="AM18" s="688"/>
      <c r="AN18" s="688"/>
      <c r="AO18" s="688"/>
      <c r="AP18" s="688"/>
      <c r="AQ18" s="688"/>
      <c r="AR18" s="688"/>
      <c r="AS18" s="688"/>
      <c r="AT18" s="688"/>
      <c r="AU18" s="688"/>
      <c r="AV18" s="688"/>
      <c r="AW18" s="688"/>
      <c r="AX18" s="688"/>
      <c r="AY18" s="688"/>
      <c r="AZ18" s="688"/>
      <c r="BA18" s="688"/>
      <c r="BB18" s="688"/>
      <c r="BC18" s="998"/>
      <c r="BD18" s="998"/>
      <c r="BE18" s="998"/>
      <c r="BF18" s="688"/>
      <c r="BG18" s="688"/>
    </row>
    <row r="19" spans="1:59" x14ac:dyDescent="0.2">
      <c r="A19" s="688"/>
      <c r="B19" s="688"/>
      <c r="C19" s="688"/>
      <c r="D19" s="688"/>
      <c r="E19" s="688"/>
      <c r="F19" s="688"/>
      <c r="G19" s="688"/>
      <c r="H19" s="688"/>
      <c r="I19" s="688"/>
      <c r="J19" s="688"/>
      <c r="K19" s="688"/>
      <c r="L19" s="688"/>
      <c r="M19" s="688"/>
      <c r="N19" s="688"/>
      <c r="O19" s="688"/>
      <c r="P19" s="688"/>
      <c r="Q19" s="688"/>
      <c r="R19" s="688"/>
      <c r="S19" s="1008"/>
      <c r="T19" s="1644"/>
      <c r="U19" s="1644"/>
      <c r="V19" s="1644"/>
      <c r="W19" s="688"/>
      <c r="X19" s="688"/>
      <c r="Y19" s="688"/>
      <c r="Z19" s="688"/>
      <c r="AA19" s="688"/>
      <c r="AB19" s="688"/>
      <c r="AC19" s="688"/>
      <c r="AD19" s="688"/>
      <c r="AE19" s="688"/>
      <c r="AF19" s="688"/>
      <c r="AG19" s="688"/>
      <c r="AH19" s="688"/>
      <c r="AI19" s="688"/>
      <c r="AJ19" s="688"/>
      <c r="AK19" s="688"/>
      <c r="AL19" s="688"/>
      <c r="AM19" s="688"/>
      <c r="AN19" s="688"/>
      <c r="AO19" s="688"/>
      <c r="AP19" s="688"/>
      <c r="AQ19" s="688"/>
      <c r="AR19" s="688"/>
      <c r="AS19" s="688"/>
      <c r="AT19" s="688"/>
      <c r="AU19" s="688"/>
      <c r="AV19" s="688"/>
      <c r="AW19" s="688"/>
      <c r="AX19" s="688"/>
      <c r="AY19" s="688"/>
      <c r="AZ19" s="688"/>
      <c r="BA19" s="688"/>
      <c r="BB19" s="688"/>
      <c r="BC19" s="998"/>
      <c r="BD19" s="998"/>
      <c r="BE19" s="998"/>
      <c r="BF19" s="688"/>
      <c r="BG19" s="688"/>
    </row>
    <row r="20" spans="1:59" x14ac:dyDescent="0.2">
      <c r="BF20" s="38"/>
    </row>
    <row r="21" spans="1:59" ht="15" x14ac:dyDescent="0.2">
      <c r="J21" s="2683" t="s">
        <v>777</v>
      </c>
      <c r="K21" s="2683"/>
      <c r="L21" s="2683"/>
      <c r="M21" s="2683"/>
    </row>
    <row r="22" spans="1:59" x14ac:dyDescent="0.2">
      <c r="J22" s="2684" t="s">
        <v>778</v>
      </c>
      <c r="K22" s="2684"/>
      <c r="L22" s="2684"/>
      <c r="M22" s="2684"/>
    </row>
  </sheetData>
  <sheetProtection password="CBEB" sheet="1" objects="1" scenarios="1"/>
  <mergeCells count="109">
    <mergeCell ref="A7:A9"/>
    <mergeCell ref="B7:B9"/>
    <mergeCell ref="C7:C9"/>
    <mergeCell ref="D7:E9"/>
    <mergeCell ref="F7:F9"/>
    <mergeCell ref="G7:G9"/>
    <mergeCell ref="A1:BE2"/>
    <mergeCell ref="A3:BE3"/>
    <mergeCell ref="A4:BE4"/>
    <mergeCell ref="A5:K6"/>
    <mergeCell ref="L5:X6"/>
    <mergeCell ref="Y5:AV6"/>
    <mergeCell ref="AW5:BE6"/>
    <mergeCell ref="O7:O9"/>
    <mergeCell ref="P7:P9"/>
    <mergeCell ref="Q7:Q9"/>
    <mergeCell ref="R7:R9"/>
    <mergeCell ref="S7:S9"/>
    <mergeCell ref="T7:V8"/>
    <mergeCell ref="H7:H9"/>
    <mergeCell ref="I7:I9"/>
    <mergeCell ref="J7:K8"/>
    <mergeCell ref="L7:L9"/>
    <mergeCell ref="M7:M9"/>
    <mergeCell ref="N7:N9"/>
    <mergeCell ref="W7:W9"/>
    <mergeCell ref="X7:X9"/>
    <mergeCell ref="Y7:AJ7"/>
    <mergeCell ref="AK7:AV7"/>
    <mergeCell ref="AW7:BB7"/>
    <mergeCell ref="BC7:BD8"/>
    <mergeCell ref="AO8:AP8"/>
    <mergeCell ref="AQ8:AR8"/>
    <mergeCell ref="AS8:AT8"/>
    <mergeCell ref="AU8:AV8"/>
    <mergeCell ref="AW8:AW9"/>
    <mergeCell ref="AX8:AX9"/>
    <mergeCell ref="AY8:AY9"/>
    <mergeCell ref="AZ8:AZ9"/>
    <mergeCell ref="BA8:BA9"/>
    <mergeCell ref="BB8:BB9"/>
    <mergeCell ref="BE7:BF8"/>
    <mergeCell ref="BG7:BG9"/>
    <mergeCell ref="Y8:Z8"/>
    <mergeCell ref="AA8:AB8"/>
    <mergeCell ref="AC8:AD8"/>
    <mergeCell ref="AE8:AF8"/>
    <mergeCell ref="AG8:AH8"/>
    <mergeCell ref="AI8:AJ8"/>
    <mergeCell ref="AK8:AL8"/>
    <mergeCell ref="AM8:AN8"/>
    <mergeCell ref="H13:H16"/>
    <mergeCell ref="I13:I16"/>
    <mergeCell ref="J13:J16"/>
    <mergeCell ref="K13:K16"/>
    <mergeCell ref="L13:L16"/>
    <mergeCell ref="M13:M16"/>
    <mergeCell ref="A13:A16"/>
    <mergeCell ref="B13:B16"/>
    <mergeCell ref="C13:C16"/>
    <mergeCell ref="D13:D16"/>
    <mergeCell ref="F13:F16"/>
    <mergeCell ref="G13:G16"/>
    <mergeCell ref="X13:X16"/>
    <mergeCell ref="Y13:Y16"/>
    <mergeCell ref="Z13:Z16"/>
    <mergeCell ref="AA13:AA16"/>
    <mergeCell ref="AB13:AB16"/>
    <mergeCell ref="AC13:AC16"/>
    <mergeCell ref="N13:N16"/>
    <mergeCell ref="O13:O16"/>
    <mergeCell ref="P13:P16"/>
    <mergeCell ref="Q13:Q16"/>
    <mergeCell ref="R13:R14"/>
    <mergeCell ref="W13:W16"/>
    <mergeCell ref="R15:R16"/>
    <mergeCell ref="AM13:AM16"/>
    <mergeCell ref="AN13:AN16"/>
    <mergeCell ref="AO13:AO16"/>
    <mergeCell ref="AD13:AD16"/>
    <mergeCell ref="AE13:AE16"/>
    <mergeCell ref="AF13:AF16"/>
    <mergeCell ref="AG13:AG16"/>
    <mergeCell ref="AH13:AH16"/>
    <mergeCell ref="AI13:AI16"/>
    <mergeCell ref="M17:O17"/>
    <mergeCell ref="J21:M21"/>
    <mergeCell ref="J22:M22"/>
    <mergeCell ref="BB13:BB16"/>
    <mergeCell ref="BC13:BC16"/>
    <mergeCell ref="BD13:BD16"/>
    <mergeCell ref="BE13:BE16"/>
    <mergeCell ref="BF13:BF16"/>
    <mergeCell ref="BG13:BG16"/>
    <mergeCell ref="AV13:AV16"/>
    <mergeCell ref="AW13:AW16"/>
    <mergeCell ref="AX13:AX16"/>
    <mergeCell ref="AY13:AY16"/>
    <mergeCell ref="AZ13:AZ16"/>
    <mergeCell ref="BA13:BA16"/>
    <mergeCell ref="AP13:AP16"/>
    <mergeCell ref="AQ13:AQ16"/>
    <mergeCell ref="AR13:AR16"/>
    <mergeCell ref="AS13:AS16"/>
    <mergeCell ref="AT13:AT16"/>
    <mergeCell ref="AU13:AU16"/>
    <mergeCell ref="AJ13:AJ16"/>
    <mergeCell ref="AK13:AK16"/>
    <mergeCell ref="AL13:AL16"/>
  </mergeCells>
  <pageMargins left="0.7" right="0.7" top="0.75" bottom="0.75" header="0.3" footer="0.3"/>
  <pageSetup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NH197"/>
  <sheetViews>
    <sheetView showGridLines="0" zoomScale="60" zoomScaleNormal="60" workbookViewId="0">
      <selection sqref="A1:BH2"/>
    </sheetView>
  </sheetViews>
  <sheetFormatPr baseColWidth="10" defaultColWidth="11.42578125" defaultRowHeight="14.25" x14ac:dyDescent="0.2"/>
  <cols>
    <col min="1" max="1" width="11.85546875" style="1647" customWidth="1"/>
    <col min="2" max="2" width="10.7109375" style="1647" customWidth="1"/>
    <col min="3" max="3" width="8.140625" style="1647" customWidth="1"/>
    <col min="4" max="4" width="11.7109375" style="1647" customWidth="1"/>
    <col min="5" max="5" width="7.42578125" style="1647" customWidth="1"/>
    <col min="6" max="6" width="9" style="1647" customWidth="1"/>
    <col min="7" max="7" width="11.140625" style="1647" bestFit="1" customWidth="1"/>
    <col min="8" max="8" width="8.5703125" style="1647" customWidth="1"/>
    <col min="9" max="9" width="13.5703125" style="1647" customWidth="1"/>
    <col min="10" max="10" width="12" style="1647" customWidth="1"/>
    <col min="11" max="11" width="31.28515625" style="1885" customWidth="1"/>
    <col min="12" max="12" width="22.7109375" style="1724" customWidth="1"/>
    <col min="13" max="14" width="18.85546875" style="1724" customWidth="1"/>
    <col min="15" max="15" width="20.7109375" style="1912" customWidth="1"/>
    <col min="16" max="16" width="15.5703125" style="1724" customWidth="1"/>
    <col min="17" max="17" width="21.42578125" style="1885" customWidth="1"/>
    <col min="18" max="18" width="13.42578125" style="1887" customWidth="1"/>
    <col min="19" max="19" width="31.28515625" style="1724" customWidth="1"/>
    <col min="20" max="20" width="28.140625" style="1724" customWidth="1"/>
    <col min="21" max="21" width="32.42578125" style="1885" customWidth="1"/>
    <col min="22" max="22" width="28.7109375" style="1886" customWidth="1"/>
    <col min="23" max="23" width="29.42578125" style="1886" customWidth="1"/>
    <col min="24" max="24" width="29.28515625" style="1886" customWidth="1"/>
    <col min="25" max="25" width="28.28515625" style="1886" customWidth="1"/>
    <col min="26" max="26" width="13.28515625" style="1887" customWidth="1"/>
    <col min="27" max="27" width="16.28515625" style="1887" customWidth="1"/>
    <col min="28" max="28" width="11" style="1888" customWidth="1"/>
    <col min="29" max="29" width="13.42578125" style="1888" customWidth="1"/>
    <col min="30" max="39" width="11" style="1888" customWidth="1"/>
    <col min="40" max="41" width="13.42578125" style="1888" customWidth="1"/>
    <col min="42" max="43" width="13.85546875" style="1888" customWidth="1"/>
    <col min="44" max="45" width="14.85546875" style="1888" customWidth="1"/>
    <col min="46" max="46" width="12.140625" style="1888" customWidth="1"/>
    <col min="47" max="47" width="10.42578125" style="1888" customWidth="1"/>
    <col min="48" max="48" width="12.85546875" style="1888" customWidth="1"/>
    <col min="49" max="49" width="12.42578125" style="1888" customWidth="1"/>
    <col min="50" max="51" width="11" style="1888" customWidth="1"/>
    <col min="52" max="52" width="20.5703125" style="1888" customWidth="1"/>
    <col min="53" max="53" width="35.7109375" style="1888" customWidth="1"/>
    <col min="54" max="54" width="34.7109375" style="1888" customWidth="1"/>
    <col min="55" max="55" width="15.140625" style="1888" customWidth="1"/>
    <col min="56" max="56" width="20.7109375" style="1888" customWidth="1"/>
    <col min="57" max="57" width="21" style="1888" customWidth="1"/>
    <col min="58" max="59" width="15.7109375" style="1889" customWidth="1"/>
    <col min="60" max="61" width="16.42578125" style="1890" customWidth="1"/>
    <col min="62" max="62" width="28.7109375" style="1891" customWidth="1"/>
    <col min="63" max="63" width="21.42578125" style="1646" customWidth="1"/>
    <col min="64" max="64" width="15.7109375" style="1646" bestFit="1" customWidth="1"/>
    <col min="65" max="16384" width="11.42578125" style="1647"/>
  </cols>
  <sheetData>
    <row r="1" spans="1:68" ht="21.75" customHeight="1" x14ac:dyDescent="0.2">
      <c r="A1" s="4338" t="s">
        <v>1211</v>
      </c>
      <c r="B1" s="4339"/>
      <c r="C1" s="4339"/>
      <c r="D1" s="4339"/>
      <c r="E1" s="4339"/>
      <c r="F1" s="4339"/>
      <c r="G1" s="4339"/>
      <c r="H1" s="4339"/>
      <c r="I1" s="4339"/>
      <c r="J1" s="4339"/>
      <c r="K1" s="4339"/>
      <c r="L1" s="4339"/>
      <c r="M1" s="4339"/>
      <c r="N1" s="4339"/>
      <c r="O1" s="4339"/>
      <c r="P1" s="4339"/>
      <c r="Q1" s="4339"/>
      <c r="R1" s="4339"/>
      <c r="S1" s="4339"/>
      <c r="T1" s="4339"/>
      <c r="U1" s="4339"/>
      <c r="V1" s="4339"/>
      <c r="W1" s="4339"/>
      <c r="X1" s="4339"/>
      <c r="Y1" s="4339"/>
      <c r="Z1" s="4339"/>
      <c r="AA1" s="4339"/>
      <c r="AB1" s="4339"/>
      <c r="AC1" s="4339"/>
      <c r="AD1" s="4339"/>
      <c r="AE1" s="4339"/>
      <c r="AF1" s="4339"/>
      <c r="AG1" s="4339"/>
      <c r="AH1" s="4339"/>
      <c r="AI1" s="4339"/>
      <c r="AJ1" s="4339"/>
      <c r="AK1" s="4339"/>
      <c r="AL1" s="4339"/>
      <c r="AM1" s="4339"/>
      <c r="AN1" s="4339"/>
      <c r="AO1" s="4339"/>
      <c r="AP1" s="4339"/>
      <c r="AQ1" s="4339"/>
      <c r="AR1" s="4339"/>
      <c r="AS1" s="4339"/>
      <c r="AT1" s="4339"/>
      <c r="AU1" s="4339"/>
      <c r="AV1" s="4339"/>
      <c r="AW1" s="4339"/>
      <c r="AX1" s="4339"/>
      <c r="AY1" s="4339"/>
      <c r="AZ1" s="4339"/>
      <c r="BA1" s="4339"/>
      <c r="BB1" s="4339"/>
      <c r="BC1" s="4339"/>
      <c r="BD1" s="4339"/>
      <c r="BE1" s="4339"/>
      <c r="BF1" s="4339"/>
      <c r="BG1" s="4339"/>
      <c r="BH1" s="4340"/>
      <c r="BI1" s="1645" t="s">
        <v>0</v>
      </c>
      <c r="BJ1" s="1645" t="s">
        <v>1</v>
      </c>
    </row>
    <row r="2" spans="1:68" ht="23.25" customHeight="1" x14ac:dyDescent="0.2">
      <c r="A2" s="4341"/>
      <c r="B2" s="4341"/>
      <c r="C2" s="4341"/>
      <c r="D2" s="4341"/>
      <c r="E2" s="4341"/>
      <c r="F2" s="4341"/>
      <c r="G2" s="4341"/>
      <c r="H2" s="4341"/>
      <c r="I2" s="4341"/>
      <c r="J2" s="4341"/>
      <c r="K2" s="4341"/>
      <c r="L2" s="4341"/>
      <c r="M2" s="4341"/>
      <c r="N2" s="4341"/>
      <c r="O2" s="4341"/>
      <c r="P2" s="4341"/>
      <c r="Q2" s="4341"/>
      <c r="R2" s="4341"/>
      <c r="S2" s="4341"/>
      <c r="T2" s="4341"/>
      <c r="U2" s="4341"/>
      <c r="V2" s="4341"/>
      <c r="W2" s="4341"/>
      <c r="X2" s="4341"/>
      <c r="Y2" s="4341"/>
      <c r="Z2" s="4341"/>
      <c r="AA2" s="4341"/>
      <c r="AB2" s="4341"/>
      <c r="AC2" s="4341"/>
      <c r="AD2" s="4341"/>
      <c r="AE2" s="4341"/>
      <c r="AF2" s="4341"/>
      <c r="AG2" s="4341"/>
      <c r="AH2" s="4341"/>
      <c r="AI2" s="4341"/>
      <c r="AJ2" s="4341"/>
      <c r="AK2" s="4341"/>
      <c r="AL2" s="4341"/>
      <c r="AM2" s="4341"/>
      <c r="AN2" s="4341"/>
      <c r="AO2" s="4341"/>
      <c r="AP2" s="4341"/>
      <c r="AQ2" s="4341"/>
      <c r="AR2" s="4341"/>
      <c r="AS2" s="4341"/>
      <c r="AT2" s="4341"/>
      <c r="AU2" s="4341"/>
      <c r="AV2" s="4341"/>
      <c r="AW2" s="4341"/>
      <c r="AX2" s="4341"/>
      <c r="AY2" s="4341"/>
      <c r="AZ2" s="4341"/>
      <c r="BA2" s="4341"/>
      <c r="BB2" s="4341"/>
      <c r="BC2" s="4341"/>
      <c r="BD2" s="4341"/>
      <c r="BE2" s="4341"/>
      <c r="BF2" s="4341"/>
      <c r="BG2" s="4341"/>
      <c r="BH2" s="4342"/>
      <c r="BI2" s="1648" t="s">
        <v>2</v>
      </c>
      <c r="BJ2" s="1649">
        <v>5</v>
      </c>
    </row>
    <row r="3" spans="1:68" ht="31.5" customHeight="1" x14ac:dyDescent="0.2">
      <c r="A3" s="4343" t="s">
        <v>7</v>
      </c>
      <c r="B3" s="4343"/>
      <c r="C3" s="4343"/>
      <c r="D3" s="4343"/>
      <c r="E3" s="4343"/>
      <c r="F3" s="4343"/>
      <c r="G3" s="4343"/>
      <c r="H3" s="4343"/>
      <c r="I3" s="4343"/>
      <c r="J3" s="4343"/>
      <c r="K3" s="4343"/>
      <c r="L3" s="4343"/>
      <c r="M3" s="4343"/>
      <c r="N3" s="4343"/>
      <c r="O3" s="1650"/>
      <c r="P3" s="1650"/>
      <c r="Q3" s="4344" t="s">
        <v>8</v>
      </c>
      <c r="R3" s="4343"/>
      <c r="S3" s="4343"/>
      <c r="T3" s="4343"/>
      <c r="U3" s="4343"/>
      <c r="V3" s="4343"/>
      <c r="W3" s="4343"/>
      <c r="X3" s="4343"/>
      <c r="Y3" s="4343"/>
      <c r="Z3" s="4343"/>
      <c r="AA3" s="4345"/>
      <c r="AB3" s="4347" t="s">
        <v>9</v>
      </c>
      <c r="AC3" s="4348"/>
      <c r="AD3" s="4348"/>
      <c r="AE3" s="4348"/>
      <c r="AF3" s="4348"/>
      <c r="AG3" s="4348"/>
      <c r="AH3" s="4348"/>
      <c r="AI3" s="4348"/>
      <c r="AJ3" s="4348"/>
      <c r="AK3" s="4348"/>
      <c r="AL3" s="4348"/>
      <c r="AM3" s="4348"/>
      <c r="AN3" s="4348"/>
      <c r="AO3" s="4348"/>
      <c r="AP3" s="4348"/>
      <c r="AQ3" s="4348"/>
      <c r="AR3" s="4348"/>
      <c r="AS3" s="4348"/>
      <c r="AT3" s="4348"/>
      <c r="AU3" s="4348"/>
      <c r="AV3" s="4348"/>
      <c r="AW3" s="4348"/>
      <c r="AX3" s="4348"/>
      <c r="AY3" s="4349"/>
      <c r="AZ3" s="4344"/>
      <c r="BA3" s="4343"/>
      <c r="BB3" s="4343"/>
      <c r="BC3" s="4343"/>
      <c r="BD3" s="4343"/>
      <c r="BE3" s="4343"/>
      <c r="BF3" s="4343"/>
      <c r="BG3" s="4343"/>
      <c r="BH3" s="4343"/>
      <c r="BI3" s="1645" t="s">
        <v>3</v>
      </c>
      <c r="BJ3" s="1651" t="s">
        <v>4</v>
      </c>
    </row>
    <row r="4" spans="1:68" ht="23.45" customHeight="1" x14ac:dyDescent="0.2">
      <c r="A4" s="4341"/>
      <c r="B4" s="4341"/>
      <c r="C4" s="4341"/>
      <c r="D4" s="4341"/>
      <c r="E4" s="4341"/>
      <c r="F4" s="4341"/>
      <c r="G4" s="4341"/>
      <c r="H4" s="4341"/>
      <c r="I4" s="4341"/>
      <c r="J4" s="4341"/>
      <c r="K4" s="4341"/>
      <c r="L4" s="4341"/>
      <c r="M4" s="4341"/>
      <c r="N4" s="4341"/>
      <c r="O4" s="1652"/>
      <c r="P4" s="1652"/>
      <c r="Q4" s="4346"/>
      <c r="R4" s="4341"/>
      <c r="S4" s="4341"/>
      <c r="T4" s="4341"/>
      <c r="U4" s="4341"/>
      <c r="V4" s="4341"/>
      <c r="W4" s="4341"/>
      <c r="X4" s="4341"/>
      <c r="Y4" s="4341"/>
      <c r="Z4" s="4341"/>
      <c r="AA4" s="4342"/>
      <c r="AB4" s="4350"/>
      <c r="AC4" s="4351"/>
      <c r="AD4" s="4351"/>
      <c r="AE4" s="4351"/>
      <c r="AF4" s="4351"/>
      <c r="AG4" s="4351"/>
      <c r="AH4" s="4351"/>
      <c r="AI4" s="4351"/>
      <c r="AJ4" s="4351"/>
      <c r="AK4" s="4351"/>
      <c r="AL4" s="4351"/>
      <c r="AM4" s="4351"/>
      <c r="AN4" s="4351"/>
      <c r="AO4" s="4351"/>
      <c r="AP4" s="4351"/>
      <c r="AQ4" s="4351"/>
      <c r="AR4" s="4351"/>
      <c r="AS4" s="4351"/>
      <c r="AT4" s="4351"/>
      <c r="AU4" s="4351"/>
      <c r="AV4" s="4351"/>
      <c r="AW4" s="4351"/>
      <c r="AX4" s="4351"/>
      <c r="AY4" s="4352"/>
      <c r="AZ4" s="4346"/>
      <c r="BA4" s="4341"/>
      <c r="BB4" s="4341"/>
      <c r="BC4" s="4341"/>
      <c r="BD4" s="4341"/>
      <c r="BE4" s="4341"/>
      <c r="BF4" s="4341"/>
      <c r="BG4" s="4341"/>
      <c r="BH4" s="4341"/>
      <c r="BI4" s="1645" t="s">
        <v>5</v>
      </c>
      <c r="BJ4" s="1653" t="s">
        <v>6</v>
      </c>
    </row>
    <row r="5" spans="1:68" ht="22.5" customHeight="1" x14ac:dyDescent="0.2">
      <c r="A5" s="4326" t="s">
        <v>10</v>
      </c>
      <c r="B5" s="4332" t="s">
        <v>11</v>
      </c>
      <c r="C5" s="4326"/>
      <c r="D5" s="4326" t="s">
        <v>10</v>
      </c>
      <c r="E5" s="4332" t="s">
        <v>12</v>
      </c>
      <c r="F5" s="4326"/>
      <c r="G5" s="4326" t="s">
        <v>10</v>
      </c>
      <c r="H5" s="4332" t="s">
        <v>13</v>
      </c>
      <c r="I5" s="4326"/>
      <c r="J5" s="4326" t="s">
        <v>10</v>
      </c>
      <c r="K5" s="4335" t="s">
        <v>14</v>
      </c>
      <c r="L5" s="4329" t="s">
        <v>15</v>
      </c>
      <c r="M5" s="4332" t="s">
        <v>16</v>
      </c>
      <c r="N5" s="4326"/>
      <c r="O5" s="4329" t="s">
        <v>17</v>
      </c>
      <c r="P5" s="4326" t="s">
        <v>18</v>
      </c>
      <c r="Q5" s="4329" t="s">
        <v>8</v>
      </c>
      <c r="R5" s="4332" t="s">
        <v>19</v>
      </c>
      <c r="S5" s="4332" t="s">
        <v>20</v>
      </c>
      <c r="T5" s="4332" t="s">
        <v>21</v>
      </c>
      <c r="U5" s="4332" t="s">
        <v>22</v>
      </c>
      <c r="V5" s="4329" t="s">
        <v>23</v>
      </c>
      <c r="W5" s="4358" t="s">
        <v>20</v>
      </c>
      <c r="X5" s="4358"/>
      <c r="Y5" s="4358"/>
      <c r="Z5" s="4358" t="s">
        <v>10</v>
      </c>
      <c r="AA5" s="4358" t="s">
        <v>24</v>
      </c>
      <c r="AB5" s="4359" t="s">
        <v>25</v>
      </c>
      <c r="AC5" s="4360"/>
      <c r="AD5" s="4360"/>
      <c r="AE5" s="4360"/>
      <c r="AF5" s="4360"/>
      <c r="AG5" s="4360"/>
      <c r="AH5" s="4360"/>
      <c r="AI5" s="4360"/>
      <c r="AJ5" s="4360"/>
      <c r="AK5" s="4360"/>
      <c r="AL5" s="4360"/>
      <c r="AM5" s="4361"/>
      <c r="AN5" s="4359" t="s">
        <v>26</v>
      </c>
      <c r="AO5" s="4360"/>
      <c r="AP5" s="4360"/>
      <c r="AQ5" s="4360"/>
      <c r="AR5" s="4360"/>
      <c r="AS5" s="4360"/>
      <c r="AT5" s="4360"/>
      <c r="AU5" s="4360"/>
      <c r="AV5" s="4360"/>
      <c r="AW5" s="4360"/>
      <c r="AX5" s="4360"/>
      <c r="AY5" s="4361"/>
      <c r="AZ5" s="4323" t="s">
        <v>27</v>
      </c>
      <c r="BA5" s="4324"/>
      <c r="BB5" s="4324"/>
      <c r="BC5" s="4324"/>
      <c r="BD5" s="4324"/>
      <c r="BE5" s="4325"/>
      <c r="BF5" s="4353" t="s">
        <v>28</v>
      </c>
      <c r="BG5" s="4354"/>
      <c r="BH5" s="4353" t="s">
        <v>29</v>
      </c>
      <c r="BI5" s="4354"/>
      <c r="BJ5" s="4357" t="s">
        <v>30</v>
      </c>
    </row>
    <row r="6" spans="1:68" ht="30.75" customHeight="1" x14ac:dyDescent="0.2">
      <c r="A6" s="4327"/>
      <c r="B6" s="4333"/>
      <c r="C6" s="4327"/>
      <c r="D6" s="4327"/>
      <c r="E6" s="4333"/>
      <c r="F6" s="4327"/>
      <c r="G6" s="4327"/>
      <c r="H6" s="4333"/>
      <c r="I6" s="4327"/>
      <c r="J6" s="4327"/>
      <c r="K6" s="4336"/>
      <c r="L6" s="4330"/>
      <c r="M6" s="4333"/>
      <c r="N6" s="4327"/>
      <c r="O6" s="4330"/>
      <c r="P6" s="4327"/>
      <c r="Q6" s="4330"/>
      <c r="R6" s="4333"/>
      <c r="S6" s="4333"/>
      <c r="T6" s="4333"/>
      <c r="U6" s="4333"/>
      <c r="V6" s="4330"/>
      <c r="W6" s="4358"/>
      <c r="X6" s="4358"/>
      <c r="Y6" s="4358"/>
      <c r="Z6" s="4358"/>
      <c r="AA6" s="4358"/>
      <c r="AB6" s="4320" t="s">
        <v>295</v>
      </c>
      <c r="AC6" s="4320"/>
      <c r="AD6" s="4320" t="s">
        <v>32</v>
      </c>
      <c r="AE6" s="4320"/>
      <c r="AF6" s="4320" t="s">
        <v>33</v>
      </c>
      <c r="AG6" s="4320"/>
      <c r="AH6" s="4320" t="s">
        <v>34</v>
      </c>
      <c r="AI6" s="4320"/>
      <c r="AJ6" s="4320" t="s">
        <v>35</v>
      </c>
      <c r="AK6" s="4320"/>
      <c r="AL6" s="4320" t="s">
        <v>36</v>
      </c>
      <c r="AM6" s="4320"/>
      <c r="AN6" s="4321" t="s">
        <v>37</v>
      </c>
      <c r="AO6" s="4322"/>
      <c r="AP6" s="4321" t="s">
        <v>38</v>
      </c>
      <c r="AQ6" s="4322"/>
      <c r="AR6" s="4321" t="s">
        <v>39</v>
      </c>
      <c r="AS6" s="4322"/>
      <c r="AT6" s="4362" t="s">
        <v>40</v>
      </c>
      <c r="AU6" s="4363"/>
      <c r="AV6" s="4320" t="s">
        <v>41</v>
      </c>
      <c r="AW6" s="4320"/>
      <c r="AX6" s="4321" t="s">
        <v>42</v>
      </c>
      <c r="AY6" s="4322"/>
      <c r="AZ6" s="4320" t="s">
        <v>43</v>
      </c>
      <c r="BA6" s="4320" t="s">
        <v>44</v>
      </c>
      <c r="BB6" s="4320" t="s">
        <v>45</v>
      </c>
      <c r="BC6" s="4320" t="s">
        <v>46</v>
      </c>
      <c r="BD6" s="4320" t="s">
        <v>47</v>
      </c>
      <c r="BE6" s="4320" t="s">
        <v>48</v>
      </c>
      <c r="BF6" s="4355"/>
      <c r="BG6" s="4356"/>
      <c r="BH6" s="4355"/>
      <c r="BI6" s="4356"/>
      <c r="BJ6" s="4357"/>
      <c r="BK6" s="1654"/>
    </row>
    <row r="7" spans="1:68" ht="30.75" customHeight="1" x14ac:dyDescent="0.2">
      <c r="A7" s="4327"/>
      <c r="B7" s="4333"/>
      <c r="C7" s="4327"/>
      <c r="D7" s="4327"/>
      <c r="E7" s="4333"/>
      <c r="F7" s="4327"/>
      <c r="G7" s="4327"/>
      <c r="H7" s="4333"/>
      <c r="I7" s="4327"/>
      <c r="J7" s="4327"/>
      <c r="K7" s="4336"/>
      <c r="L7" s="4330"/>
      <c r="M7" s="1655" t="s">
        <v>49</v>
      </c>
      <c r="N7" s="1655" t="s">
        <v>50</v>
      </c>
      <c r="O7" s="4330"/>
      <c r="P7" s="4327"/>
      <c r="Q7" s="4330"/>
      <c r="R7" s="4333"/>
      <c r="S7" s="4333"/>
      <c r="T7" s="4333"/>
      <c r="U7" s="4333"/>
      <c r="V7" s="4330"/>
      <c r="W7" s="1655" t="s">
        <v>810</v>
      </c>
      <c r="X7" s="239" t="s">
        <v>52</v>
      </c>
      <c r="Y7" s="239" t="s">
        <v>53</v>
      </c>
      <c r="Z7" s="4358"/>
      <c r="AA7" s="4358"/>
      <c r="AB7" s="1656" t="s">
        <v>49</v>
      </c>
      <c r="AC7" s="1656" t="s">
        <v>50</v>
      </c>
      <c r="AD7" s="1656" t="s">
        <v>49</v>
      </c>
      <c r="AE7" s="1656" t="s">
        <v>50</v>
      </c>
      <c r="AF7" s="1656" t="s">
        <v>49</v>
      </c>
      <c r="AG7" s="1656" t="s">
        <v>50</v>
      </c>
      <c r="AH7" s="1656" t="s">
        <v>49</v>
      </c>
      <c r="AI7" s="1656" t="s">
        <v>50</v>
      </c>
      <c r="AJ7" s="1656" t="s">
        <v>49</v>
      </c>
      <c r="AK7" s="1656" t="s">
        <v>50</v>
      </c>
      <c r="AL7" s="1656" t="s">
        <v>49</v>
      </c>
      <c r="AM7" s="1656" t="s">
        <v>50</v>
      </c>
      <c r="AN7" s="1656" t="s">
        <v>49</v>
      </c>
      <c r="AO7" s="1656" t="s">
        <v>50</v>
      </c>
      <c r="AP7" s="1656" t="s">
        <v>49</v>
      </c>
      <c r="AQ7" s="1656" t="s">
        <v>50</v>
      </c>
      <c r="AR7" s="1656" t="s">
        <v>49</v>
      </c>
      <c r="AS7" s="1656" t="s">
        <v>50</v>
      </c>
      <c r="AT7" s="1656" t="s">
        <v>49</v>
      </c>
      <c r="AU7" s="1656" t="s">
        <v>50</v>
      </c>
      <c r="AV7" s="1656" t="s">
        <v>49</v>
      </c>
      <c r="AW7" s="1656" t="s">
        <v>50</v>
      </c>
      <c r="AX7" s="1656" t="s">
        <v>49</v>
      </c>
      <c r="AY7" s="1656" t="s">
        <v>50</v>
      </c>
      <c r="AZ7" s="4320"/>
      <c r="BA7" s="4320"/>
      <c r="BB7" s="4320"/>
      <c r="BC7" s="4320"/>
      <c r="BD7" s="4320"/>
      <c r="BE7" s="4320"/>
      <c r="BF7" s="1657" t="s">
        <v>49</v>
      </c>
      <c r="BG7" s="1657" t="s">
        <v>50</v>
      </c>
      <c r="BH7" s="1657" t="s">
        <v>49</v>
      </c>
      <c r="BI7" s="1657" t="s">
        <v>50</v>
      </c>
      <c r="BJ7" s="4357"/>
    </row>
    <row r="8" spans="1:68" ht="2.4500000000000002" customHeight="1" x14ac:dyDescent="0.2">
      <c r="A8" s="4327"/>
      <c r="B8" s="4333"/>
      <c r="C8" s="4327"/>
      <c r="D8" s="4327"/>
      <c r="E8" s="4333"/>
      <c r="F8" s="4327"/>
      <c r="G8" s="4327"/>
      <c r="H8" s="4333"/>
      <c r="I8" s="4327"/>
      <c r="J8" s="4327"/>
      <c r="K8" s="4336"/>
      <c r="L8" s="4330"/>
      <c r="M8" s="1658"/>
      <c r="N8" s="1659"/>
      <c r="O8" s="4330"/>
      <c r="P8" s="4327"/>
      <c r="Q8" s="4330"/>
      <c r="R8" s="4333"/>
      <c r="S8" s="4333"/>
      <c r="T8" s="4333"/>
      <c r="U8" s="4333"/>
      <c r="V8" s="4330"/>
      <c r="W8" s="1660"/>
      <c r="X8" s="1661"/>
      <c r="Y8" s="1662"/>
      <c r="Z8" s="1655"/>
      <c r="AA8" s="4358"/>
      <c r="AB8" s="1663"/>
      <c r="AC8" s="1664"/>
      <c r="AD8" s="1663"/>
      <c r="AE8" s="1664"/>
      <c r="AF8" s="1663"/>
      <c r="AG8" s="1664"/>
      <c r="AH8" s="1663"/>
      <c r="AI8" s="1664"/>
      <c r="AJ8" s="1663"/>
      <c r="AK8" s="1664"/>
      <c r="AL8" s="1663"/>
      <c r="AM8" s="1664"/>
      <c r="AN8" s="1663"/>
      <c r="AO8" s="1664"/>
      <c r="AP8" s="1663"/>
      <c r="AQ8" s="1664"/>
      <c r="AR8" s="1663"/>
      <c r="AS8" s="1664"/>
      <c r="AT8" s="1663"/>
      <c r="AU8" s="1664"/>
      <c r="AV8" s="1663"/>
      <c r="AW8" s="1664"/>
      <c r="AX8" s="1663"/>
      <c r="AY8" s="1665"/>
      <c r="AZ8" s="1664"/>
      <c r="BA8" s="1664"/>
      <c r="BB8" s="1664"/>
      <c r="BC8" s="1664"/>
      <c r="BD8" s="1664"/>
      <c r="BE8" s="1664"/>
      <c r="BF8" s="1666"/>
      <c r="BG8" s="1667"/>
      <c r="BH8" s="1666"/>
      <c r="BI8" s="1668"/>
      <c r="BJ8" s="4357"/>
    </row>
    <row r="9" spans="1:68" ht="3.6" hidden="1" customHeight="1" x14ac:dyDescent="0.2">
      <c r="A9" s="4327"/>
      <c r="B9" s="4333"/>
      <c r="C9" s="4327"/>
      <c r="D9" s="4327"/>
      <c r="E9" s="4333"/>
      <c r="F9" s="4327"/>
      <c r="G9" s="4327"/>
      <c r="H9" s="4333"/>
      <c r="I9" s="4327"/>
      <c r="J9" s="4327"/>
      <c r="K9" s="4336"/>
      <c r="L9" s="4330"/>
      <c r="M9" s="1658"/>
      <c r="N9" s="1659"/>
      <c r="O9" s="4330"/>
      <c r="P9" s="4327"/>
      <c r="Q9" s="4330"/>
      <c r="R9" s="4333"/>
      <c r="S9" s="4333"/>
      <c r="T9" s="4333"/>
      <c r="U9" s="4333"/>
      <c r="V9" s="4330"/>
      <c r="W9" s="1660"/>
      <c r="X9" s="1661"/>
      <c r="Y9" s="1662"/>
      <c r="Z9" s="1655"/>
      <c r="AA9" s="4358"/>
      <c r="AB9" s="1663"/>
      <c r="AC9" s="1664"/>
      <c r="AD9" s="1663"/>
      <c r="AE9" s="1664"/>
      <c r="AF9" s="1663"/>
      <c r="AG9" s="1664"/>
      <c r="AH9" s="1663"/>
      <c r="AI9" s="1664"/>
      <c r="AJ9" s="1663"/>
      <c r="AK9" s="1664"/>
      <c r="AL9" s="1663"/>
      <c r="AM9" s="1664"/>
      <c r="AN9" s="1663"/>
      <c r="AO9" s="1664"/>
      <c r="AP9" s="1663"/>
      <c r="AQ9" s="1664"/>
      <c r="AR9" s="1663"/>
      <c r="AS9" s="1664"/>
      <c r="AT9" s="1663"/>
      <c r="AU9" s="1664"/>
      <c r="AV9" s="1663"/>
      <c r="AW9" s="1664"/>
      <c r="AX9" s="1663"/>
      <c r="AY9" s="1665"/>
      <c r="AZ9" s="1664"/>
      <c r="BA9" s="1664"/>
      <c r="BB9" s="1664"/>
      <c r="BC9" s="1664"/>
      <c r="BD9" s="1664"/>
      <c r="BE9" s="1664"/>
      <c r="BF9" s="1666"/>
      <c r="BG9" s="1667"/>
      <c r="BH9" s="1666"/>
      <c r="BI9" s="1668"/>
      <c r="BJ9" s="4357"/>
    </row>
    <row r="10" spans="1:68" ht="16.5" hidden="1" customHeight="1" x14ac:dyDescent="0.2">
      <c r="A10" s="4327"/>
      <c r="B10" s="4333"/>
      <c r="C10" s="4327"/>
      <c r="D10" s="4327"/>
      <c r="E10" s="4333"/>
      <c r="F10" s="4327"/>
      <c r="G10" s="4327"/>
      <c r="H10" s="4333"/>
      <c r="I10" s="4327"/>
      <c r="J10" s="4327"/>
      <c r="K10" s="4336"/>
      <c r="L10" s="4330"/>
      <c r="M10" s="1658"/>
      <c r="N10" s="1659"/>
      <c r="O10" s="4330"/>
      <c r="P10" s="4327"/>
      <c r="Q10" s="4330"/>
      <c r="R10" s="4333"/>
      <c r="S10" s="4333"/>
      <c r="T10" s="4333"/>
      <c r="U10" s="4333"/>
      <c r="V10" s="4330"/>
      <c r="W10" s="1660"/>
      <c r="X10" s="1661"/>
      <c r="Y10" s="1662"/>
      <c r="Z10" s="1655"/>
      <c r="AA10" s="4358"/>
      <c r="AB10" s="1663"/>
      <c r="AC10" s="1664"/>
      <c r="AD10" s="1663"/>
      <c r="AE10" s="1664"/>
      <c r="AF10" s="1663"/>
      <c r="AG10" s="1664"/>
      <c r="AH10" s="1663"/>
      <c r="AI10" s="1664"/>
      <c r="AJ10" s="1663"/>
      <c r="AK10" s="1664"/>
      <c r="AL10" s="1663"/>
      <c r="AM10" s="1664"/>
      <c r="AN10" s="1663"/>
      <c r="AO10" s="1664"/>
      <c r="AP10" s="1663"/>
      <c r="AQ10" s="1664"/>
      <c r="AR10" s="1663"/>
      <c r="AS10" s="1664"/>
      <c r="AT10" s="1663"/>
      <c r="AU10" s="1664"/>
      <c r="AV10" s="1663"/>
      <c r="AW10" s="1664"/>
      <c r="AX10" s="1663"/>
      <c r="AY10" s="1665"/>
      <c r="AZ10" s="1664"/>
      <c r="BA10" s="1664"/>
      <c r="BB10" s="1664"/>
      <c r="BC10" s="1664"/>
      <c r="BD10" s="1664"/>
      <c r="BE10" s="1664"/>
      <c r="BF10" s="1666"/>
      <c r="BG10" s="1667"/>
      <c r="BH10" s="1666"/>
      <c r="BI10" s="1668"/>
      <c r="BJ10" s="4357"/>
    </row>
    <row r="11" spans="1:68" ht="16.5" hidden="1" customHeight="1" x14ac:dyDescent="0.2">
      <c r="A11" s="4327"/>
      <c r="B11" s="4333"/>
      <c r="C11" s="4327"/>
      <c r="D11" s="4327"/>
      <c r="E11" s="4333"/>
      <c r="F11" s="4327"/>
      <c r="G11" s="4327"/>
      <c r="H11" s="4333"/>
      <c r="I11" s="4327"/>
      <c r="J11" s="4327"/>
      <c r="K11" s="4336"/>
      <c r="L11" s="4330"/>
      <c r="M11" s="1658"/>
      <c r="N11" s="1659"/>
      <c r="O11" s="4330"/>
      <c r="P11" s="4327"/>
      <c r="Q11" s="4330"/>
      <c r="R11" s="4333"/>
      <c r="S11" s="4333"/>
      <c r="T11" s="4333"/>
      <c r="U11" s="4333"/>
      <c r="V11" s="4330"/>
      <c r="W11" s="1660"/>
      <c r="X11" s="1661"/>
      <c r="Y11" s="1662"/>
      <c r="Z11" s="1655"/>
      <c r="AA11" s="4358"/>
      <c r="AB11" s="1663"/>
      <c r="AC11" s="1664"/>
      <c r="AD11" s="1663"/>
      <c r="AE11" s="1664"/>
      <c r="AF11" s="1663"/>
      <c r="AG11" s="1664"/>
      <c r="AH11" s="1663"/>
      <c r="AI11" s="1664"/>
      <c r="AJ11" s="1663"/>
      <c r="AK11" s="1664"/>
      <c r="AL11" s="1663"/>
      <c r="AM11" s="1664"/>
      <c r="AN11" s="1663"/>
      <c r="AO11" s="1664"/>
      <c r="AP11" s="1663"/>
      <c r="AQ11" s="1664"/>
      <c r="AR11" s="1663"/>
      <c r="AS11" s="1664"/>
      <c r="AT11" s="1663"/>
      <c r="AU11" s="1664"/>
      <c r="AV11" s="1663"/>
      <c r="AW11" s="1664"/>
      <c r="AX11" s="1663"/>
      <c r="AY11" s="1665"/>
      <c r="AZ11" s="1664"/>
      <c r="BA11" s="1664"/>
      <c r="BB11" s="1664"/>
      <c r="BC11" s="1664"/>
      <c r="BD11" s="1664"/>
      <c r="BE11" s="1664"/>
      <c r="BF11" s="1666"/>
      <c r="BG11" s="1667"/>
      <c r="BH11" s="1666"/>
      <c r="BI11" s="1668"/>
      <c r="BJ11" s="4357"/>
    </row>
    <row r="12" spans="1:68" ht="16.5" hidden="1" customHeight="1" x14ac:dyDescent="0.2">
      <c r="A12" s="4327"/>
      <c r="B12" s="4333"/>
      <c r="C12" s="4327"/>
      <c r="D12" s="4327"/>
      <c r="E12" s="4333"/>
      <c r="F12" s="4327"/>
      <c r="G12" s="4327"/>
      <c r="H12" s="4333"/>
      <c r="I12" s="4327"/>
      <c r="J12" s="4327"/>
      <c r="K12" s="4336"/>
      <c r="L12" s="4330"/>
      <c r="M12" s="1658"/>
      <c r="N12" s="1659"/>
      <c r="O12" s="4330"/>
      <c r="P12" s="4327"/>
      <c r="Q12" s="4330"/>
      <c r="R12" s="4333"/>
      <c r="S12" s="4333"/>
      <c r="T12" s="4333"/>
      <c r="U12" s="4333"/>
      <c r="V12" s="4330"/>
      <c r="W12" s="1660"/>
      <c r="X12" s="1661"/>
      <c r="Y12" s="1662"/>
      <c r="Z12" s="1655"/>
      <c r="AA12" s="4358"/>
      <c r="AB12" s="1663"/>
      <c r="AC12" s="1664"/>
      <c r="AD12" s="1663"/>
      <c r="AE12" s="1664"/>
      <c r="AF12" s="1663"/>
      <c r="AG12" s="1664"/>
      <c r="AH12" s="1663"/>
      <c r="AI12" s="1664"/>
      <c r="AJ12" s="1663"/>
      <c r="AK12" s="1664"/>
      <c r="AL12" s="1663"/>
      <c r="AM12" s="1664"/>
      <c r="AN12" s="1663"/>
      <c r="AO12" s="1664"/>
      <c r="AP12" s="1663"/>
      <c r="AQ12" s="1664"/>
      <c r="AR12" s="1663"/>
      <c r="AS12" s="1664"/>
      <c r="AT12" s="1663"/>
      <c r="AU12" s="1664"/>
      <c r="AV12" s="1663"/>
      <c r="AW12" s="1664"/>
      <c r="AX12" s="1663"/>
      <c r="AY12" s="1665"/>
      <c r="AZ12" s="1664"/>
      <c r="BA12" s="1664"/>
      <c r="BB12" s="1664"/>
      <c r="BC12" s="1664"/>
      <c r="BD12" s="1664"/>
      <c r="BE12" s="1664"/>
      <c r="BF12" s="1666"/>
      <c r="BG12" s="1667"/>
      <c r="BH12" s="1666"/>
      <c r="BI12" s="1668"/>
      <c r="BJ12" s="4357"/>
    </row>
    <row r="13" spans="1:68" ht="16.5" hidden="1" customHeight="1" x14ac:dyDescent="0.2">
      <c r="A13" s="4328"/>
      <c r="B13" s="4334"/>
      <c r="C13" s="4328"/>
      <c r="D13" s="4328"/>
      <c r="E13" s="4334"/>
      <c r="F13" s="4328"/>
      <c r="G13" s="4328"/>
      <c r="H13" s="4334"/>
      <c r="I13" s="4328"/>
      <c r="J13" s="4328"/>
      <c r="K13" s="4337"/>
      <c r="L13" s="4331"/>
      <c r="M13" s="1669"/>
      <c r="N13" s="1670"/>
      <c r="O13" s="4331"/>
      <c r="P13" s="4328"/>
      <c r="Q13" s="4331"/>
      <c r="R13" s="4334"/>
      <c r="S13" s="4334"/>
      <c r="T13" s="4334"/>
      <c r="U13" s="4334"/>
      <c r="V13" s="4331"/>
      <c r="W13" s="1671"/>
      <c r="X13" s="1672"/>
      <c r="Y13" s="1673"/>
      <c r="Z13" s="1655"/>
      <c r="AA13" s="4358"/>
      <c r="AB13" s="1674"/>
      <c r="AC13" s="1675"/>
      <c r="AD13" s="1674"/>
      <c r="AE13" s="1675"/>
      <c r="AF13" s="1674"/>
      <c r="AG13" s="1675"/>
      <c r="AH13" s="1674"/>
      <c r="AI13" s="1675"/>
      <c r="AJ13" s="1674"/>
      <c r="AK13" s="1675"/>
      <c r="AL13" s="1674"/>
      <c r="AM13" s="1675"/>
      <c r="AN13" s="1674"/>
      <c r="AO13" s="1675"/>
      <c r="AP13" s="1674"/>
      <c r="AQ13" s="1675"/>
      <c r="AR13" s="1674"/>
      <c r="AS13" s="1675"/>
      <c r="AT13" s="1674"/>
      <c r="AU13" s="1675"/>
      <c r="AV13" s="1674"/>
      <c r="AW13" s="1675"/>
      <c r="AX13" s="1674"/>
      <c r="AY13" s="1676"/>
      <c r="AZ13" s="1675"/>
      <c r="BA13" s="1675"/>
      <c r="BB13" s="1675"/>
      <c r="BC13" s="1675"/>
      <c r="BD13" s="1675"/>
      <c r="BE13" s="1675"/>
      <c r="BF13" s="1677"/>
      <c r="BG13" s="1678"/>
      <c r="BH13" s="1677"/>
      <c r="BI13" s="1679"/>
      <c r="BJ13" s="4357"/>
    </row>
    <row r="14" spans="1:68" s="1688" customFormat="1" ht="27.75" customHeight="1" x14ac:dyDescent="0.2">
      <c r="A14" s="1680">
        <v>3</v>
      </c>
      <c r="B14" s="1681" t="s">
        <v>811</v>
      </c>
      <c r="C14" s="1681"/>
      <c r="D14" s="1681"/>
      <c r="E14" s="1681"/>
      <c r="F14" s="1681"/>
      <c r="G14" s="1681"/>
      <c r="H14" s="1681"/>
      <c r="I14" s="1681"/>
      <c r="J14" s="1681"/>
      <c r="K14" s="1682"/>
      <c r="L14" s="1681"/>
      <c r="M14" s="1681"/>
      <c r="N14" s="1681"/>
      <c r="O14" s="1683"/>
      <c r="P14" s="1681"/>
      <c r="Q14" s="1682"/>
      <c r="R14" s="1681"/>
      <c r="S14" s="1681"/>
      <c r="T14" s="1681"/>
      <c r="U14" s="1682"/>
      <c r="V14" s="1682"/>
      <c r="W14" s="1684"/>
      <c r="X14" s="1684"/>
      <c r="Y14" s="1684"/>
      <c r="Z14" s="1683"/>
      <c r="AA14" s="1683"/>
      <c r="AB14" s="1685"/>
      <c r="AC14" s="1685"/>
      <c r="AD14" s="1685"/>
      <c r="AE14" s="1685"/>
      <c r="AF14" s="1685"/>
      <c r="AG14" s="1685"/>
      <c r="AH14" s="1685"/>
      <c r="AI14" s="1685"/>
      <c r="AJ14" s="1685"/>
      <c r="AK14" s="1685"/>
      <c r="AL14" s="1685"/>
      <c r="AM14" s="1685"/>
      <c r="AN14" s="1685"/>
      <c r="AO14" s="1685"/>
      <c r="AP14" s="1685"/>
      <c r="AQ14" s="1685"/>
      <c r="AR14" s="1685"/>
      <c r="AS14" s="1685"/>
      <c r="AT14" s="1685"/>
      <c r="AU14" s="1685"/>
      <c r="AV14" s="1685"/>
      <c r="AW14" s="1685"/>
      <c r="AX14" s="1685"/>
      <c r="AY14" s="1685"/>
      <c r="AZ14" s="1685"/>
      <c r="BA14" s="1685"/>
      <c r="BB14" s="1685"/>
      <c r="BC14" s="1685"/>
      <c r="BD14" s="1685"/>
      <c r="BE14" s="1685"/>
      <c r="BF14" s="1681"/>
      <c r="BG14" s="1681"/>
      <c r="BH14" s="1681"/>
      <c r="BI14" s="1681"/>
      <c r="BJ14" s="1686"/>
      <c r="BK14" s="1687"/>
      <c r="BL14" s="1687"/>
      <c r="BM14" s="1687"/>
      <c r="BN14" s="1687"/>
      <c r="BO14" s="1687"/>
      <c r="BP14" s="1687"/>
    </row>
    <row r="15" spans="1:68" s="1688" customFormat="1" ht="24.75" customHeight="1" x14ac:dyDescent="0.2">
      <c r="A15" s="4314"/>
      <c r="B15" s="4315"/>
      <c r="C15" s="4316"/>
      <c r="D15" s="1689">
        <v>11</v>
      </c>
      <c r="E15" s="1690" t="s">
        <v>812</v>
      </c>
      <c r="F15" s="1690"/>
      <c r="G15" s="1691"/>
      <c r="H15" s="1691"/>
      <c r="I15" s="1691"/>
      <c r="J15" s="1691"/>
      <c r="K15" s="1692"/>
      <c r="L15" s="1691"/>
      <c r="M15" s="1691"/>
      <c r="N15" s="1691"/>
      <c r="O15" s="1693"/>
      <c r="P15" s="1691"/>
      <c r="Q15" s="1692"/>
      <c r="R15" s="1691"/>
      <c r="S15" s="1691"/>
      <c r="T15" s="1691"/>
      <c r="U15" s="1692"/>
      <c r="V15" s="1692"/>
      <c r="W15" s="1694"/>
      <c r="X15" s="1694"/>
      <c r="Y15" s="1694"/>
      <c r="Z15" s="1693"/>
      <c r="AA15" s="1693"/>
      <c r="AB15" s="1695"/>
      <c r="AC15" s="1695"/>
      <c r="AD15" s="1695"/>
      <c r="AE15" s="1695"/>
      <c r="AF15" s="1695"/>
      <c r="AG15" s="1695"/>
      <c r="AH15" s="1695"/>
      <c r="AI15" s="1695"/>
      <c r="AJ15" s="1695"/>
      <c r="AK15" s="1695"/>
      <c r="AL15" s="1695"/>
      <c r="AM15" s="1695"/>
      <c r="AN15" s="1695"/>
      <c r="AO15" s="1695"/>
      <c r="AP15" s="1695"/>
      <c r="AQ15" s="1695"/>
      <c r="AR15" s="1695"/>
      <c r="AS15" s="1695"/>
      <c r="AT15" s="1695"/>
      <c r="AU15" s="1695"/>
      <c r="AV15" s="1695"/>
      <c r="AW15" s="1695"/>
      <c r="AX15" s="1695"/>
      <c r="AY15" s="1695"/>
      <c r="AZ15" s="1695"/>
      <c r="BA15" s="1695"/>
      <c r="BB15" s="1695"/>
      <c r="BC15" s="1695"/>
      <c r="BD15" s="1695"/>
      <c r="BE15" s="1695"/>
      <c r="BF15" s="1691"/>
      <c r="BG15" s="1691"/>
      <c r="BH15" s="1691"/>
      <c r="BI15" s="1691"/>
      <c r="BJ15" s="1696"/>
      <c r="BK15" s="1687"/>
      <c r="BL15" s="1687"/>
      <c r="BM15" s="1687"/>
      <c r="BN15" s="1687"/>
      <c r="BO15" s="1687"/>
      <c r="BP15" s="1687"/>
    </row>
    <row r="16" spans="1:68" s="1688" customFormat="1" ht="27.75" customHeight="1" x14ac:dyDescent="0.2">
      <c r="A16" s="1697"/>
      <c r="B16" s="1698"/>
      <c r="C16" s="1699"/>
      <c r="D16" s="1700"/>
      <c r="E16" s="1700"/>
      <c r="F16" s="1701"/>
      <c r="G16" s="1702">
        <v>35</v>
      </c>
      <c r="H16" s="1703" t="s">
        <v>813</v>
      </c>
      <c r="I16" s="1703"/>
      <c r="J16" s="1703"/>
      <c r="K16" s="1704"/>
      <c r="L16" s="1703"/>
      <c r="M16" s="1703"/>
      <c r="N16" s="1703"/>
      <c r="O16" s="1705"/>
      <c r="P16" s="1703"/>
      <c r="Q16" s="1704"/>
      <c r="R16" s="1703"/>
      <c r="S16" s="1703"/>
      <c r="T16" s="1703"/>
      <c r="U16" s="1704"/>
      <c r="V16" s="1704"/>
      <c r="W16" s="1706"/>
      <c r="X16" s="1706"/>
      <c r="Y16" s="1706"/>
      <c r="Z16" s="1705"/>
      <c r="AA16" s="1705"/>
      <c r="AB16" s="1707"/>
      <c r="AC16" s="1707"/>
      <c r="AD16" s="1707"/>
      <c r="AE16" s="1707"/>
      <c r="AF16" s="1707"/>
      <c r="AG16" s="1707"/>
      <c r="AH16" s="1707"/>
      <c r="AI16" s="1707"/>
      <c r="AJ16" s="1707"/>
      <c r="AK16" s="1707"/>
      <c r="AL16" s="1707"/>
      <c r="AM16" s="1707"/>
      <c r="AN16" s="1707"/>
      <c r="AO16" s="1707"/>
      <c r="AP16" s="1707"/>
      <c r="AQ16" s="1707"/>
      <c r="AR16" s="1707"/>
      <c r="AS16" s="1707"/>
      <c r="AT16" s="1707"/>
      <c r="AU16" s="1707"/>
      <c r="AV16" s="1707"/>
      <c r="AW16" s="1707"/>
      <c r="AX16" s="1707"/>
      <c r="AY16" s="1707"/>
      <c r="AZ16" s="1707"/>
      <c r="BA16" s="1707"/>
      <c r="BB16" s="1707"/>
      <c r="BC16" s="1707"/>
      <c r="BD16" s="1707"/>
      <c r="BE16" s="1707"/>
      <c r="BF16" s="1703"/>
      <c r="BG16" s="1703"/>
      <c r="BH16" s="1703"/>
      <c r="BI16" s="1703"/>
      <c r="BJ16" s="1708"/>
      <c r="BK16" s="1687"/>
      <c r="BL16" s="1687"/>
      <c r="BM16" s="1687"/>
      <c r="BN16" s="1687"/>
      <c r="BO16" s="1687"/>
      <c r="BP16" s="1687"/>
    </row>
    <row r="17" spans="1:68" s="1724" customFormat="1" ht="93" customHeight="1" x14ac:dyDescent="0.2">
      <c r="A17" s="1709"/>
      <c r="B17" s="1710"/>
      <c r="C17" s="1711"/>
      <c r="D17" s="1710"/>
      <c r="E17" s="1710"/>
      <c r="F17" s="1711"/>
      <c r="G17" s="1712"/>
      <c r="H17" s="1713"/>
      <c r="I17" s="1714"/>
      <c r="J17" s="1715">
        <v>127</v>
      </c>
      <c r="K17" s="1716" t="s">
        <v>814</v>
      </c>
      <c r="L17" s="1717" t="s">
        <v>324</v>
      </c>
      <c r="M17" s="1715">
        <v>1</v>
      </c>
      <c r="N17" s="1715">
        <v>1</v>
      </c>
      <c r="O17" s="4168" t="s">
        <v>815</v>
      </c>
      <c r="P17" s="4168">
        <v>132</v>
      </c>
      <c r="Q17" s="4171" t="s">
        <v>816</v>
      </c>
      <c r="R17" s="1718">
        <f>W17/S17</f>
        <v>0.55406546990496308</v>
      </c>
      <c r="S17" s="4317">
        <f>103000000+86400000</f>
        <v>189400000</v>
      </c>
      <c r="T17" s="4171" t="s">
        <v>817</v>
      </c>
      <c r="U17" s="1719" t="s">
        <v>818</v>
      </c>
      <c r="V17" s="1719" t="s">
        <v>819</v>
      </c>
      <c r="W17" s="1720">
        <f>18540000+86400000</f>
        <v>104940000</v>
      </c>
      <c r="X17" s="1721">
        <v>18480000</v>
      </c>
      <c r="Y17" s="1722">
        <v>0</v>
      </c>
      <c r="Z17" s="4214">
        <v>61</v>
      </c>
      <c r="AA17" s="4168" t="s">
        <v>820</v>
      </c>
      <c r="AB17" s="4246">
        <v>64149</v>
      </c>
      <c r="AC17" s="4183">
        <f>SUM(AB17*0.1)</f>
        <v>6414.9000000000005</v>
      </c>
      <c r="AD17" s="4217" t="s">
        <v>154</v>
      </c>
      <c r="AE17" s="4217" t="s">
        <v>154</v>
      </c>
      <c r="AF17" s="4217" t="s">
        <v>154</v>
      </c>
      <c r="AG17" s="4217" t="s">
        <v>154</v>
      </c>
      <c r="AH17" s="4217" t="s">
        <v>154</v>
      </c>
      <c r="AI17" s="4217" t="s">
        <v>154</v>
      </c>
      <c r="AJ17" s="4217" t="s">
        <v>154</v>
      </c>
      <c r="AK17" s="4217" t="s">
        <v>154</v>
      </c>
      <c r="AL17" s="4217" t="s">
        <v>154</v>
      </c>
      <c r="AM17" s="4217" t="s">
        <v>154</v>
      </c>
      <c r="AN17" s="4217" t="s">
        <v>154</v>
      </c>
      <c r="AO17" s="4217" t="s">
        <v>154</v>
      </c>
      <c r="AP17" s="4217" t="s">
        <v>154</v>
      </c>
      <c r="AQ17" s="4217" t="s">
        <v>154</v>
      </c>
      <c r="AR17" s="4217" t="s">
        <v>154</v>
      </c>
      <c r="AS17" s="4217" t="s">
        <v>154</v>
      </c>
      <c r="AT17" s="4217" t="s">
        <v>154</v>
      </c>
      <c r="AU17" s="4217" t="s">
        <v>154</v>
      </c>
      <c r="AV17" s="4217" t="s">
        <v>154</v>
      </c>
      <c r="AW17" s="4217" t="s">
        <v>154</v>
      </c>
      <c r="AX17" s="4217" t="s">
        <v>154</v>
      </c>
      <c r="AY17" s="4217" t="s">
        <v>154</v>
      </c>
      <c r="AZ17" s="4183">
        <v>1</v>
      </c>
      <c r="BA17" s="4177">
        <v>18480000</v>
      </c>
      <c r="BB17" s="4211">
        <v>0</v>
      </c>
      <c r="BC17" s="4180">
        <f>+BB17/BA17</f>
        <v>0</v>
      </c>
      <c r="BD17" s="4217" t="s">
        <v>821</v>
      </c>
      <c r="BE17" s="4217" t="s">
        <v>822</v>
      </c>
      <c r="BF17" s="4162">
        <v>42948</v>
      </c>
      <c r="BG17" s="4162">
        <v>42808</v>
      </c>
      <c r="BH17" s="4162">
        <v>43100</v>
      </c>
      <c r="BI17" s="4162">
        <v>43091</v>
      </c>
      <c r="BJ17" s="4165" t="s">
        <v>823</v>
      </c>
      <c r="BK17" s="1723"/>
    </row>
    <row r="18" spans="1:68" s="1724" customFormat="1" ht="85.5" x14ac:dyDescent="0.2">
      <c r="A18" s="1709"/>
      <c r="B18" s="1710"/>
      <c r="C18" s="1711"/>
      <c r="D18" s="1710"/>
      <c r="E18" s="1710"/>
      <c r="F18" s="1711"/>
      <c r="G18" s="1709"/>
      <c r="H18" s="1710"/>
      <c r="I18" s="1711"/>
      <c r="J18" s="4168">
        <v>128</v>
      </c>
      <c r="K18" s="4171" t="s">
        <v>824</v>
      </c>
      <c r="L18" s="4168" t="s">
        <v>324</v>
      </c>
      <c r="M18" s="4168">
        <v>1</v>
      </c>
      <c r="N18" s="4168">
        <v>0.15</v>
      </c>
      <c r="O18" s="4169"/>
      <c r="P18" s="4169"/>
      <c r="Q18" s="4172"/>
      <c r="R18" s="4174">
        <f>(W18+W19)/S17</f>
        <v>0.13595564941921859</v>
      </c>
      <c r="S18" s="4318"/>
      <c r="T18" s="4172"/>
      <c r="U18" s="4171" t="s">
        <v>825</v>
      </c>
      <c r="V18" s="1719" t="s">
        <v>826</v>
      </c>
      <c r="W18" s="1725">
        <v>12875000</v>
      </c>
      <c r="X18" s="1722">
        <v>0</v>
      </c>
      <c r="Y18" s="1722">
        <v>0</v>
      </c>
      <c r="Z18" s="4215"/>
      <c r="AA18" s="4169"/>
      <c r="AB18" s="4247"/>
      <c r="AC18" s="4184"/>
      <c r="AD18" s="4218"/>
      <c r="AE18" s="4218"/>
      <c r="AF18" s="4218"/>
      <c r="AG18" s="4218"/>
      <c r="AH18" s="4218"/>
      <c r="AI18" s="4218"/>
      <c r="AJ18" s="4218"/>
      <c r="AK18" s="4218"/>
      <c r="AL18" s="4218"/>
      <c r="AM18" s="4218"/>
      <c r="AN18" s="4218"/>
      <c r="AO18" s="4218"/>
      <c r="AP18" s="4218"/>
      <c r="AQ18" s="4218"/>
      <c r="AR18" s="4218"/>
      <c r="AS18" s="4218"/>
      <c r="AT18" s="4218"/>
      <c r="AU18" s="4218"/>
      <c r="AV18" s="4218"/>
      <c r="AW18" s="4218"/>
      <c r="AX18" s="4218"/>
      <c r="AY18" s="4218"/>
      <c r="AZ18" s="4184"/>
      <c r="BA18" s="4178"/>
      <c r="BB18" s="4212"/>
      <c r="BC18" s="4181"/>
      <c r="BD18" s="4218"/>
      <c r="BE18" s="4218"/>
      <c r="BF18" s="4163"/>
      <c r="BG18" s="4163"/>
      <c r="BH18" s="4163"/>
      <c r="BI18" s="4163"/>
      <c r="BJ18" s="4166"/>
    </row>
    <row r="19" spans="1:68" s="1724" customFormat="1" ht="85.5" x14ac:dyDescent="0.2">
      <c r="A19" s="1709"/>
      <c r="B19" s="1710"/>
      <c r="C19" s="1711"/>
      <c r="D19" s="1710"/>
      <c r="E19" s="1710"/>
      <c r="F19" s="1711"/>
      <c r="G19" s="1709"/>
      <c r="H19" s="1710"/>
      <c r="I19" s="1711"/>
      <c r="J19" s="4170"/>
      <c r="K19" s="4173"/>
      <c r="L19" s="4170"/>
      <c r="M19" s="4170"/>
      <c r="N19" s="4170"/>
      <c r="O19" s="4169"/>
      <c r="P19" s="4169"/>
      <c r="Q19" s="4172"/>
      <c r="R19" s="4176"/>
      <c r="S19" s="4318"/>
      <c r="T19" s="4172"/>
      <c r="U19" s="4173"/>
      <c r="V19" s="1719" t="s">
        <v>827</v>
      </c>
      <c r="W19" s="1725">
        <v>12875000</v>
      </c>
      <c r="X19" s="1722">
        <v>0</v>
      </c>
      <c r="Y19" s="1722">
        <v>0</v>
      </c>
      <c r="Z19" s="4215"/>
      <c r="AA19" s="4169"/>
      <c r="AB19" s="4247"/>
      <c r="AC19" s="4184"/>
      <c r="AD19" s="4218"/>
      <c r="AE19" s="4218"/>
      <c r="AF19" s="4218"/>
      <c r="AG19" s="4218"/>
      <c r="AH19" s="4218"/>
      <c r="AI19" s="4218"/>
      <c r="AJ19" s="4218"/>
      <c r="AK19" s="4218"/>
      <c r="AL19" s="4218"/>
      <c r="AM19" s="4218"/>
      <c r="AN19" s="4218"/>
      <c r="AO19" s="4218"/>
      <c r="AP19" s="4218"/>
      <c r="AQ19" s="4218"/>
      <c r="AR19" s="4218"/>
      <c r="AS19" s="4218"/>
      <c r="AT19" s="4218"/>
      <c r="AU19" s="4218"/>
      <c r="AV19" s="4218"/>
      <c r="AW19" s="4218"/>
      <c r="AX19" s="4218"/>
      <c r="AY19" s="4218"/>
      <c r="AZ19" s="4184"/>
      <c r="BA19" s="4178"/>
      <c r="BB19" s="4212"/>
      <c r="BC19" s="4181"/>
      <c r="BD19" s="4218"/>
      <c r="BE19" s="4218"/>
      <c r="BF19" s="4163"/>
      <c r="BG19" s="4163"/>
      <c r="BH19" s="4163"/>
      <c r="BI19" s="4163"/>
      <c r="BJ19" s="4166"/>
      <c r="BL19" s="1726"/>
    </row>
    <row r="20" spans="1:68" s="1724" customFormat="1" ht="57" x14ac:dyDescent="0.2">
      <c r="A20" s="1709"/>
      <c r="B20" s="1710"/>
      <c r="C20" s="1711"/>
      <c r="D20" s="1710"/>
      <c r="E20" s="1710"/>
      <c r="F20" s="1711"/>
      <c r="G20" s="1709"/>
      <c r="H20" s="1710"/>
      <c r="I20" s="1711"/>
      <c r="J20" s="4239">
        <v>129</v>
      </c>
      <c r="K20" s="4171" t="s">
        <v>828</v>
      </c>
      <c r="L20" s="4168" t="s">
        <v>324</v>
      </c>
      <c r="M20" s="4168">
        <v>6</v>
      </c>
      <c r="N20" s="4168">
        <v>4</v>
      </c>
      <c r="O20" s="4169"/>
      <c r="P20" s="4169"/>
      <c r="Q20" s="4172"/>
      <c r="R20" s="4174">
        <f>(W20+W21+W22+W23+W24)/S17</f>
        <v>0.30997888067581836</v>
      </c>
      <c r="S20" s="4318"/>
      <c r="T20" s="4172"/>
      <c r="U20" s="4171" t="s">
        <v>829</v>
      </c>
      <c r="V20" s="1719" t="s">
        <v>830</v>
      </c>
      <c r="W20" s="1725">
        <v>12000000</v>
      </c>
      <c r="X20" s="1722">
        <v>0</v>
      </c>
      <c r="Y20" s="1722">
        <v>0</v>
      </c>
      <c r="Z20" s="4215"/>
      <c r="AA20" s="4169"/>
      <c r="AB20" s="4247"/>
      <c r="AC20" s="4184"/>
      <c r="AD20" s="4218"/>
      <c r="AE20" s="4218"/>
      <c r="AF20" s="4218"/>
      <c r="AG20" s="4218"/>
      <c r="AH20" s="4218"/>
      <c r="AI20" s="4218"/>
      <c r="AJ20" s="4218"/>
      <c r="AK20" s="4218"/>
      <c r="AL20" s="4218"/>
      <c r="AM20" s="4218"/>
      <c r="AN20" s="4218"/>
      <c r="AO20" s="4218"/>
      <c r="AP20" s="4218"/>
      <c r="AQ20" s="4218"/>
      <c r="AR20" s="4218"/>
      <c r="AS20" s="4218"/>
      <c r="AT20" s="4218"/>
      <c r="AU20" s="4218"/>
      <c r="AV20" s="4218"/>
      <c r="AW20" s="4218"/>
      <c r="AX20" s="4218"/>
      <c r="AY20" s="4218"/>
      <c r="AZ20" s="4184"/>
      <c r="BA20" s="4178"/>
      <c r="BB20" s="4212"/>
      <c r="BC20" s="4181"/>
      <c r="BD20" s="4218"/>
      <c r="BE20" s="4218"/>
      <c r="BF20" s="4163"/>
      <c r="BG20" s="4163"/>
      <c r="BH20" s="4163"/>
      <c r="BI20" s="4163"/>
      <c r="BJ20" s="4166"/>
      <c r="BL20" s="1726"/>
    </row>
    <row r="21" spans="1:68" s="1724" customFormat="1" ht="71.25" x14ac:dyDescent="0.2">
      <c r="A21" s="1709"/>
      <c r="B21" s="1710"/>
      <c r="C21" s="1711"/>
      <c r="D21" s="1710"/>
      <c r="E21" s="1710"/>
      <c r="F21" s="1711"/>
      <c r="G21" s="1709"/>
      <c r="H21" s="1710"/>
      <c r="I21" s="1711"/>
      <c r="J21" s="4239"/>
      <c r="K21" s="4172"/>
      <c r="L21" s="4169"/>
      <c r="M21" s="4169"/>
      <c r="N21" s="4169"/>
      <c r="O21" s="4169"/>
      <c r="P21" s="4169"/>
      <c r="Q21" s="4172"/>
      <c r="R21" s="4175"/>
      <c r="S21" s="4318"/>
      <c r="T21" s="4172"/>
      <c r="U21" s="4172"/>
      <c r="V21" s="1719" t="s">
        <v>831</v>
      </c>
      <c r="W21" s="1725">
        <v>14710000</v>
      </c>
      <c r="X21" s="1722">
        <v>0</v>
      </c>
      <c r="Y21" s="1722">
        <v>0</v>
      </c>
      <c r="Z21" s="4215"/>
      <c r="AA21" s="4169"/>
      <c r="AB21" s="4247"/>
      <c r="AC21" s="4184"/>
      <c r="AD21" s="4218"/>
      <c r="AE21" s="4218"/>
      <c r="AF21" s="4218"/>
      <c r="AG21" s="4218"/>
      <c r="AH21" s="4218"/>
      <c r="AI21" s="4218"/>
      <c r="AJ21" s="4218"/>
      <c r="AK21" s="4218"/>
      <c r="AL21" s="4218"/>
      <c r="AM21" s="4218"/>
      <c r="AN21" s="4218"/>
      <c r="AO21" s="4218"/>
      <c r="AP21" s="4218"/>
      <c r="AQ21" s="4218"/>
      <c r="AR21" s="4218"/>
      <c r="AS21" s="4218"/>
      <c r="AT21" s="4218"/>
      <c r="AU21" s="4218"/>
      <c r="AV21" s="4218"/>
      <c r="AW21" s="4218"/>
      <c r="AX21" s="4218"/>
      <c r="AY21" s="4218"/>
      <c r="AZ21" s="4184"/>
      <c r="BA21" s="4178"/>
      <c r="BB21" s="4212"/>
      <c r="BC21" s="4181"/>
      <c r="BD21" s="4218"/>
      <c r="BE21" s="4218"/>
      <c r="BF21" s="4163"/>
      <c r="BG21" s="4163"/>
      <c r="BH21" s="4163"/>
      <c r="BI21" s="4163"/>
      <c r="BJ21" s="4166"/>
      <c r="BL21" s="1726"/>
    </row>
    <row r="22" spans="1:68" s="1724" customFormat="1" ht="57" x14ac:dyDescent="0.2">
      <c r="A22" s="1709"/>
      <c r="B22" s="1710"/>
      <c r="C22" s="1711"/>
      <c r="D22" s="1710"/>
      <c r="E22" s="1710"/>
      <c r="F22" s="1711"/>
      <c r="G22" s="1709"/>
      <c r="H22" s="1710"/>
      <c r="I22" s="1711"/>
      <c r="J22" s="4239"/>
      <c r="K22" s="4172"/>
      <c r="L22" s="4169"/>
      <c r="M22" s="4169"/>
      <c r="N22" s="4169"/>
      <c r="O22" s="4169"/>
      <c r="P22" s="4169"/>
      <c r="Q22" s="4172"/>
      <c r="R22" s="4175"/>
      <c r="S22" s="4318"/>
      <c r="T22" s="4172"/>
      <c r="U22" s="4172"/>
      <c r="V22" s="1719" t="s">
        <v>832</v>
      </c>
      <c r="W22" s="1725">
        <v>10000000</v>
      </c>
      <c r="X22" s="1722">
        <v>0</v>
      </c>
      <c r="Y22" s="1722">
        <v>0</v>
      </c>
      <c r="Z22" s="4215"/>
      <c r="AA22" s="4169"/>
      <c r="AB22" s="4247"/>
      <c r="AC22" s="4184"/>
      <c r="AD22" s="4218"/>
      <c r="AE22" s="4218"/>
      <c r="AF22" s="4218"/>
      <c r="AG22" s="4218"/>
      <c r="AH22" s="4218"/>
      <c r="AI22" s="4218"/>
      <c r="AJ22" s="4218"/>
      <c r="AK22" s="4218"/>
      <c r="AL22" s="4218"/>
      <c r="AM22" s="4218"/>
      <c r="AN22" s="4218"/>
      <c r="AO22" s="4218"/>
      <c r="AP22" s="4218"/>
      <c r="AQ22" s="4218"/>
      <c r="AR22" s="4218"/>
      <c r="AS22" s="4218"/>
      <c r="AT22" s="4218"/>
      <c r="AU22" s="4218"/>
      <c r="AV22" s="4218"/>
      <c r="AW22" s="4218"/>
      <c r="AX22" s="4218"/>
      <c r="AY22" s="4218"/>
      <c r="AZ22" s="4184"/>
      <c r="BA22" s="4178"/>
      <c r="BB22" s="4212"/>
      <c r="BC22" s="4181"/>
      <c r="BD22" s="4218"/>
      <c r="BE22" s="4218"/>
      <c r="BF22" s="4163"/>
      <c r="BG22" s="4163"/>
      <c r="BH22" s="4163"/>
      <c r="BI22" s="4163"/>
      <c r="BJ22" s="4166"/>
      <c r="BL22" s="1726"/>
    </row>
    <row r="23" spans="1:68" s="1724" customFormat="1" ht="71.25" x14ac:dyDescent="0.2">
      <c r="A23" s="1709"/>
      <c r="B23" s="1710"/>
      <c r="C23" s="1711"/>
      <c r="D23" s="1710"/>
      <c r="E23" s="1710"/>
      <c r="F23" s="1711"/>
      <c r="G23" s="1709"/>
      <c r="H23" s="1710"/>
      <c r="I23" s="1711"/>
      <c r="J23" s="4239"/>
      <c r="K23" s="4172"/>
      <c r="L23" s="4169"/>
      <c r="M23" s="4169"/>
      <c r="N23" s="4169"/>
      <c r="O23" s="4169"/>
      <c r="P23" s="4169"/>
      <c r="Q23" s="4172"/>
      <c r="R23" s="4175"/>
      <c r="S23" s="4318"/>
      <c r="T23" s="4172"/>
      <c r="U23" s="4172"/>
      <c r="V23" s="1719" t="s">
        <v>833</v>
      </c>
      <c r="W23" s="1725">
        <v>10000000</v>
      </c>
      <c r="X23" s="1722">
        <v>0</v>
      </c>
      <c r="Y23" s="1722">
        <v>0</v>
      </c>
      <c r="Z23" s="4215"/>
      <c r="AA23" s="4169"/>
      <c r="AB23" s="4247"/>
      <c r="AC23" s="4184"/>
      <c r="AD23" s="4218"/>
      <c r="AE23" s="4218"/>
      <c r="AF23" s="4218"/>
      <c r="AG23" s="4218"/>
      <c r="AH23" s="4218"/>
      <c r="AI23" s="4218"/>
      <c r="AJ23" s="4218"/>
      <c r="AK23" s="4218"/>
      <c r="AL23" s="4218"/>
      <c r="AM23" s="4218"/>
      <c r="AN23" s="4218"/>
      <c r="AO23" s="4218"/>
      <c r="AP23" s="4218"/>
      <c r="AQ23" s="4218"/>
      <c r="AR23" s="4218"/>
      <c r="AS23" s="4218"/>
      <c r="AT23" s="4218"/>
      <c r="AU23" s="4218"/>
      <c r="AV23" s="4218"/>
      <c r="AW23" s="4218"/>
      <c r="AX23" s="4218"/>
      <c r="AY23" s="4218"/>
      <c r="AZ23" s="4184"/>
      <c r="BA23" s="4178"/>
      <c r="BB23" s="4212"/>
      <c r="BC23" s="4181"/>
      <c r="BD23" s="4218"/>
      <c r="BE23" s="4218"/>
      <c r="BF23" s="4163"/>
      <c r="BG23" s="4163"/>
      <c r="BH23" s="4163"/>
      <c r="BI23" s="4163"/>
      <c r="BJ23" s="4166"/>
      <c r="BL23" s="1726"/>
    </row>
    <row r="24" spans="1:68" s="1724" customFormat="1" ht="128.25" x14ac:dyDescent="0.2">
      <c r="A24" s="1709"/>
      <c r="B24" s="1710"/>
      <c r="C24" s="1711"/>
      <c r="D24" s="1727"/>
      <c r="E24" s="1727"/>
      <c r="F24" s="1728"/>
      <c r="G24" s="1729"/>
      <c r="H24" s="1727"/>
      <c r="I24" s="1728"/>
      <c r="J24" s="4239"/>
      <c r="K24" s="4173"/>
      <c r="L24" s="4170"/>
      <c r="M24" s="4170"/>
      <c r="N24" s="4170"/>
      <c r="O24" s="4170"/>
      <c r="P24" s="4170"/>
      <c r="Q24" s="4173"/>
      <c r="R24" s="4176"/>
      <c r="S24" s="4319"/>
      <c r="T24" s="4173"/>
      <c r="U24" s="4173"/>
      <c r="V24" s="1719" t="s">
        <v>834</v>
      </c>
      <c r="W24" s="1725">
        <v>12000000</v>
      </c>
      <c r="X24" s="1722">
        <v>0</v>
      </c>
      <c r="Y24" s="1722">
        <v>0</v>
      </c>
      <c r="Z24" s="4216"/>
      <c r="AA24" s="4170"/>
      <c r="AB24" s="4248"/>
      <c r="AC24" s="4185"/>
      <c r="AD24" s="4219"/>
      <c r="AE24" s="4219"/>
      <c r="AF24" s="4219"/>
      <c r="AG24" s="4219"/>
      <c r="AH24" s="4219"/>
      <c r="AI24" s="4219"/>
      <c r="AJ24" s="4219"/>
      <c r="AK24" s="4219"/>
      <c r="AL24" s="4219"/>
      <c r="AM24" s="4219"/>
      <c r="AN24" s="4219"/>
      <c r="AO24" s="4219"/>
      <c r="AP24" s="4219"/>
      <c r="AQ24" s="4219"/>
      <c r="AR24" s="4219"/>
      <c r="AS24" s="4219"/>
      <c r="AT24" s="4219"/>
      <c r="AU24" s="4219"/>
      <c r="AV24" s="4219"/>
      <c r="AW24" s="4219"/>
      <c r="AX24" s="4219"/>
      <c r="AY24" s="4219"/>
      <c r="AZ24" s="4185"/>
      <c r="BA24" s="4179"/>
      <c r="BB24" s="4213"/>
      <c r="BC24" s="4182"/>
      <c r="BD24" s="4219"/>
      <c r="BE24" s="4219"/>
      <c r="BF24" s="4164"/>
      <c r="BG24" s="4164"/>
      <c r="BH24" s="4164"/>
      <c r="BI24" s="4164"/>
      <c r="BJ24" s="4167"/>
    </row>
    <row r="25" spans="1:68" s="1688" customFormat="1" ht="36" customHeight="1" x14ac:dyDescent="0.2">
      <c r="A25" s="1697"/>
      <c r="C25" s="1730"/>
      <c r="D25" s="1731">
        <v>12</v>
      </c>
      <c r="E25" s="1696" t="s">
        <v>835</v>
      </c>
      <c r="F25" s="1732"/>
      <c r="G25" s="1691"/>
      <c r="H25" s="1691"/>
      <c r="I25" s="1691"/>
      <c r="J25" s="1691"/>
      <c r="K25" s="1692"/>
      <c r="L25" s="1691"/>
      <c r="M25" s="1691"/>
      <c r="N25" s="1691"/>
      <c r="O25" s="1693"/>
      <c r="P25" s="1691"/>
      <c r="Q25" s="1692"/>
      <c r="R25" s="1691"/>
      <c r="S25" s="1691"/>
      <c r="T25" s="1691"/>
      <c r="U25" s="1692"/>
      <c r="V25" s="1692"/>
      <c r="W25" s="1694"/>
      <c r="X25" s="1733"/>
      <c r="Y25" s="1734"/>
      <c r="Z25" s="1735"/>
      <c r="AA25" s="1693"/>
      <c r="AB25" s="1693"/>
      <c r="AC25" s="1693"/>
      <c r="AD25" s="1693"/>
      <c r="AE25" s="1693"/>
      <c r="AF25" s="1693"/>
      <c r="AG25" s="1693"/>
      <c r="AH25" s="1693"/>
      <c r="AI25" s="1693"/>
      <c r="AJ25" s="1693"/>
      <c r="AK25" s="1693"/>
      <c r="AL25" s="1693"/>
      <c r="AM25" s="1693"/>
      <c r="AN25" s="1693"/>
      <c r="AO25" s="1693"/>
      <c r="AP25" s="1693"/>
      <c r="AQ25" s="1693"/>
      <c r="AR25" s="1693"/>
      <c r="AS25" s="1693"/>
      <c r="AT25" s="1693"/>
      <c r="AU25" s="1693"/>
      <c r="AV25" s="1693"/>
      <c r="AW25" s="1693"/>
      <c r="AX25" s="1693"/>
      <c r="AY25" s="1693"/>
      <c r="AZ25" s="1693"/>
      <c r="BA25" s="1693"/>
      <c r="BB25" s="1693"/>
      <c r="BC25" s="1693"/>
      <c r="BD25" s="1693"/>
      <c r="BE25" s="1693"/>
      <c r="BF25" s="1691"/>
      <c r="BG25" s="1691"/>
      <c r="BH25" s="1691"/>
      <c r="BI25" s="1691"/>
      <c r="BJ25" s="1736"/>
      <c r="BK25" s="1687"/>
      <c r="BL25" s="1687"/>
      <c r="BM25" s="1687"/>
      <c r="BN25" s="1687"/>
      <c r="BO25" s="1687"/>
      <c r="BP25" s="1687"/>
    </row>
    <row r="26" spans="1:68" s="1688" customFormat="1" ht="36" customHeight="1" x14ac:dyDescent="0.2">
      <c r="A26" s="1697"/>
      <c r="B26" s="1698"/>
      <c r="C26" s="1699"/>
      <c r="D26" s="1700"/>
      <c r="E26" s="1700"/>
      <c r="F26" s="1701"/>
      <c r="G26" s="1737">
        <v>36</v>
      </c>
      <c r="H26" s="1703" t="s">
        <v>836</v>
      </c>
      <c r="I26" s="1703"/>
      <c r="J26" s="1703"/>
      <c r="K26" s="1704"/>
      <c r="L26" s="1703"/>
      <c r="M26" s="1703"/>
      <c r="N26" s="1703"/>
      <c r="O26" s="1705"/>
      <c r="P26" s="1703"/>
      <c r="Q26" s="1704"/>
      <c r="R26" s="1703"/>
      <c r="S26" s="1703"/>
      <c r="T26" s="1703"/>
      <c r="U26" s="1704"/>
      <c r="V26" s="1704"/>
      <c r="W26" s="1706"/>
      <c r="X26" s="1706"/>
      <c r="Y26" s="1706"/>
      <c r="Z26" s="1738"/>
      <c r="AA26" s="1705"/>
      <c r="AB26" s="1705"/>
      <c r="AC26" s="1705"/>
      <c r="AD26" s="1705"/>
      <c r="AE26" s="1705"/>
      <c r="AF26" s="1705"/>
      <c r="AG26" s="1705"/>
      <c r="AH26" s="1705"/>
      <c r="AI26" s="1705"/>
      <c r="AJ26" s="1705"/>
      <c r="AK26" s="1705"/>
      <c r="AL26" s="1705"/>
      <c r="AM26" s="1705"/>
      <c r="AN26" s="1705"/>
      <c r="AO26" s="1705"/>
      <c r="AP26" s="1705"/>
      <c r="AQ26" s="1705"/>
      <c r="AR26" s="1705"/>
      <c r="AS26" s="1705"/>
      <c r="AT26" s="1705"/>
      <c r="AU26" s="1705"/>
      <c r="AV26" s="1705"/>
      <c r="AW26" s="1705"/>
      <c r="AX26" s="1705"/>
      <c r="AY26" s="1705"/>
      <c r="AZ26" s="1705"/>
      <c r="BA26" s="1705"/>
      <c r="BB26" s="1705"/>
      <c r="BC26" s="1705"/>
      <c r="BD26" s="1705"/>
      <c r="BE26" s="1705"/>
      <c r="BF26" s="1703"/>
      <c r="BG26" s="1703"/>
      <c r="BH26" s="1703"/>
      <c r="BI26" s="1703"/>
      <c r="BJ26" s="1739"/>
      <c r="BK26" s="1687"/>
      <c r="BL26" s="1687"/>
      <c r="BM26" s="1687"/>
      <c r="BN26" s="1687"/>
      <c r="BO26" s="1687"/>
      <c r="BP26" s="1687"/>
    </row>
    <row r="27" spans="1:68" s="1724" customFormat="1" ht="63.75" customHeight="1" x14ac:dyDescent="0.2">
      <c r="A27" s="1709"/>
      <c r="B27" s="1710"/>
      <c r="C27" s="1711"/>
      <c r="D27" s="1710"/>
      <c r="E27" s="1710"/>
      <c r="F27" s="1711"/>
      <c r="G27" s="1712"/>
      <c r="H27" s="1713"/>
      <c r="I27" s="1714"/>
      <c r="J27" s="4168">
        <v>130</v>
      </c>
      <c r="K27" s="4171" t="s">
        <v>837</v>
      </c>
      <c r="L27" s="4168" t="s">
        <v>324</v>
      </c>
      <c r="M27" s="4168">
        <v>1</v>
      </c>
      <c r="N27" s="4168">
        <v>0.25</v>
      </c>
      <c r="O27" s="4168" t="s">
        <v>838</v>
      </c>
      <c r="P27" s="4168">
        <v>133</v>
      </c>
      <c r="Q27" s="4171" t="s">
        <v>839</v>
      </c>
      <c r="R27" s="4302">
        <f>(W27+W28)/S27</f>
        <v>0.2</v>
      </c>
      <c r="S27" s="4187">
        <v>154500000</v>
      </c>
      <c r="T27" s="4171" t="s">
        <v>840</v>
      </c>
      <c r="U27" s="4171" t="s">
        <v>841</v>
      </c>
      <c r="V27" s="1740" t="s">
        <v>842</v>
      </c>
      <c r="W27" s="1725">
        <v>10000000</v>
      </c>
      <c r="X27" s="1722">
        <v>0</v>
      </c>
      <c r="Y27" s="1722">
        <v>0</v>
      </c>
      <c r="Z27" s="4214">
        <v>61</v>
      </c>
      <c r="AA27" s="4168" t="s">
        <v>820</v>
      </c>
      <c r="AB27" s="4304">
        <v>64149</v>
      </c>
      <c r="AC27" s="4232">
        <f>SUM(AB27*0.65)</f>
        <v>41696.85</v>
      </c>
      <c r="AD27" s="4300">
        <v>72224</v>
      </c>
      <c r="AE27" s="4232">
        <f>SUM(AD27*0.65)</f>
        <v>46945.599999999999</v>
      </c>
      <c r="AF27" s="4300">
        <v>27477</v>
      </c>
      <c r="AG27" s="4232">
        <f>SUM(AF27*0.65)</f>
        <v>17860.05</v>
      </c>
      <c r="AH27" s="4300">
        <v>86843</v>
      </c>
      <c r="AI27" s="4232">
        <f>SUM(AH27*0.65)</f>
        <v>56447.950000000004</v>
      </c>
      <c r="AJ27" s="4300">
        <v>236429</v>
      </c>
      <c r="AK27" s="4232">
        <f>SUM(AJ27*0.65)</f>
        <v>153678.85</v>
      </c>
      <c r="AL27" s="4300">
        <v>81384</v>
      </c>
      <c r="AM27" s="4232">
        <f>SUM(AL27*0.65)</f>
        <v>52899.6</v>
      </c>
      <c r="AN27" s="4300">
        <v>13208</v>
      </c>
      <c r="AO27" s="4232">
        <f>SUM(AN27*0.65)</f>
        <v>8585.2000000000007</v>
      </c>
      <c r="AP27" s="4300">
        <v>2145</v>
      </c>
      <c r="AQ27" s="4232">
        <f>SUM(AP27*0.65)</f>
        <v>1394.25</v>
      </c>
      <c r="AR27" s="4300">
        <v>413</v>
      </c>
      <c r="AS27" s="4232">
        <f>SUM(AR27*0.65)</f>
        <v>268.45</v>
      </c>
      <c r="AT27" s="4300">
        <v>520</v>
      </c>
      <c r="AU27" s="4232">
        <f>SUM(AT27*0.65)</f>
        <v>338</v>
      </c>
      <c r="AV27" s="4300">
        <v>16897</v>
      </c>
      <c r="AW27" s="4232">
        <f>SUM(AV27*0.65)</f>
        <v>10983.050000000001</v>
      </c>
      <c r="AX27" s="4300">
        <v>75612</v>
      </c>
      <c r="AY27" s="4232">
        <f>SUM(AX27*0.65)</f>
        <v>49147.8</v>
      </c>
      <c r="AZ27" s="4232">
        <v>6</v>
      </c>
      <c r="BA27" s="4308">
        <v>99840000</v>
      </c>
      <c r="BB27" s="4308">
        <v>2000000</v>
      </c>
      <c r="BC27" s="4311">
        <f>+BB27/BA27</f>
        <v>2.0032051282051284E-2</v>
      </c>
      <c r="BD27" s="4232">
        <v>61</v>
      </c>
      <c r="BE27" s="4232" t="s">
        <v>822</v>
      </c>
      <c r="BF27" s="4162">
        <v>42948</v>
      </c>
      <c r="BG27" s="4307">
        <v>42736</v>
      </c>
      <c r="BH27" s="4162">
        <v>43100</v>
      </c>
      <c r="BI27" s="4307">
        <v>43091</v>
      </c>
      <c r="BJ27" s="4165" t="s">
        <v>843</v>
      </c>
    </row>
    <row r="28" spans="1:68" s="1724" customFormat="1" ht="128.25" x14ac:dyDescent="0.2">
      <c r="A28" s="1709"/>
      <c r="B28" s="1710"/>
      <c r="C28" s="1711"/>
      <c r="D28" s="1710"/>
      <c r="E28" s="1710"/>
      <c r="F28" s="1711"/>
      <c r="G28" s="1709"/>
      <c r="H28" s="1710"/>
      <c r="I28" s="1711"/>
      <c r="J28" s="4170"/>
      <c r="K28" s="4173"/>
      <c r="L28" s="4170"/>
      <c r="M28" s="4170"/>
      <c r="N28" s="4170"/>
      <c r="O28" s="4169"/>
      <c r="P28" s="4169"/>
      <c r="Q28" s="4172"/>
      <c r="R28" s="4303"/>
      <c r="S28" s="4188"/>
      <c r="T28" s="4172"/>
      <c r="U28" s="4173"/>
      <c r="V28" s="1740" t="s">
        <v>844</v>
      </c>
      <c r="W28" s="1725">
        <v>20900000</v>
      </c>
      <c r="X28" s="1721">
        <v>16000000</v>
      </c>
      <c r="Y28" s="1721">
        <v>2000000</v>
      </c>
      <c r="Z28" s="4215"/>
      <c r="AA28" s="4169"/>
      <c r="AB28" s="4305"/>
      <c r="AC28" s="4299"/>
      <c r="AD28" s="4301"/>
      <c r="AE28" s="4299"/>
      <c r="AF28" s="4301"/>
      <c r="AG28" s="4299"/>
      <c r="AH28" s="4301"/>
      <c r="AI28" s="4299"/>
      <c r="AJ28" s="4301"/>
      <c r="AK28" s="4299"/>
      <c r="AL28" s="4301"/>
      <c r="AM28" s="4299"/>
      <c r="AN28" s="4301"/>
      <c r="AO28" s="4299"/>
      <c r="AP28" s="4301"/>
      <c r="AQ28" s="4299"/>
      <c r="AR28" s="4301"/>
      <c r="AS28" s="4299"/>
      <c r="AT28" s="4301"/>
      <c r="AU28" s="4299"/>
      <c r="AV28" s="4301"/>
      <c r="AW28" s="4299"/>
      <c r="AX28" s="4301"/>
      <c r="AY28" s="4299"/>
      <c r="AZ28" s="4299"/>
      <c r="BA28" s="4309"/>
      <c r="BB28" s="4309"/>
      <c r="BC28" s="4312"/>
      <c r="BD28" s="4299"/>
      <c r="BE28" s="4299"/>
      <c r="BF28" s="4163"/>
      <c r="BG28" s="4299"/>
      <c r="BH28" s="4163"/>
      <c r="BI28" s="4299"/>
      <c r="BJ28" s="4166"/>
      <c r="BK28" s="1741"/>
    </row>
    <row r="29" spans="1:68" s="1724" customFormat="1" ht="71.25" x14ac:dyDescent="0.2">
      <c r="A29" s="1709"/>
      <c r="B29" s="1710"/>
      <c r="C29" s="1711"/>
      <c r="D29" s="1710"/>
      <c r="E29" s="1710"/>
      <c r="F29" s="1711"/>
      <c r="G29" s="1709"/>
      <c r="H29" s="1710"/>
      <c r="I29" s="1711"/>
      <c r="J29" s="4168">
        <v>131</v>
      </c>
      <c r="K29" s="4171" t="s">
        <v>845</v>
      </c>
      <c r="L29" s="4168" t="s">
        <v>324</v>
      </c>
      <c r="M29" s="4168">
        <v>3</v>
      </c>
      <c r="N29" s="4168">
        <v>0.6</v>
      </c>
      <c r="O29" s="4169"/>
      <c r="P29" s="4169"/>
      <c r="Q29" s="4172"/>
      <c r="R29" s="4302">
        <f>(W29+W30)/S27</f>
        <v>0.8</v>
      </c>
      <c r="S29" s="4188"/>
      <c r="T29" s="4172"/>
      <c r="U29" s="4171" t="s">
        <v>846</v>
      </c>
      <c r="V29" s="1740" t="s">
        <v>847</v>
      </c>
      <c r="W29" s="1725">
        <v>100000000</v>
      </c>
      <c r="X29" s="1721">
        <v>66200000</v>
      </c>
      <c r="Y29" s="1722">
        <v>0</v>
      </c>
      <c r="Z29" s="4215"/>
      <c r="AA29" s="4169"/>
      <c r="AB29" s="4305"/>
      <c r="AC29" s="4299"/>
      <c r="AD29" s="4301"/>
      <c r="AE29" s="4299"/>
      <c r="AF29" s="4301"/>
      <c r="AG29" s="4299"/>
      <c r="AH29" s="4301"/>
      <c r="AI29" s="4299"/>
      <c r="AJ29" s="4301"/>
      <c r="AK29" s="4299"/>
      <c r="AL29" s="4301"/>
      <c r="AM29" s="4299"/>
      <c r="AN29" s="4301"/>
      <c r="AO29" s="4299"/>
      <c r="AP29" s="4301"/>
      <c r="AQ29" s="4299"/>
      <c r="AR29" s="4301"/>
      <c r="AS29" s="4299"/>
      <c r="AT29" s="4301"/>
      <c r="AU29" s="4299"/>
      <c r="AV29" s="4301"/>
      <c r="AW29" s="4299"/>
      <c r="AX29" s="4301"/>
      <c r="AY29" s="4299"/>
      <c r="AZ29" s="4299"/>
      <c r="BA29" s="4309"/>
      <c r="BB29" s="4309"/>
      <c r="BC29" s="4312"/>
      <c r="BD29" s="4299"/>
      <c r="BE29" s="4299"/>
      <c r="BF29" s="4163"/>
      <c r="BG29" s="4299"/>
      <c r="BH29" s="4163"/>
      <c r="BI29" s="4299"/>
      <c r="BJ29" s="4166"/>
    </row>
    <row r="30" spans="1:68" s="1724" customFormat="1" ht="71.25" x14ac:dyDescent="0.2">
      <c r="A30" s="1709"/>
      <c r="B30" s="1710"/>
      <c r="C30" s="1711"/>
      <c r="D30" s="1710"/>
      <c r="E30" s="1710"/>
      <c r="F30" s="1711"/>
      <c r="G30" s="1729"/>
      <c r="H30" s="1727"/>
      <c r="I30" s="1728"/>
      <c r="J30" s="4170"/>
      <c r="K30" s="4173"/>
      <c r="L30" s="4170"/>
      <c r="M30" s="4170"/>
      <c r="N30" s="4170"/>
      <c r="O30" s="4170"/>
      <c r="P30" s="4170"/>
      <c r="Q30" s="4173"/>
      <c r="R30" s="4303"/>
      <c r="S30" s="4189"/>
      <c r="T30" s="4173"/>
      <c r="U30" s="4173"/>
      <c r="V30" s="1740" t="s">
        <v>848</v>
      </c>
      <c r="W30" s="1725">
        <v>23600000</v>
      </c>
      <c r="X30" s="1721">
        <v>17640000</v>
      </c>
      <c r="Y30" s="1722">
        <v>0</v>
      </c>
      <c r="Z30" s="4216"/>
      <c r="AA30" s="4170"/>
      <c r="AB30" s="4306"/>
      <c r="AC30" s="4233"/>
      <c r="AD30" s="4301"/>
      <c r="AE30" s="4233"/>
      <c r="AF30" s="4301"/>
      <c r="AG30" s="4233"/>
      <c r="AH30" s="4301"/>
      <c r="AI30" s="4233"/>
      <c r="AJ30" s="4301"/>
      <c r="AK30" s="4233"/>
      <c r="AL30" s="4301"/>
      <c r="AM30" s="4233"/>
      <c r="AN30" s="4301"/>
      <c r="AO30" s="4233"/>
      <c r="AP30" s="4301"/>
      <c r="AQ30" s="4233"/>
      <c r="AR30" s="4301"/>
      <c r="AS30" s="4233"/>
      <c r="AT30" s="4301"/>
      <c r="AU30" s="4233"/>
      <c r="AV30" s="4301"/>
      <c r="AW30" s="4233"/>
      <c r="AX30" s="4301"/>
      <c r="AY30" s="4233"/>
      <c r="AZ30" s="4233"/>
      <c r="BA30" s="4310"/>
      <c r="BB30" s="4310"/>
      <c r="BC30" s="4313"/>
      <c r="BD30" s="4233"/>
      <c r="BE30" s="4233"/>
      <c r="BF30" s="4164"/>
      <c r="BG30" s="4233"/>
      <c r="BH30" s="4164"/>
      <c r="BI30" s="4233"/>
      <c r="BJ30" s="4167"/>
    </row>
    <row r="31" spans="1:68" s="1743" customFormat="1" ht="36" customHeight="1" x14ac:dyDescent="0.2">
      <c r="A31" s="1697"/>
      <c r="B31" s="1698"/>
      <c r="C31" s="1699"/>
      <c r="D31" s="1698"/>
      <c r="E31" s="1698"/>
      <c r="F31" s="1699"/>
      <c r="G31" s="1737">
        <v>37</v>
      </c>
      <c r="H31" s="1703" t="s">
        <v>849</v>
      </c>
      <c r="I31" s="1703"/>
      <c r="J31" s="1703"/>
      <c r="K31" s="1704"/>
      <c r="L31" s="1703"/>
      <c r="M31" s="1703"/>
      <c r="N31" s="1703"/>
      <c r="O31" s="1705"/>
      <c r="P31" s="1703"/>
      <c r="Q31" s="1704"/>
      <c r="R31" s="1703"/>
      <c r="S31" s="1703"/>
      <c r="T31" s="1703"/>
      <c r="U31" s="1704"/>
      <c r="V31" s="1704"/>
      <c r="W31" s="1706"/>
      <c r="X31" s="1742"/>
      <c r="Y31" s="1742"/>
      <c r="Z31" s="1738"/>
      <c r="AA31" s="1705"/>
      <c r="AB31" s="1705"/>
      <c r="AC31" s="1705"/>
      <c r="AD31" s="1705"/>
      <c r="AE31" s="1705"/>
      <c r="AF31" s="1705"/>
      <c r="AG31" s="1705"/>
      <c r="AH31" s="1705"/>
      <c r="AI31" s="1705"/>
      <c r="AJ31" s="1705"/>
      <c r="AK31" s="1705"/>
      <c r="AL31" s="1705"/>
      <c r="AM31" s="1705"/>
      <c r="AN31" s="1705"/>
      <c r="AO31" s="1705"/>
      <c r="AP31" s="1705"/>
      <c r="AQ31" s="1705"/>
      <c r="AR31" s="1705"/>
      <c r="AS31" s="1705"/>
      <c r="AT31" s="1705"/>
      <c r="AU31" s="1705"/>
      <c r="AV31" s="1705"/>
      <c r="AW31" s="1705"/>
      <c r="AX31" s="1705"/>
      <c r="AY31" s="1705"/>
      <c r="AZ31" s="1705"/>
      <c r="BA31" s="1705"/>
      <c r="BB31" s="1705"/>
      <c r="BC31" s="1705"/>
      <c r="BD31" s="1705"/>
      <c r="BE31" s="1705"/>
      <c r="BF31" s="1703"/>
      <c r="BG31" s="1703"/>
      <c r="BH31" s="1703"/>
      <c r="BI31" s="1703"/>
      <c r="BJ31" s="1739"/>
      <c r="BK31" s="1687"/>
      <c r="BL31" s="1687"/>
      <c r="BM31" s="1687"/>
      <c r="BN31" s="1687"/>
      <c r="BO31" s="1687"/>
      <c r="BP31" s="1687"/>
    </row>
    <row r="32" spans="1:68" s="1724" customFormat="1" ht="99.75" x14ac:dyDescent="0.2">
      <c r="A32" s="1744"/>
      <c r="B32" s="1745"/>
      <c r="C32" s="1746"/>
      <c r="D32" s="1745"/>
      <c r="E32" s="1745"/>
      <c r="F32" s="1746"/>
      <c r="G32" s="1747"/>
      <c r="H32" s="1748"/>
      <c r="I32" s="1749"/>
      <c r="J32" s="4168">
        <v>132</v>
      </c>
      <c r="K32" s="4171" t="s">
        <v>850</v>
      </c>
      <c r="L32" s="4168" t="s">
        <v>324</v>
      </c>
      <c r="M32" s="4168">
        <v>8</v>
      </c>
      <c r="N32" s="4168">
        <v>12</v>
      </c>
      <c r="O32" s="4168" t="s">
        <v>851</v>
      </c>
      <c r="P32" s="4168">
        <v>134</v>
      </c>
      <c r="Q32" s="4171" t="s">
        <v>852</v>
      </c>
      <c r="R32" s="4174">
        <f>+(W32+W33+W34)/$S$32</f>
        <v>0.29004037685060563</v>
      </c>
      <c r="S32" s="4187">
        <v>148600000</v>
      </c>
      <c r="T32" s="4171" t="s">
        <v>853</v>
      </c>
      <c r="U32" s="4171" t="s">
        <v>854</v>
      </c>
      <c r="V32" s="1740" t="s">
        <v>855</v>
      </c>
      <c r="W32" s="1720">
        <f>10000000+7350000</f>
        <v>17350000</v>
      </c>
      <c r="X32" s="1750">
        <v>0</v>
      </c>
      <c r="Y32" s="1750">
        <v>0</v>
      </c>
      <c r="Z32" s="4214">
        <v>61</v>
      </c>
      <c r="AA32" s="4168" t="s">
        <v>820</v>
      </c>
      <c r="AB32" s="4183">
        <v>64149</v>
      </c>
      <c r="AC32" s="4183">
        <f>SUM(AB32*0.11)</f>
        <v>7056.39</v>
      </c>
      <c r="AD32" s="4183">
        <v>72224</v>
      </c>
      <c r="AE32" s="4183">
        <f>SUM(AD32*0.11)</f>
        <v>7944.64</v>
      </c>
      <c r="AF32" s="4183">
        <v>27477</v>
      </c>
      <c r="AG32" s="4183">
        <f>SUM(AF32*0.11)</f>
        <v>3022.47</v>
      </c>
      <c r="AH32" s="4183">
        <v>86843</v>
      </c>
      <c r="AI32" s="4183">
        <f>SUM(AH32*0.11)</f>
        <v>9552.73</v>
      </c>
      <c r="AJ32" s="4183">
        <v>236429</v>
      </c>
      <c r="AK32" s="4183">
        <f>SUM(AJ32*0.11)</f>
        <v>26007.19</v>
      </c>
      <c r="AL32" s="4183">
        <v>81384</v>
      </c>
      <c r="AM32" s="4183">
        <f>SUM(AL32*0.11)</f>
        <v>8952.24</v>
      </c>
      <c r="AN32" s="4183">
        <v>13208</v>
      </c>
      <c r="AO32" s="4183">
        <f>SUM(AN32*0.11)</f>
        <v>1452.88</v>
      </c>
      <c r="AP32" s="4183">
        <v>2145</v>
      </c>
      <c r="AQ32" s="4183">
        <f>SUM(AP32*0.11)</f>
        <v>235.95</v>
      </c>
      <c r="AR32" s="4183">
        <v>413</v>
      </c>
      <c r="AS32" s="4183">
        <f>SUM(AR32*0.11)</f>
        <v>45.43</v>
      </c>
      <c r="AT32" s="4183">
        <v>520</v>
      </c>
      <c r="AU32" s="4183">
        <f>SUM(AT32*0.11)</f>
        <v>57.2</v>
      </c>
      <c r="AV32" s="4183">
        <v>16897</v>
      </c>
      <c r="AW32" s="4183">
        <f>SUM(AV32*0.11)</f>
        <v>1858.67</v>
      </c>
      <c r="AX32" s="4183">
        <v>75612</v>
      </c>
      <c r="AY32" s="4183">
        <f>SUM(AX32*0.11)</f>
        <v>8317.32</v>
      </c>
      <c r="AZ32" s="4183">
        <v>1</v>
      </c>
      <c r="BA32" s="4177">
        <v>13200000</v>
      </c>
      <c r="BB32" s="4211">
        <v>0</v>
      </c>
      <c r="BC32" s="4180">
        <f>+BB32/BA32</f>
        <v>0</v>
      </c>
      <c r="BD32" s="4183">
        <v>61</v>
      </c>
      <c r="BE32" s="4183" t="s">
        <v>822</v>
      </c>
      <c r="BF32" s="4162">
        <v>42948</v>
      </c>
      <c r="BG32" s="4198">
        <v>42807</v>
      </c>
      <c r="BH32" s="4162">
        <v>43100</v>
      </c>
      <c r="BI32" s="4198">
        <v>43091</v>
      </c>
      <c r="BJ32" s="4165" t="s">
        <v>843</v>
      </c>
      <c r="BK32" s="1646"/>
      <c r="BL32" s="1646"/>
    </row>
    <row r="33" spans="1:68" s="1724" customFormat="1" ht="99.75" x14ac:dyDescent="0.2">
      <c r="A33" s="1744"/>
      <c r="B33" s="1745"/>
      <c r="C33" s="1746"/>
      <c r="D33" s="1745"/>
      <c r="E33" s="1745"/>
      <c r="F33" s="1746"/>
      <c r="G33" s="1744"/>
      <c r="H33" s="1745"/>
      <c r="I33" s="1746"/>
      <c r="J33" s="4169"/>
      <c r="K33" s="4172"/>
      <c r="L33" s="4169"/>
      <c r="M33" s="4169"/>
      <c r="N33" s="4169"/>
      <c r="O33" s="4169"/>
      <c r="P33" s="4169"/>
      <c r="Q33" s="4172"/>
      <c r="R33" s="4175"/>
      <c r="S33" s="4188"/>
      <c r="T33" s="4172"/>
      <c r="U33" s="4172"/>
      <c r="V33" s="1740" t="s">
        <v>856</v>
      </c>
      <c r="W33" s="1720">
        <v>10000000</v>
      </c>
      <c r="X33" s="1751">
        <v>0</v>
      </c>
      <c r="Y33" s="1751">
        <v>0</v>
      </c>
      <c r="Z33" s="4215"/>
      <c r="AA33" s="4169"/>
      <c r="AB33" s="4184"/>
      <c r="AC33" s="4184"/>
      <c r="AD33" s="4184"/>
      <c r="AE33" s="4184"/>
      <c r="AF33" s="4184"/>
      <c r="AG33" s="4184"/>
      <c r="AH33" s="4184"/>
      <c r="AI33" s="4184"/>
      <c r="AJ33" s="4184"/>
      <c r="AK33" s="4184"/>
      <c r="AL33" s="4184"/>
      <c r="AM33" s="4184"/>
      <c r="AN33" s="4184"/>
      <c r="AO33" s="4184"/>
      <c r="AP33" s="4184"/>
      <c r="AQ33" s="4184"/>
      <c r="AR33" s="4184"/>
      <c r="AS33" s="4184"/>
      <c r="AT33" s="4184"/>
      <c r="AU33" s="4184"/>
      <c r="AV33" s="4184"/>
      <c r="AW33" s="4184"/>
      <c r="AX33" s="4184"/>
      <c r="AY33" s="4184"/>
      <c r="AZ33" s="4184"/>
      <c r="BA33" s="4178"/>
      <c r="BB33" s="4212"/>
      <c r="BC33" s="4181"/>
      <c r="BD33" s="4184"/>
      <c r="BE33" s="4184"/>
      <c r="BF33" s="4163"/>
      <c r="BG33" s="4184"/>
      <c r="BH33" s="4163"/>
      <c r="BI33" s="4184"/>
      <c r="BJ33" s="4166"/>
    </row>
    <row r="34" spans="1:68" s="1724" customFormat="1" ht="57" x14ac:dyDescent="0.2">
      <c r="A34" s="1744"/>
      <c r="B34" s="1745"/>
      <c r="C34" s="1746"/>
      <c r="D34" s="1745"/>
      <c r="E34" s="1745"/>
      <c r="F34" s="1746"/>
      <c r="G34" s="1744"/>
      <c r="H34" s="1745"/>
      <c r="I34" s="1746"/>
      <c r="J34" s="4170"/>
      <c r="K34" s="4173"/>
      <c r="L34" s="4170"/>
      <c r="M34" s="4170"/>
      <c r="N34" s="4170"/>
      <c r="O34" s="4169"/>
      <c r="P34" s="4169"/>
      <c r="Q34" s="4172"/>
      <c r="R34" s="4176"/>
      <c r="S34" s="4188"/>
      <c r="T34" s="4172"/>
      <c r="U34" s="4172"/>
      <c r="V34" s="1740" t="s">
        <v>857</v>
      </c>
      <c r="W34" s="1720">
        <f>5750000+10000000</f>
        <v>15750000</v>
      </c>
      <c r="X34" s="1751">
        <v>0</v>
      </c>
      <c r="Y34" s="1751">
        <v>0</v>
      </c>
      <c r="Z34" s="4215"/>
      <c r="AA34" s="4169"/>
      <c r="AB34" s="4184"/>
      <c r="AC34" s="4184"/>
      <c r="AD34" s="4184"/>
      <c r="AE34" s="4184"/>
      <c r="AF34" s="4184"/>
      <c r="AG34" s="4184"/>
      <c r="AH34" s="4184"/>
      <c r="AI34" s="4184"/>
      <c r="AJ34" s="4184"/>
      <c r="AK34" s="4184"/>
      <c r="AL34" s="4184"/>
      <c r="AM34" s="4184"/>
      <c r="AN34" s="4184"/>
      <c r="AO34" s="4184"/>
      <c r="AP34" s="4184"/>
      <c r="AQ34" s="4184"/>
      <c r="AR34" s="4184"/>
      <c r="AS34" s="4184"/>
      <c r="AT34" s="4184"/>
      <c r="AU34" s="4184"/>
      <c r="AV34" s="4184"/>
      <c r="AW34" s="4184"/>
      <c r="AX34" s="4184"/>
      <c r="AY34" s="4184"/>
      <c r="AZ34" s="4184"/>
      <c r="BA34" s="4178"/>
      <c r="BB34" s="4212"/>
      <c r="BC34" s="4181"/>
      <c r="BD34" s="4184"/>
      <c r="BE34" s="4184"/>
      <c r="BF34" s="4163"/>
      <c r="BG34" s="4184"/>
      <c r="BH34" s="4163"/>
      <c r="BI34" s="4184"/>
      <c r="BJ34" s="4166"/>
    </row>
    <row r="35" spans="1:68" s="1724" customFormat="1" ht="71.25" x14ac:dyDescent="0.2">
      <c r="A35" s="1744"/>
      <c r="B35" s="1745"/>
      <c r="C35" s="1746"/>
      <c r="D35" s="1745"/>
      <c r="E35" s="1745"/>
      <c r="F35" s="1746"/>
      <c r="G35" s="1744"/>
      <c r="H35" s="1745"/>
      <c r="I35" s="1746"/>
      <c r="J35" s="4168">
        <v>133</v>
      </c>
      <c r="K35" s="4171" t="s">
        <v>858</v>
      </c>
      <c r="L35" s="4168" t="s">
        <v>324</v>
      </c>
      <c r="M35" s="4168">
        <v>12</v>
      </c>
      <c r="N35" s="4168">
        <v>1</v>
      </c>
      <c r="O35" s="4169"/>
      <c r="P35" s="4169"/>
      <c r="Q35" s="4172"/>
      <c r="R35" s="4174">
        <f>+(W35+W38+W39)/$S$32</f>
        <v>0.17328398384925975</v>
      </c>
      <c r="S35" s="4188"/>
      <c r="T35" s="4172"/>
      <c r="U35" s="4172"/>
      <c r="V35" s="1740" t="s">
        <v>859</v>
      </c>
      <c r="W35" s="1720">
        <f>7000000-7000000</f>
        <v>0</v>
      </c>
      <c r="X35" s="1750">
        <v>0</v>
      </c>
      <c r="Y35" s="1750">
        <v>0</v>
      </c>
      <c r="Z35" s="4215"/>
      <c r="AA35" s="4169"/>
      <c r="AB35" s="4184"/>
      <c r="AC35" s="4184"/>
      <c r="AD35" s="4184"/>
      <c r="AE35" s="4184"/>
      <c r="AF35" s="4184"/>
      <c r="AG35" s="4184"/>
      <c r="AH35" s="4184"/>
      <c r="AI35" s="4184"/>
      <c r="AJ35" s="4184"/>
      <c r="AK35" s="4184"/>
      <c r="AL35" s="4184"/>
      <c r="AM35" s="4184"/>
      <c r="AN35" s="4184"/>
      <c r="AO35" s="4184"/>
      <c r="AP35" s="4184"/>
      <c r="AQ35" s="4184"/>
      <c r="AR35" s="4184"/>
      <c r="AS35" s="4184"/>
      <c r="AT35" s="4184"/>
      <c r="AU35" s="4184"/>
      <c r="AV35" s="4184"/>
      <c r="AW35" s="4184"/>
      <c r="AX35" s="4184"/>
      <c r="AY35" s="4184"/>
      <c r="AZ35" s="4184"/>
      <c r="BA35" s="4178"/>
      <c r="BB35" s="4212"/>
      <c r="BC35" s="4181"/>
      <c r="BD35" s="4184"/>
      <c r="BE35" s="4184"/>
      <c r="BF35" s="4163"/>
      <c r="BG35" s="4184"/>
      <c r="BH35" s="4163"/>
      <c r="BI35" s="4184"/>
      <c r="BJ35" s="4166"/>
    </row>
    <row r="36" spans="1:68" s="1724" customFormat="1" ht="85.5" x14ac:dyDescent="0.2">
      <c r="A36" s="1744"/>
      <c r="B36" s="1745"/>
      <c r="C36" s="1746"/>
      <c r="D36" s="1745"/>
      <c r="E36" s="1745"/>
      <c r="F36" s="1746"/>
      <c r="G36" s="1744"/>
      <c r="H36" s="1745"/>
      <c r="I36" s="1746"/>
      <c r="J36" s="4169"/>
      <c r="K36" s="4172"/>
      <c r="L36" s="4169"/>
      <c r="M36" s="4169"/>
      <c r="N36" s="4169"/>
      <c r="O36" s="4169"/>
      <c r="P36" s="4169"/>
      <c r="Q36" s="4172"/>
      <c r="R36" s="4175"/>
      <c r="S36" s="4188"/>
      <c r="T36" s="4172"/>
      <c r="U36" s="4172"/>
      <c r="V36" s="1740" t="s">
        <v>860</v>
      </c>
      <c r="W36" s="1720">
        <f>6000000-6000000</f>
        <v>0</v>
      </c>
      <c r="X36" s="1751">
        <v>0</v>
      </c>
      <c r="Y36" s="1751">
        <v>0</v>
      </c>
      <c r="Z36" s="4215"/>
      <c r="AA36" s="4169"/>
      <c r="AB36" s="4184"/>
      <c r="AC36" s="4184"/>
      <c r="AD36" s="4184"/>
      <c r="AE36" s="4184"/>
      <c r="AF36" s="4184"/>
      <c r="AG36" s="4184"/>
      <c r="AH36" s="4184"/>
      <c r="AI36" s="4184"/>
      <c r="AJ36" s="4184"/>
      <c r="AK36" s="4184"/>
      <c r="AL36" s="4184"/>
      <c r="AM36" s="4184"/>
      <c r="AN36" s="4184"/>
      <c r="AO36" s="4184"/>
      <c r="AP36" s="4184"/>
      <c r="AQ36" s="4184"/>
      <c r="AR36" s="4184"/>
      <c r="AS36" s="4184"/>
      <c r="AT36" s="4184"/>
      <c r="AU36" s="4184"/>
      <c r="AV36" s="4184"/>
      <c r="AW36" s="4184"/>
      <c r="AX36" s="4184"/>
      <c r="AY36" s="4184"/>
      <c r="AZ36" s="4184"/>
      <c r="BA36" s="4178"/>
      <c r="BB36" s="4212"/>
      <c r="BC36" s="4181"/>
      <c r="BD36" s="4184"/>
      <c r="BE36" s="4184"/>
      <c r="BF36" s="4163"/>
      <c r="BG36" s="4184"/>
      <c r="BH36" s="4163"/>
      <c r="BI36" s="4184"/>
      <c r="BJ36" s="4166"/>
    </row>
    <row r="37" spans="1:68" s="1724" customFormat="1" ht="85.5" x14ac:dyDescent="0.2">
      <c r="A37" s="1744"/>
      <c r="B37" s="1745"/>
      <c r="C37" s="1746"/>
      <c r="D37" s="1745"/>
      <c r="E37" s="1745"/>
      <c r="F37" s="1746"/>
      <c r="G37" s="1744"/>
      <c r="H37" s="1745"/>
      <c r="I37" s="1746"/>
      <c r="J37" s="4169"/>
      <c r="K37" s="4172"/>
      <c r="L37" s="4169"/>
      <c r="M37" s="4169"/>
      <c r="N37" s="4169"/>
      <c r="O37" s="4169"/>
      <c r="P37" s="4169"/>
      <c r="Q37" s="4172"/>
      <c r="R37" s="4175"/>
      <c r="S37" s="4188"/>
      <c r="T37" s="4172"/>
      <c r="U37" s="4172"/>
      <c r="V37" s="1740" t="s">
        <v>861</v>
      </c>
      <c r="W37" s="1720">
        <f>6750000-6750000</f>
        <v>0</v>
      </c>
      <c r="X37" s="1751">
        <v>0</v>
      </c>
      <c r="Y37" s="1751">
        <v>0</v>
      </c>
      <c r="Z37" s="4215"/>
      <c r="AA37" s="4169"/>
      <c r="AB37" s="4184"/>
      <c r="AC37" s="4184"/>
      <c r="AD37" s="4184"/>
      <c r="AE37" s="4184"/>
      <c r="AF37" s="4184"/>
      <c r="AG37" s="4184"/>
      <c r="AH37" s="4184"/>
      <c r="AI37" s="4184"/>
      <c r="AJ37" s="4184"/>
      <c r="AK37" s="4184"/>
      <c r="AL37" s="4184"/>
      <c r="AM37" s="4184"/>
      <c r="AN37" s="4184"/>
      <c r="AO37" s="4184"/>
      <c r="AP37" s="4184"/>
      <c r="AQ37" s="4184"/>
      <c r="AR37" s="4184"/>
      <c r="AS37" s="4184"/>
      <c r="AT37" s="4184"/>
      <c r="AU37" s="4184"/>
      <c r="AV37" s="4184"/>
      <c r="AW37" s="4184"/>
      <c r="AX37" s="4184"/>
      <c r="AY37" s="4184"/>
      <c r="AZ37" s="4184"/>
      <c r="BA37" s="4178"/>
      <c r="BB37" s="4212"/>
      <c r="BC37" s="4181"/>
      <c r="BD37" s="4184"/>
      <c r="BE37" s="4184"/>
      <c r="BF37" s="4163"/>
      <c r="BG37" s="4184"/>
      <c r="BH37" s="4163"/>
      <c r="BI37" s="4184"/>
      <c r="BJ37" s="4166"/>
    </row>
    <row r="38" spans="1:68" s="1724" customFormat="1" ht="86.25" customHeight="1" x14ac:dyDescent="0.2">
      <c r="A38" s="1744"/>
      <c r="B38" s="1745"/>
      <c r="C38" s="1746"/>
      <c r="D38" s="1745"/>
      <c r="E38" s="1745"/>
      <c r="F38" s="1746"/>
      <c r="G38" s="1744"/>
      <c r="H38" s="1745"/>
      <c r="I38" s="1746"/>
      <c r="J38" s="4169"/>
      <c r="K38" s="4172"/>
      <c r="L38" s="4169"/>
      <c r="M38" s="4169"/>
      <c r="N38" s="4169"/>
      <c r="O38" s="4169"/>
      <c r="P38" s="4169"/>
      <c r="Q38" s="4172"/>
      <c r="R38" s="4175"/>
      <c r="S38" s="4188"/>
      <c r="T38" s="4172"/>
      <c r="U38" s="4172"/>
      <c r="V38" s="1752" t="s">
        <v>862</v>
      </c>
      <c r="W38" s="1720">
        <v>9750000</v>
      </c>
      <c r="X38" s="1751">
        <v>0</v>
      </c>
      <c r="Y38" s="1751">
        <v>0</v>
      </c>
      <c r="Z38" s="4215"/>
      <c r="AA38" s="4169"/>
      <c r="AB38" s="4184"/>
      <c r="AC38" s="4184"/>
      <c r="AD38" s="4184"/>
      <c r="AE38" s="4184"/>
      <c r="AF38" s="4184"/>
      <c r="AG38" s="4184"/>
      <c r="AH38" s="4184"/>
      <c r="AI38" s="4184"/>
      <c r="AJ38" s="4184"/>
      <c r="AK38" s="4184"/>
      <c r="AL38" s="4184"/>
      <c r="AM38" s="4184"/>
      <c r="AN38" s="4184"/>
      <c r="AO38" s="4184"/>
      <c r="AP38" s="4184"/>
      <c r="AQ38" s="4184"/>
      <c r="AR38" s="4184"/>
      <c r="AS38" s="4184"/>
      <c r="AT38" s="4184"/>
      <c r="AU38" s="4184"/>
      <c r="AV38" s="4184"/>
      <c r="AW38" s="4184"/>
      <c r="AX38" s="4184"/>
      <c r="AY38" s="4184"/>
      <c r="AZ38" s="4184"/>
      <c r="BA38" s="4178"/>
      <c r="BB38" s="4212"/>
      <c r="BC38" s="4181"/>
      <c r="BD38" s="4184"/>
      <c r="BE38" s="4184"/>
      <c r="BF38" s="4163"/>
      <c r="BG38" s="4184"/>
      <c r="BH38" s="4163"/>
      <c r="BI38" s="4184"/>
      <c r="BJ38" s="4166"/>
    </row>
    <row r="39" spans="1:68" s="1724" customFormat="1" ht="99.75" x14ac:dyDescent="0.2">
      <c r="A39" s="1744"/>
      <c r="B39" s="1745"/>
      <c r="C39" s="1746"/>
      <c r="D39" s="1745"/>
      <c r="E39" s="1745"/>
      <c r="F39" s="1746"/>
      <c r="G39" s="1744"/>
      <c r="H39" s="1745"/>
      <c r="I39" s="1746"/>
      <c r="J39" s="4170"/>
      <c r="K39" s="4173"/>
      <c r="L39" s="4170"/>
      <c r="M39" s="4170"/>
      <c r="N39" s="4170"/>
      <c r="O39" s="4169"/>
      <c r="P39" s="4169"/>
      <c r="Q39" s="4172"/>
      <c r="R39" s="4176"/>
      <c r="S39" s="4188"/>
      <c r="T39" s="4172"/>
      <c r="U39" s="4173"/>
      <c r="V39" s="1740" t="s">
        <v>863</v>
      </c>
      <c r="W39" s="1720">
        <f>6000000+10000000</f>
        <v>16000000</v>
      </c>
      <c r="X39" s="1751">
        <v>0</v>
      </c>
      <c r="Y39" s="1751">
        <v>0</v>
      </c>
      <c r="Z39" s="4215"/>
      <c r="AA39" s="4169"/>
      <c r="AB39" s="4184"/>
      <c r="AC39" s="4184"/>
      <c r="AD39" s="4184"/>
      <c r="AE39" s="4184"/>
      <c r="AF39" s="4184"/>
      <c r="AG39" s="4184"/>
      <c r="AH39" s="4184"/>
      <c r="AI39" s="4184"/>
      <c r="AJ39" s="4184"/>
      <c r="AK39" s="4184"/>
      <c r="AL39" s="4184"/>
      <c r="AM39" s="4184"/>
      <c r="AN39" s="4184"/>
      <c r="AO39" s="4184"/>
      <c r="AP39" s="4184"/>
      <c r="AQ39" s="4184"/>
      <c r="AR39" s="4184"/>
      <c r="AS39" s="4184"/>
      <c r="AT39" s="4184"/>
      <c r="AU39" s="4184"/>
      <c r="AV39" s="4184"/>
      <c r="AW39" s="4184"/>
      <c r="AX39" s="4184"/>
      <c r="AY39" s="4184"/>
      <c r="AZ39" s="4184"/>
      <c r="BA39" s="4178"/>
      <c r="BB39" s="4212"/>
      <c r="BC39" s="4181"/>
      <c r="BD39" s="4184"/>
      <c r="BE39" s="4184"/>
      <c r="BF39" s="4163"/>
      <c r="BG39" s="4184"/>
      <c r="BH39" s="4163"/>
      <c r="BI39" s="4184"/>
      <c r="BJ39" s="4166"/>
    </row>
    <row r="40" spans="1:68" s="1724" customFormat="1" ht="71.25" x14ac:dyDescent="0.2">
      <c r="A40" s="1744"/>
      <c r="B40" s="1745"/>
      <c r="C40" s="1746"/>
      <c r="D40" s="1745"/>
      <c r="E40" s="1745"/>
      <c r="F40" s="1746"/>
      <c r="G40" s="1744"/>
      <c r="H40" s="1745"/>
      <c r="I40" s="1746"/>
      <c r="J40" s="4168">
        <v>134</v>
      </c>
      <c r="K40" s="4171" t="s">
        <v>864</v>
      </c>
      <c r="L40" s="4168" t="s">
        <v>324</v>
      </c>
      <c r="M40" s="4168">
        <v>4800</v>
      </c>
      <c r="N40" s="4168">
        <v>270</v>
      </c>
      <c r="O40" s="4169"/>
      <c r="P40" s="4169"/>
      <c r="Q40" s="4172"/>
      <c r="R40" s="4174">
        <f>(W40+W41+W42)/S32</f>
        <v>0.36339165545087482</v>
      </c>
      <c r="S40" s="4188"/>
      <c r="T40" s="4172"/>
      <c r="U40" s="4171" t="s">
        <v>865</v>
      </c>
      <c r="V40" s="1740" t="s">
        <v>866</v>
      </c>
      <c r="W40" s="1720">
        <v>30000000</v>
      </c>
      <c r="X40" s="1751">
        <v>0</v>
      </c>
      <c r="Y40" s="1751">
        <v>0</v>
      </c>
      <c r="Z40" s="4215"/>
      <c r="AA40" s="4169"/>
      <c r="AB40" s="4184"/>
      <c r="AC40" s="4184"/>
      <c r="AD40" s="4184"/>
      <c r="AE40" s="4184"/>
      <c r="AF40" s="4184"/>
      <c r="AG40" s="4184"/>
      <c r="AH40" s="4184"/>
      <c r="AI40" s="4184"/>
      <c r="AJ40" s="4184"/>
      <c r="AK40" s="4184"/>
      <c r="AL40" s="4184"/>
      <c r="AM40" s="4184"/>
      <c r="AN40" s="4184"/>
      <c r="AO40" s="4184"/>
      <c r="AP40" s="4184"/>
      <c r="AQ40" s="4184"/>
      <c r="AR40" s="4184"/>
      <c r="AS40" s="4184"/>
      <c r="AT40" s="4184"/>
      <c r="AU40" s="4184"/>
      <c r="AV40" s="4184"/>
      <c r="AW40" s="4184"/>
      <c r="AX40" s="4184"/>
      <c r="AY40" s="4184"/>
      <c r="AZ40" s="4184"/>
      <c r="BA40" s="4178"/>
      <c r="BB40" s="4212"/>
      <c r="BC40" s="4181"/>
      <c r="BD40" s="4184"/>
      <c r="BE40" s="4184"/>
      <c r="BF40" s="4163"/>
      <c r="BG40" s="4184"/>
      <c r="BH40" s="4163"/>
      <c r="BI40" s="4184"/>
      <c r="BJ40" s="4166"/>
    </row>
    <row r="41" spans="1:68" s="1724" customFormat="1" ht="71.25" x14ac:dyDescent="0.2">
      <c r="A41" s="1744"/>
      <c r="B41" s="1745"/>
      <c r="C41" s="1746"/>
      <c r="D41" s="1745"/>
      <c r="E41" s="1745"/>
      <c r="F41" s="1746"/>
      <c r="G41" s="1744"/>
      <c r="H41" s="1745"/>
      <c r="I41" s="1746"/>
      <c r="J41" s="4169"/>
      <c r="K41" s="4172"/>
      <c r="L41" s="4169"/>
      <c r="M41" s="4169"/>
      <c r="N41" s="4169"/>
      <c r="O41" s="4169"/>
      <c r="P41" s="4169"/>
      <c r="Q41" s="4172"/>
      <c r="R41" s="4175"/>
      <c r="S41" s="4188"/>
      <c r="T41" s="4172"/>
      <c r="U41" s="4172"/>
      <c r="V41" s="1740" t="s">
        <v>867</v>
      </c>
      <c r="W41" s="1720">
        <f>6350000+7650000</f>
        <v>14000000</v>
      </c>
      <c r="X41" s="1751">
        <v>0</v>
      </c>
      <c r="Y41" s="1751">
        <v>0</v>
      </c>
      <c r="Z41" s="4215"/>
      <c r="AA41" s="4169"/>
      <c r="AB41" s="4184"/>
      <c r="AC41" s="4184"/>
      <c r="AD41" s="4184"/>
      <c r="AE41" s="4184"/>
      <c r="AF41" s="4184"/>
      <c r="AG41" s="4184"/>
      <c r="AH41" s="4184"/>
      <c r="AI41" s="4184"/>
      <c r="AJ41" s="4184"/>
      <c r="AK41" s="4184"/>
      <c r="AL41" s="4184"/>
      <c r="AM41" s="4184"/>
      <c r="AN41" s="4184"/>
      <c r="AO41" s="4184"/>
      <c r="AP41" s="4184"/>
      <c r="AQ41" s="4184"/>
      <c r="AR41" s="4184"/>
      <c r="AS41" s="4184"/>
      <c r="AT41" s="4184"/>
      <c r="AU41" s="4184"/>
      <c r="AV41" s="4184"/>
      <c r="AW41" s="4184"/>
      <c r="AX41" s="4184"/>
      <c r="AY41" s="4184"/>
      <c r="AZ41" s="4184"/>
      <c r="BA41" s="4178"/>
      <c r="BB41" s="4212"/>
      <c r="BC41" s="4181"/>
      <c r="BD41" s="4184"/>
      <c r="BE41" s="4184"/>
      <c r="BF41" s="4163"/>
      <c r="BG41" s="4184"/>
      <c r="BH41" s="4163"/>
      <c r="BI41" s="4184"/>
      <c r="BJ41" s="4166"/>
    </row>
    <row r="42" spans="1:68" s="1724" customFormat="1" ht="57" x14ac:dyDescent="0.2">
      <c r="A42" s="1744"/>
      <c r="B42" s="1745"/>
      <c r="C42" s="1746"/>
      <c r="D42" s="1745"/>
      <c r="E42" s="1745"/>
      <c r="F42" s="1746"/>
      <c r="G42" s="1744"/>
      <c r="H42" s="1745"/>
      <c r="I42" s="1746"/>
      <c r="J42" s="4170"/>
      <c r="K42" s="4173"/>
      <c r="L42" s="4170"/>
      <c r="M42" s="4170"/>
      <c r="N42" s="4170"/>
      <c r="O42" s="4169"/>
      <c r="P42" s="4169"/>
      <c r="Q42" s="4172"/>
      <c r="R42" s="4176"/>
      <c r="S42" s="4188"/>
      <c r="T42" s="4172"/>
      <c r="U42" s="4172"/>
      <c r="V42" s="1740" t="s">
        <v>868</v>
      </c>
      <c r="W42" s="1720">
        <v>10000000</v>
      </c>
      <c r="X42" s="1751">
        <v>0</v>
      </c>
      <c r="Y42" s="1751">
        <v>0</v>
      </c>
      <c r="Z42" s="4215"/>
      <c r="AA42" s="4169"/>
      <c r="AB42" s="4184"/>
      <c r="AC42" s="4184"/>
      <c r="AD42" s="4184"/>
      <c r="AE42" s="4184"/>
      <c r="AF42" s="4184"/>
      <c r="AG42" s="4184"/>
      <c r="AH42" s="4184"/>
      <c r="AI42" s="4184"/>
      <c r="AJ42" s="4184"/>
      <c r="AK42" s="4184"/>
      <c r="AL42" s="4184"/>
      <c r="AM42" s="4184"/>
      <c r="AN42" s="4184"/>
      <c r="AO42" s="4184"/>
      <c r="AP42" s="4184"/>
      <c r="AQ42" s="4184"/>
      <c r="AR42" s="4184"/>
      <c r="AS42" s="4184"/>
      <c r="AT42" s="4184"/>
      <c r="AU42" s="4184"/>
      <c r="AV42" s="4184"/>
      <c r="AW42" s="4184"/>
      <c r="AX42" s="4184"/>
      <c r="AY42" s="4184"/>
      <c r="AZ42" s="4184"/>
      <c r="BA42" s="4178"/>
      <c r="BB42" s="4212"/>
      <c r="BC42" s="4181"/>
      <c r="BD42" s="4184"/>
      <c r="BE42" s="4184"/>
      <c r="BF42" s="4163"/>
      <c r="BG42" s="4184"/>
      <c r="BH42" s="4163"/>
      <c r="BI42" s="4184"/>
      <c r="BJ42" s="4166"/>
    </row>
    <row r="43" spans="1:68" s="1724" customFormat="1" ht="99.75" x14ac:dyDescent="0.2">
      <c r="A43" s="1744"/>
      <c r="B43" s="1745"/>
      <c r="C43" s="1746"/>
      <c r="D43" s="1745"/>
      <c r="E43" s="1745"/>
      <c r="F43" s="1746"/>
      <c r="G43" s="1744"/>
      <c r="H43" s="1745"/>
      <c r="I43" s="1746"/>
      <c r="J43" s="4168">
        <v>135</v>
      </c>
      <c r="K43" s="4171" t="s">
        <v>869</v>
      </c>
      <c r="L43" s="4168" t="s">
        <v>324</v>
      </c>
      <c r="M43" s="4168">
        <v>12</v>
      </c>
      <c r="N43" s="4168">
        <v>1</v>
      </c>
      <c r="O43" s="4169"/>
      <c r="P43" s="4169"/>
      <c r="Q43" s="4172"/>
      <c r="R43" s="4174">
        <f>(W43+W44+W45)/S32</f>
        <v>0.17328398384925975</v>
      </c>
      <c r="S43" s="4188"/>
      <c r="T43" s="4172"/>
      <c r="U43" s="4172"/>
      <c r="V43" s="1740" t="s">
        <v>870</v>
      </c>
      <c r="W43" s="1725">
        <v>10000000</v>
      </c>
      <c r="X43" s="1753">
        <v>10000000</v>
      </c>
      <c r="Y43" s="1751">
        <v>0</v>
      </c>
      <c r="Z43" s="4215"/>
      <c r="AA43" s="4169"/>
      <c r="AB43" s="4184"/>
      <c r="AC43" s="4184"/>
      <c r="AD43" s="4184"/>
      <c r="AE43" s="4184"/>
      <c r="AF43" s="4184"/>
      <c r="AG43" s="4184"/>
      <c r="AH43" s="4184"/>
      <c r="AI43" s="4184"/>
      <c r="AJ43" s="4184"/>
      <c r="AK43" s="4184"/>
      <c r="AL43" s="4184"/>
      <c r="AM43" s="4184"/>
      <c r="AN43" s="4184"/>
      <c r="AO43" s="4184"/>
      <c r="AP43" s="4184"/>
      <c r="AQ43" s="4184"/>
      <c r="AR43" s="4184"/>
      <c r="AS43" s="4184"/>
      <c r="AT43" s="4184"/>
      <c r="AU43" s="4184"/>
      <c r="AV43" s="4184"/>
      <c r="AW43" s="4184"/>
      <c r="AX43" s="4184"/>
      <c r="AY43" s="4184"/>
      <c r="AZ43" s="4184"/>
      <c r="BA43" s="4178"/>
      <c r="BB43" s="4212"/>
      <c r="BC43" s="4181"/>
      <c r="BD43" s="4184"/>
      <c r="BE43" s="4184"/>
      <c r="BF43" s="4163"/>
      <c r="BG43" s="4184"/>
      <c r="BH43" s="4163"/>
      <c r="BI43" s="4184"/>
      <c r="BJ43" s="4166"/>
    </row>
    <row r="44" spans="1:68" s="1724" customFormat="1" ht="85.5" x14ac:dyDescent="0.2">
      <c r="A44" s="1744"/>
      <c r="B44" s="1745"/>
      <c r="C44" s="1746"/>
      <c r="D44" s="1745"/>
      <c r="E44" s="1745"/>
      <c r="F44" s="1746"/>
      <c r="G44" s="1744"/>
      <c r="H44" s="1745"/>
      <c r="I44" s="1746"/>
      <c r="J44" s="4169"/>
      <c r="K44" s="4172"/>
      <c r="L44" s="4169"/>
      <c r="M44" s="4169"/>
      <c r="N44" s="4169"/>
      <c r="O44" s="4169"/>
      <c r="P44" s="4169"/>
      <c r="Q44" s="4172"/>
      <c r="R44" s="4175"/>
      <c r="S44" s="4188"/>
      <c r="T44" s="4172"/>
      <c r="U44" s="4172"/>
      <c r="V44" s="1740" t="s">
        <v>871</v>
      </c>
      <c r="W44" s="1725">
        <v>9000000</v>
      </c>
      <c r="X44" s="1753">
        <v>3200000</v>
      </c>
      <c r="Y44" s="1751">
        <v>0</v>
      </c>
      <c r="Z44" s="4215"/>
      <c r="AA44" s="4169"/>
      <c r="AB44" s="4184"/>
      <c r="AC44" s="4184"/>
      <c r="AD44" s="4184"/>
      <c r="AE44" s="4184"/>
      <c r="AF44" s="4184"/>
      <c r="AG44" s="4184"/>
      <c r="AH44" s="4184"/>
      <c r="AI44" s="4184"/>
      <c r="AJ44" s="4184"/>
      <c r="AK44" s="4184"/>
      <c r="AL44" s="4184"/>
      <c r="AM44" s="4184"/>
      <c r="AN44" s="4184"/>
      <c r="AO44" s="4184"/>
      <c r="AP44" s="4184"/>
      <c r="AQ44" s="4184"/>
      <c r="AR44" s="4184"/>
      <c r="AS44" s="4184"/>
      <c r="AT44" s="4184"/>
      <c r="AU44" s="4184"/>
      <c r="AV44" s="4184"/>
      <c r="AW44" s="4184"/>
      <c r="AX44" s="4184"/>
      <c r="AY44" s="4184"/>
      <c r="AZ44" s="4184"/>
      <c r="BA44" s="4178"/>
      <c r="BB44" s="4212"/>
      <c r="BC44" s="4181"/>
      <c r="BD44" s="4184"/>
      <c r="BE44" s="4184"/>
      <c r="BF44" s="4163"/>
      <c r="BG44" s="4184"/>
      <c r="BH44" s="4163"/>
      <c r="BI44" s="4184"/>
      <c r="BJ44" s="4166"/>
    </row>
    <row r="45" spans="1:68" s="1724" customFormat="1" ht="99.75" x14ac:dyDescent="0.2">
      <c r="A45" s="1744"/>
      <c r="B45" s="1745"/>
      <c r="C45" s="1746"/>
      <c r="D45" s="1745"/>
      <c r="E45" s="1745"/>
      <c r="F45" s="1746"/>
      <c r="G45" s="1754"/>
      <c r="H45" s="1755"/>
      <c r="I45" s="1756"/>
      <c r="J45" s="4170"/>
      <c r="K45" s="4173"/>
      <c r="L45" s="4170"/>
      <c r="M45" s="4170"/>
      <c r="N45" s="4170"/>
      <c r="O45" s="4170"/>
      <c r="P45" s="4170"/>
      <c r="Q45" s="4173"/>
      <c r="R45" s="4176"/>
      <c r="S45" s="4189"/>
      <c r="T45" s="4173"/>
      <c r="U45" s="4173"/>
      <c r="V45" s="1740" t="s">
        <v>872</v>
      </c>
      <c r="W45" s="1725">
        <v>6750000</v>
      </c>
      <c r="X45" s="1751">
        <v>0</v>
      </c>
      <c r="Y45" s="1751">
        <v>0</v>
      </c>
      <c r="Z45" s="4216"/>
      <c r="AA45" s="4170"/>
      <c r="AB45" s="4185"/>
      <c r="AC45" s="4185"/>
      <c r="AD45" s="4185"/>
      <c r="AE45" s="4185"/>
      <c r="AF45" s="4185"/>
      <c r="AG45" s="4185"/>
      <c r="AH45" s="4185"/>
      <c r="AI45" s="4185"/>
      <c r="AJ45" s="4185"/>
      <c r="AK45" s="4185"/>
      <c r="AL45" s="4185"/>
      <c r="AM45" s="4185"/>
      <c r="AN45" s="4185"/>
      <c r="AO45" s="4185"/>
      <c r="AP45" s="4185"/>
      <c r="AQ45" s="4185"/>
      <c r="AR45" s="4185"/>
      <c r="AS45" s="4185"/>
      <c r="AT45" s="4185"/>
      <c r="AU45" s="4185"/>
      <c r="AV45" s="4185"/>
      <c r="AW45" s="4185"/>
      <c r="AX45" s="4185"/>
      <c r="AY45" s="4185"/>
      <c r="AZ45" s="4185"/>
      <c r="BA45" s="4179"/>
      <c r="BB45" s="4213"/>
      <c r="BC45" s="4182"/>
      <c r="BD45" s="4185"/>
      <c r="BE45" s="4185"/>
      <c r="BF45" s="4164"/>
      <c r="BG45" s="4185"/>
      <c r="BH45" s="4164"/>
      <c r="BI45" s="4185"/>
      <c r="BJ45" s="4167"/>
    </row>
    <row r="46" spans="1:68" s="1743" customFormat="1" ht="33" customHeight="1" x14ac:dyDescent="0.2">
      <c r="A46" s="1697"/>
      <c r="B46" s="1698"/>
      <c r="C46" s="1699"/>
      <c r="D46" s="1698"/>
      <c r="E46" s="1698"/>
      <c r="F46" s="1699"/>
      <c r="G46" s="1737">
        <v>38</v>
      </c>
      <c r="H46" s="1703" t="s">
        <v>873</v>
      </c>
      <c r="I46" s="1703"/>
      <c r="J46" s="1703"/>
      <c r="K46" s="1704"/>
      <c r="L46" s="1703"/>
      <c r="M46" s="1703"/>
      <c r="N46" s="1703"/>
      <c r="O46" s="1705"/>
      <c r="P46" s="1703"/>
      <c r="Q46" s="1704"/>
      <c r="R46" s="1703"/>
      <c r="S46" s="1703"/>
      <c r="T46" s="1703"/>
      <c r="U46" s="1704"/>
      <c r="V46" s="1704"/>
      <c r="W46" s="1706"/>
      <c r="X46" s="1742"/>
      <c r="Y46" s="1742"/>
      <c r="Z46" s="1738"/>
      <c r="AA46" s="1705"/>
      <c r="AB46" s="1705"/>
      <c r="AC46" s="1705"/>
      <c r="AD46" s="1705"/>
      <c r="AE46" s="1705"/>
      <c r="AF46" s="1705"/>
      <c r="AG46" s="1705"/>
      <c r="AH46" s="1705"/>
      <c r="AI46" s="1705"/>
      <c r="AJ46" s="1705"/>
      <c r="AK46" s="1705"/>
      <c r="AL46" s="1705"/>
      <c r="AM46" s="1705"/>
      <c r="AN46" s="1705"/>
      <c r="AO46" s="1705"/>
      <c r="AP46" s="1705"/>
      <c r="AQ46" s="1705"/>
      <c r="AR46" s="1705"/>
      <c r="AS46" s="1705"/>
      <c r="AT46" s="1705"/>
      <c r="AU46" s="1705"/>
      <c r="AV46" s="1705"/>
      <c r="AW46" s="1705"/>
      <c r="AX46" s="1705"/>
      <c r="AY46" s="1705"/>
      <c r="AZ46" s="1705"/>
      <c r="BA46" s="1705"/>
      <c r="BB46" s="1705"/>
      <c r="BC46" s="1705"/>
      <c r="BD46" s="1705"/>
      <c r="BE46" s="1705"/>
      <c r="BF46" s="1703"/>
      <c r="BG46" s="1703"/>
      <c r="BH46" s="1703"/>
      <c r="BI46" s="1703"/>
      <c r="BJ46" s="1739"/>
      <c r="BK46" s="1687"/>
      <c r="BL46" s="1687"/>
      <c r="BM46" s="1687"/>
      <c r="BN46" s="1687"/>
      <c r="BO46" s="1687"/>
      <c r="BP46" s="1687"/>
    </row>
    <row r="47" spans="1:68" s="1724" customFormat="1" ht="124.5" customHeight="1" x14ac:dyDescent="0.2">
      <c r="A47" s="1709"/>
      <c r="B47" s="1710"/>
      <c r="C47" s="1711"/>
      <c r="D47" s="1710"/>
      <c r="E47" s="1710"/>
      <c r="F47" s="1711"/>
      <c r="G47" s="1712"/>
      <c r="H47" s="1713"/>
      <c r="I47" s="1714"/>
      <c r="J47" s="1715">
        <v>136</v>
      </c>
      <c r="K47" s="1716" t="s">
        <v>874</v>
      </c>
      <c r="L47" s="1757" t="s">
        <v>324</v>
      </c>
      <c r="M47" s="1715">
        <v>12</v>
      </c>
      <c r="N47" s="1715">
        <v>1</v>
      </c>
      <c r="O47" s="4168" t="s">
        <v>875</v>
      </c>
      <c r="P47" s="4168">
        <v>135</v>
      </c>
      <c r="Q47" s="4171" t="s">
        <v>876</v>
      </c>
      <c r="R47" s="1758">
        <f>W47/S47</f>
        <v>0.45436022819885902</v>
      </c>
      <c r="S47" s="4187">
        <f>SUM(W47:W51)</f>
        <v>122700000</v>
      </c>
      <c r="T47" s="4171" t="s">
        <v>877</v>
      </c>
      <c r="U47" s="1716" t="s">
        <v>878</v>
      </c>
      <c r="V47" s="1716" t="s">
        <v>879</v>
      </c>
      <c r="W47" s="1720">
        <f>25750000+30000000</f>
        <v>55750000</v>
      </c>
      <c r="X47" s="1722">
        <v>0</v>
      </c>
      <c r="Y47" s="1722">
        <v>0</v>
      </c>
      <c r="Z47" s="4214">
        <v>61</v>
      </c>
      <c r="AA47" s="4168" t="s">
        <v>820</v>
      </c>
      <c r="AB47" s="4280">
        <f t="shared" ref="AB47:AX47" si="0">AB27</f>
        <v>64149</v>
      </c>
      <c r="AC47" s="4280">
        <v>0</v>
      </c>
      <c r="AD47" s="4280">
        <f t="shared" si="0"/>
        <v>72224</v>
      </c>
      <c r="AE47" s="4280">
        <v>0</v>
      </c>
      <c r="AF47" s="4280">
        <f t="shared" si="0"/>
        <v>27477</v>
      </c>
      <c r="AG47" s="4280">
        <v>0</v>
      </c>
      <c r="AH47" s="4280">
        <f t="shared" si="0"/>
        <v>86843</v>
      </c>
      <c r="AI47" s="4280">
        <v>0</v>
      </c>
      <c r="AJ47" s="4280">
        <f t="shared" si="0"/>
        <v>236429</v>
      </c>
      <c r="AK47" s="4280">
        <v>0</v>
      </c>
      <c r="AL47" s="4280">
        <f t="shared" si="0"/>
        <v>81384</v>
      </c>
      <c r="AM47" s="4280">
        <v>0</v>
      </c>
      <c r="AN47" s="4280">
        <f t="shared" si="0"/>
        <v>13208</v>
      </c>
      <c r="AO47" s="4280">
        <v>0</v>
      </c>
      <c r="AP47" s="4280">
        <f t="shared" si="0"/>
        <v>2145</v>
      </c>
      <c r="AQ47" s="4280">
        <v>0</v>
      </c>
      <c r="AR47" s="4280">
        <f t="shared" si="0"/>
        <v>413</v>
      </c>
      <c r="AS47" s="4280">
        <v>0</v>
      </c>
      <c r="AT47" s="4280">
        <f t="shared" si="0"/>
        <v>520</v>
      </c>
      <c r="AU47" s="4280">
        <v>0</v>
      </c>
      <c r="AV47" s="4280">
        <f t="shared" si="0"/>
        <v>16897</v>
      </c>
      <c r="AW47" s="4280">
        <v>0</v>
      </c>
      <c r="AX47" s="4280">
        <f t="shared" si="0"/>
        <v>75612</v>
      </c>
      <c r="AY47" s="4280">
        <v>0</v>
      </c>
      <c r="AZ47" s="4280">
        <v>0</v>
      </c>
      <c r="BA47" s="4296">
        <v>0</v>
      </c>
      <c r="BB47" s="4296">
        <v>0</v>
      </c>
      <c r="BC47" s="4180">
        <v>0</v>
      </c>
      <c r="BD47" s="4280" t="s">
        <v>821</v>
      </c>
      <c r="BE47" s="4280" t="s">
        <v>822</v>
      </c>
      <c r="BF47" s="4162">
        <v>42948</v>
      </c>
      <c r="BG47" s="4162">
        <v>42815</v>
      </c>
      <c r="BH47" s="4162">
        <v>43100</v>
      </c>
      <c r="BI47" s="4162">
        <v>43091</v>
      </c>
      <c r="BJ47" s="4165" t="s">
        <v>880</v>
      </c>
      <c r="BK47" s="1759"/>
    </row>
    <row r="48" spans="1:68" s="1724" customFormat="1" ht="165" customHeight="1" x14ac:dyDescent="0.2">
      <c r="A48" s="1709"/>
      <c r="B48" s="1710"/>
      <c r="C48" s="1711"/>
      <c r="D48" s="1710"/>
      <c r="E48" s="1710"/>
      <c r="F48" s="1711"/>
      <c r="G48" s="1709"/>
      <c r="H48" s="1710"/>
      <c r="I48" s="1711"/>
      <c r="J48" s="4168">
        <v>137</v>
      </c>
      <c r="K48" s="4171" t="s">
        <v>881</v>
      </c>
      <c r="L48" s="4168" t="s">
        <v>324</v>
      </c>
      <c r="M48" s="4168">
        <v>12</v>
      </c>
      <c r="N48" s="4168">
        <v>1</v>
      </c>
      <c r="O48" s="4169"/>
      <c r="P48" s="4169"/>
      <c r="Q48" s="4172"/>
      <c r="R48" s="4174">
        <f>(W48+W49)/S47</f>
        <v>0.33577832110839445</v>
      </c>
      <c r="S48" s="4188"/>
      <c r="T48" s="4172"/>
      <c r="U48" s="4171" t="s">
        <v>882</v>
      </c>
      <c r="V48" s="1760" t="s">
        <v>883</v>
      </c>
      <c r="W48" s="1725">
        <v>20000000</v>
      </c>
      <c r="X48" s="1722">
        <v>0</v>
      </c>
      <c r="Y48" s="1722">
        <v>0</v>
      </c>
      <c r="Z48" s="4215"/>
      <c r="AA48" s="4169"/>
      <c r="AB48" s="4281"/>
      <c r="AC48" s="4281"/>
      <c r="AD48" s="4281"/>
      <c r="AE48" s="4281"/>
      <c r="AF48" s="4281"/>
      <c r="AG48" s="4281"/>
      <c r="AH48" s="4281"/>
      <c r="AI48" s="4281"/>
      <c r="AJ48" s="4281"/>
      <c r="AK48" s="4281"/>
      <c r="AL48" s="4281"/>
      <c r="AM48" s="4281"/>
      <c r="AN48" s="4281"/>
      <c r="AO48" s="4281"/>
      <c r="AP48" s="4281"/>
      <c r="AQ48" s="4281"/>
      <c r="AR48" s="4281"/>
      <c r="AS48" s="4281"/>
      <c r="AT48" s="4281"/>
      <c r="AU48" s="4281"/>
      <c r="AV48" s="4281"/>
      <c r="AW48" s="4281"/>
      <c r="AX48" s="4281"/>
      <c r="AY48" s="4281"/>
      <c r="AZ48" s="4281"/>
      <c r="BA48" s="4297"/>
      <c r="BB48" s="4297"/>
      <c r="BC48" s="4181"/>
      <c r="BD48" s="4281"/>
      <c r="BE48" s="4281"/>
      <c r="BF48" s="4163"/>
      <c r="BG48" s="4163"/>
      <c r="BH48" s="4163"/>
      <c r="BI48" s="4163"/>
      <c r="BJ48" s="4166"/>
    </row>
    <row r="49" spans="1:356" s="1724" customFormat="1" ht="155.25" customHeight="1" x14ac:dyDescent="0.2">
      <c r="A49" s="1709"/>
      <c r="B49" s="1710"/>
      <c r="C49" s="1711"/>
      <c r="D49" s="1710"/>
      <c r="E49" s="1710"/>
      <c r="F49" s="1711"/>
      <c r="G49" s="1709"/>
      <c r="H49" s="1710"/>
      <c r="I49" s="1711"/>
      <c r="J49" s="4170"/>
      <c r="K49" s="4173"/>
      <c r="L49" s="4170"/>
      <c r="M49" s="4170"/>
      <c r="N49" s="4170"/>
      <c r="O49" s="4169"/>
      <c r="P49" s="4169"/>
      <c r="Q49" s="4172"/>
      <c r="R49" s="4176"/>
      <c r="S49" s="4188"/>
      <c r="T49" s="4172"/>
      <c r="U49" s="4173"/>
      <c r="V49" s="1760" t="s">
        <v>884</v>
      </c>
      <c r="W49" s="1725">
        <v>21200000</v>
      </c>
      <c r="X49" s="1722">
        <v>0</v>
      </c>
      <c r="Y49" s="1722">
        <v>0</v>
      </c>
      <c r="Z49" s="4215"/>
      <c r="AA49" s="4169"/>
      <c r="AB49" s="4281"/>
      <c r="AC49" s="4281"/>
      <c r="AD49" s="4281"/>
      <c r="AE49" s="4281"/>
      <c r="AF49" s="4281"/>
      <c r="AG49" s="4281"/>
      <c r="AH49" s="4281"/>
      <c r="AI49" s="4281"/>
      <c r="AJ49" s="4281"/>
      <c r="AK49" s="4281"/>
      <c r="AL49" s="4281"/>
      <c r="AM49" s="4281"/>
      <c r="AN49" s="4281"/>
      <c r="AO49" s="4281"/>
      <c r="AP49" s="4281"/>
      <c r="AQ49" s="4281"/>
      <c r="AR49" s="4281"/>
      <c r="AS49" s="4281"/>
      <c r="AT49" s="4281"/>
      <c r="AU49" s="4281"/>
      <c r="AV49" s="4281"/>
      <c r="AW49" s="4281"/>
      <c r="AX49" s="4281"/>
      <c r="AY49" s="4281"/>
      <c r="AZ49" s="4281"/>
      <c r="BA49" s="4297"/>
      <c r="BB49" s="4297"/>
      <c r="BC49" s="4181"/>
      <c r="BD49" s="4281"/>
      <c r="BE49" s="4281"/>
      <c r="BF49" s="4163"/>
      <c r="BG49" s="4163"/>
      <c r="BH49" s="4163"/>
      <c r="BI49" s="4163"/>
      <c r="BJ49" s="4166"/>
    </row>
    <row r="50" spans="1:356" s="1724" customFormat="1" ht="97.5" customHeight="1" x14ac:dyDescent="0.2">
      <c r="A50" s="1709"/>
      <c r="B50" s="1710"/>
      <c r="C50" s="1711"/>
      <c r="D50" s="1710"/>
      <c r="E50" s="1710"/>
      <c r="F50" s="1711"/>
      <c r="G50" s="1709"/>
      <c r="H50" s="1710"/>
      <c r="I50" s="1711"/>
      <c r="J50" s="4168">
        <v>138</v>
      </c>
      <c r="K50" s="4171" t="s">
        <v>885</v>
      </c>
      <c r="L50" s="4168" t="s">
        <v>324</v>
      </c>
      <c r="M50" s="4168">
        <v>12</v>
      </c>
      <c r="N50" s="4168">
        <v>1</v>
      </c>
      <c r="O50" s="4169"/>
      <c r="P50" s="4169"/>
      <c r="Q50" s="4172"/>
      <c r="R50" s="4174">
        <f>(W50+W51)/S47</f>
        <v>0.20986145069274653</v>
      </c>
      <c r="S50" s="4188"/>
      <c r="T50" s="4172"/>
      <c r="U50" s="4171" t="s">
        <v>886</v>
      </c>
      <c r="V50" s="1760" t="s">
        <v>887</v>
      </c>
      <c r="W50" s="1725">
        <v>12875000</v>
      </c>
      <c r="X50" s="1722">
        <v>0</v>
      </c>
      <c r="Y50" s="1722">
        <v>0</v>
      </c>
      <c r="Z50" s="4215"/>
      <c r="AA50" s="4169"/>
      <c r="AB50" s="4281"/>
      <c r="AC50" s="4281"/>
      <c r="AD50" s="4281"/>
      <c r="AE50" s="4281"/>
      <c r="AF50" s="4281"/>
      <c r="AG50" s="4281"/>
      <c r="AH50" s="4281"/>
      <c r="AI50" s="4281"/>
      <c r="AJ50" s="4281"/>
      <c r="AK50" s="4281"/>
      <c r="AL50" s="4281"/>
      <c r="AM50" s="4281"/>
      <c r="AN50" s="4281"/>
      <c r="AO50" s="4281"/>
      <c r="AP50" s="4281"/>
      <c r="AQ50" s="4281"/>
      <c r="AR50" s="4281"/>
      <c r="AS50" s="4281"/>
      <c r="AT50" s="4281"/>
      <c r="AU50" s="4281"/>
      <c r="AV50" s="4281"/>
      <c r="AW50" s="4281"/>
      <c r="AX50" s="4281"/>
      <c r="AY50" s="4281"/>
      <c r="AZ50" s="4281"/>
      <c r="BA50" s="4297"/>
      <c r="BB50" s="4297"/>
      <c r="BC50" s="4181"/>
      <c r="BD50" s="4281"/>
      <c r="BE50" s="4281"/>
      <c r="BF50" s="4163"/>
      <c r="BG50" s="4163"/>
      <c r="BH50" s="4163"/>
      <c r="BI50" s="4163"/>
      <c r="BJ50" s="4166"/>
    </row>
    <row r="51" spans="1:356" s="1761" customFormat="1" ht="74.25" customHeight="1" x14ac:dyDescent="0.2">
      <c r="A51" s="1709"/>
      <c r="B51" s="1710"/>
      <c r="C51" s="1711"/>
      <c r="D51" s="1710"/>
      <c r="E51" s="1710"/>
      <c r="F51" s="1711"/>
      <c r="G51" s="1729"/>
      <c r="H51" s="1727"/>
      <c r="I51" s="1728"/>
      <c r="J51" s="4170"/>
      <c r="K51" s="4173"/>
      <c r="L51" s="4170"/>
      <c r="M51" s="4170"/>
      <c r="N51" s="4170"/>
      <c r="O51" s="4169"/>
      <c r="P51" s="4170"/>
      <c r="Q51" s="4173"/>
      <c r="R51" s="4176"/>
      <c r="S51" s="4189"/>
      <c r="T51" s="4173"/>
      <c r="U51" s="4173"/>
      <c r="V51" s="1760" t="s">
        <v>888</v>
      </c>
      <c r="W51" s="1725">
        <v>12875000</v>
      </c>
      <c r="X51" s="1722">
        <v>0</v>
      </c>
      <c r="Y51" s="1722">
        <v>0</v>
      </c>
      <c r="Z51" s="4216"/>
      <c r="AA51" s="4170"/>
      <c r="AB51" s="4282"/>
      <c r="AC51" s="4282"/>
      <c r="AD51" s="4282"/>
      <c r="AE51" s="4282"/>
      <c r="AF51" s="4282"/>
      <c r="AG51" s="4282"/>
      <c r="AH51" s="4282"/>
      <c r="AI51" s="4282"/>
      <c r="AJ51" s="4282"/>
      <c r="AK51" s="4282"/>
      <c r="AL51" s="4282"/>
      <c r="AM51" s="4282"/>
      <c r="AN51" s="4282"/>
      <c r="AO51" s="4282"/>
      <c r="AP51" s="4282"/>
      <c r="AQ51" s="4282"/>
      <c r="AR51" s="4282"/>
      <c r="AS51" s="4282"/>
      <c r="AT51" s="4282"/>
      <c r="AU51" s="4282"/>
      <c r="AV51" s="4282"/>
      <c r="AW51" s="4282"/>
      <c r="AX51" s="4282"/>
      <c r="AY51" s="4282"/>
      <c r="AZ51" s="4282"/>
      <c r="BA51" s="4298"/>
      <c r="BB51" s="4298"/>
      <c r="BC51" s="4182"/>
      <c r="BD51" s="4282"/>
      <c r="BE51" s="4282"/>
      <c r="BF51" s="4164"/>
      <c r="BG51" s="4164"/>
      <c r="BH51" s="4164"/>
      <c r="BI51" s="4164"/>
      <c r="BJ51" s="4167"/>
      <c r="BK51" s="1724"/>
      <c r="BL51" s="1724"/>
      <c r="BM51" s="1724"/>
      <c r="BN51" s="1724"/>
      <c r="BO51" s="1724"/>
      <c r="BP51" s="1724"/>
      <c r="BQ51" s="1724"/>
      <c r="BR51" s="1724"/>
      <c r="BS51" s="1724"/>
      <c r="BT51" s="1724"/>
      <c r="BU51" s="1724"/>
      <c r="BV51" s="1724"/>
      <c r="BW51" s="1724"/>
      <c r="BX51" s="1724"/>
      <c r="BY51" s="1724"/>
      <c r="BZ51" s="1724"/>
      <c r="CA51" s="1724"/>
      <c r="CB51" s="1724"/>
      <c r="CC51" s="1724"/>
      <c r="CD51" s="1724"/>
      <c r="CE51" s="1724"/>
      <c r="CF51" s="1724"/>
      <c r="CG51" s="1724"/>
      <c r="CH51" s="1724"/>
      <c r="CI51" s="1724"/>
      <c r="CJ51" s="1724"/>
      <c r="CK51" s="1724"/>
      <c r="CL51" s="1724"/>
      <c r="CM51" s="1724"/>
      <c r="CN51" s="1724"/>
      <c r="CO51" s="1724"/>
      <c r="CP51" s="1724"/>
      <c r="CQ51" s="1724"/>
      <c r="CR51" s="1724"/>
      <c r="CS51" s="1724"/>
      <c r="CT51" s="1724"/>
      <c r="CU51" s="1724"/>
      <c r="CV51" s="1724"/>
      <c r="CW51" s="1724"/>
      <c r="CX51" s="1724"/>
      <c r="CY51" s="1724"/>
      <c r="CZ51" s="1724"/>
      <c r="DA51" s="1724"/>
      <c r="DB51" s="1724"/>
      <c r="DC51" s="1724"/>
      <c r="DD51" s="1724"/>
      <c r="DE51" s="1724"/>
      <c r="DF51" s="1724"/>
      <c r="DG51" s="1724"/>
      <c r="DH51" s="1724"/>
      <c r="DI51" s="1724"/>
      <c r="DJ51" s="1724"/>
      <c r="DK51" s="1724"/>
      <c r="DL51" s="1724"/>
      <c r="DM51" s="1724"/>
      <c r="DN51" s="1724"/>
      <c r="DO51" s="1724"/>
      <c r="DP51" s="1724"/>
      <c r="DQ51" s="1724"/>
      <c r="DR51" s="1724"/>
      <c r="DS51" s="1724"/>
      <c r="DT51" s="1724"/>
      <c r="DU51" s="1724"/>
      <c r="DV51" s="1724"/>
      <c r="DW51" s="1724"/>
      <c r="DX51" s="1724"/>
      <c r="DY51" s="1724"/>
      <c r="DZ51" s="1724"/>
      <c r="EA51" s="1724"/>
      <c r="EB51" s="1724"/>
      <c r="EC51" s="1724"/>
      <c r="ED51" s="1724"/>
      <c r="EE51" s="1724"/>
      <c r="EF51" s="1724"/>
      <c r="EG51" s="1724"/>
      <c r="EH51" s="1724"/>
      <c r="EI51" s="1724"/>
      <c r="EJ51" s="1724"/>
      <c r="EK51" s="1724"/>
      <c r="EL51" s="1724"/>
      <c r="EM51" s="1724"/>
      <c r="EN51" s="1724"/>
      <c r="EO51" s="1724"/>
      <c r="EP51" s="1724"/>
      <c r="EQ51" s="1724"/>
      <c r="ER51" s="1724"/>
      <c r="ES51" s="1724"/>
      <c r="ET51" s="1724"/>
      <c r="EU51" s="1724"/>
      <c r="EV51" s="1724"/>
      <c r="EW51" s="1724"/>
      <c r="EX51" s="1724"/>
      <c r="EY51" s="1724"/>
      <c r="EZ51" s="1724"/>
      <c r="FA51" s="1724"/>
      <c r="FB51" s="1724"/>
      <c r="FC51" s="1724"/>
      <c r="FD51" s="1724"/>
      <c r="FE51" s="1724"/>
      <c r="FF51" s="1724"/>
      <c r="FG51" s="1724"/>
      <c r="FH51" s="1724"/>
      <c r="FI51" s="1724"/>
      <c r="FJ51" s="1724"/>
      <c r="FK51" s="1724"/>
      <c r="FL51" s="1724"/>
      <c r="FM51" s="1724"/>
      <c r="FN51" s="1724"/>
      <c r="FO51" s="1724"/>
      <c r="FP51" s="1724"/>
      <c r="FQ51" s="1724"/>
      <c r="FR51" s="1724"/>
      <c r="FS51" s="1724"/>
      <c r="FT51" s="1724"/>
      <c r="FU51" s="1724"/>
      <c r="FV51" s="1724"/>
      <c r="FW51" s="1724"/>
      <c r="FX51" s="1724"/>
      <c r="FY51" s="1724"/>
      <c r="FZ51" s="1724"/>
      <c r="GA51" s="1724"/>
      <c r="GB51" s="1724"/>
      <c r="GC51" s="1724"/>
      <c r="GD51" s="1724"/>
      <c r="GE51" s="1724"/>
      <c r="GF51" s="1724"/>
      <c r="GG51" s="1724"/>
      <c r="GH51" s="1724"/>
      <c r="GI51" s="1724"/>
      <c r="GJ51" s="1724"/>
      <c r="GK51" s="1724"/>
      <c r="GL51" s="1724"/>
      <c r="GM51" s="1724"/>
      <c r="GN51" s="1724"/>
      <c r="GO51" s="1724"/>
      <c r="GP51" s="1724"/>
      <c r="GQ51" s="1724"/>
      <c r="GR51" s="1724"/>
      <c r="GS51" s="1724"/>
      <c r="GT51" s="1724"/>
      <c r="GU51" s="1724"/>
      <c r="GV51" s="1724"/>
      <c r="GW51" s="1724"/>
      <c r="GX51" s="1724"/>
      <c r="GY51" s="1724"/>
      <c r="GZ51" s="1724"/>
      <c r="HA51" s="1724"/>
      <c r="HB51" s="1724"/>
      <c r="HC51" s="1724"/>
      <c r="HD51" s="1724"/>
      <c r="HE51" s="1724"/>
      <c r="HF51" s="1724"/>
      <c r="HG51" s="1724"/>
      <c r="HH51" s="1724"/>
      <c r="HI51" s="1724"/>
      <c r="HJ51" s="1724"/>
      <c r="HK51" s="1724"/>
      <c r="HL51" s="1724"/>
      <c r="HM51" s="1724"/>
      <c r="HN51" s="1724"/>
      <c r="HO51" s="1724"/>
      <c r="HP51" s="1724"/>
      <c r="HQ51" s="1724"/>
      <c r="HR51" s="1724"/>
      <c r="HS51" s="1724"/>
      <c r="HT51" s="1724"/>
      <c r="HU51" s="1724"/>
      <c r="HV51" s="1724"/>
      <c r="HW51" s="1724"/>
      <c r="HX51" s="1724"/>
      <c r="HY51" s="1724"/>
      <c r="HZ51" s="1724"/>
      <c r="IA51" s="1724"/>
      <c r="IB51" s="1724"/>
      <c r="IC51" s="1724"/>
      <c r="ID51" s="1724"/>
      <c r="IE51" s="1724"/>
      <c r="IF51" s="1724"/>
      <c r="IG51" s="1724"/>
      <c r="IH51" s="1724"/>
      <c r="II51" s="1724"/>
      <c r="IJ51" s="1724"/>
      <c r="IK51" s="1724"/>
      <c r="IL51" s="1724"/>
      <c r="IM51" s="1724"/>
      <c r="IN51" s="1724"/>
      <c r="IO51" s="1724"/>
      <c r="IP51" s="1724"/>
      <c r="IQ51" s="1724"/>
      <c r="IR51" s="1724"/>
      <c r="IS51" s="1724"/>
      <c r="IT51" s="1724"/>
      <c r="IU51" s="1724"/>
      <c r="IV51" s="1724"/>
      <c r="IW51" s="1724"/>
      <c r="IX51" s="1724"/>
      <c r="IY51" s="1724"/>
      <c r="IZ51" s="1724"/>
      <c r="JA51" s="1724"/>
      <c r="JB51" s="1724"/>
      <c r="JC51" s="1724"/>
      <c r="JD51" s="1724"/>
      <c r="JE51" s="1724"/>
      <c r="JF51" s="1724"/>
      <c r="JG51" s="1724"/>
      <c r="JH51" s="1724"/>
      <c r="JI51" s="1724"/>
      <c r="JJ51" s="1724"/>
      <c r="JK51" s="1724"/>
      <c r="JL51" s="1724"/>
      <c r="JM51" s="1724"/>
      <c r="JN51" s="1724"/>
      <c r="JO51" s="1724"/>
      <c r="JP51" s="1724"/>
      <c r="JQ51" s="1724"/>
      <c r="JR51" s="1724"/>
      <c r="JS51" s="1724"/>
      <c r="JT51" s="1724"/>
      <c r="JU51" s="1724"/>
      <c r="JV51" s="1724"/>
      <c r="JW51" s="1724"/>
      <c r="JX51" s="1724"/>
      <c r="JY51" s="1724"/>
      <c r="JZ51" s="1724"/>
      <c r="KA51" s="1724"/>
      <c r="KB51" s="1724"/>
      <c r="KC51" s="1724"/>
      <c r="KD51" s="1724"/>
      <c r="KE51" s="1724"/>
      <c r="KF51" s="1724"/>
      <c r="KG51" s="1724"/>
      <c r="KH51" s="1724"/>
      <c r="KI51" s="1724"/>
      <c r="KJ51" s="1724"/>
      <c r="KK51" s="1724"/>
      <c r="KL51" s="1724"/>
      <c r="KM51" s="1724"/>
      <c r="KN51" s="1724"/>
      <c r="KO51" s="1724"/>
      <c r="KP51" s="1724"/>
      <c r="KQ51" s="1724"/>
      <c r="KR51" s="1724"/>
      <c r="KS51" s="1724"/>
      <c r="KT51" s="1724"/>
      <c r="KU51" s="1724"/>
      <c r="KV51" s="1724"/>
      <c r="KW51" s="1724"/>
      <c r="KX51" s="1724"/>
      <c r="KY51" s="1724"/>
      <c r="KZ51" s="1724"/>
      <c r="LA51" s="1724"/>
      <c r="LB51" s="1724"/>
      <c r="LC51" s="1724"/>
      <c r="LD51" s="1724"/>
      <c r="LE51" s="1724"/>
      <c r="LF51" s="1724"/>
      <c r="LG51" s="1724"/>
      <c r="LH51" s="1724"/>
      <c r="LI51" s="1724"/>
      <c r="LJ51" s="1724"/>
      <c r="LK51" s="1724"/>
      <c r="LL51" s="1724"/>
      <c r="LM51" s="1724"/>
      <c r="LN51" s="1724"/>
      <c r="LO51" s="1724"/>
      <c r="LP51" s="1724"/>
      <c r="LQ51" s="1724"/>
      <c r="LR51" s="1724"/>
      <c r="LS51" s="1724"/>
      <c r="LT51" s="1724"/>
      <c r="LU51" s="1724"/>
      <c r="LV51" s="1724"/>
      <c r="LW51" s="1724"/>
      <c r="LX51" s="1724"/>
      <c r="LY51" s="1724"/>
      <c r="LZ51" s="1724"/>
      <c r="MA51" s="1724"/>
      <c r="MB51" s="1724"/>
      <c r="MC51" s="1724"/>
      <c r="MD51" s="1724"/>
      <c r="ME51" s="1724"/>
      <c r="MF51" s="1724"/>
      <c r="MG51" s="1724"/>
      <c r="MH51" s="1724"/>
      <c r="MI51" s="1724"/>
      <c r="MJ51" s="1724"/>
      <c r="MK51" s="1724"/>
      <c r="ML51" s="1724"/>
      <c r="MM51" s="1724"/>
      <c r="MN51" s="1724"/>
      <c r="MO51" s="1724"/>
      <c r="MP51" s="1724"/>
      <c r="MQ51" s="1724"/>
      <c r="MR51" s="1724"/>
    </row>
    <row r="52" spans="1:356" s="1743" customFormat="1" ht="36" customHeight="1" x14ac:dyDescent="0.2">
      <c r="A52" s="1697"/>
      <c r="B52" s="1698"/>
      <c r="C52" s="1699"/>
      <c r="D52" s="1698"/>
      <c r="E52" s="1698"/>
      <c r="F52" s="1699"/>
      <c r="G52" s="1737">
        <v>39</v>
      </c>
      <c r="H52" s="1703" t="s">
        <v>889</v>
      </c>
      <c r="I52" s="1703"/>
      <c r="J52" s="1703"/>
      <c r="K52" s="1704"/>
      <c r="L52" s="1703"/>
      <c r="M52" s="1703"/>
      <c r="N52" s="1703"/>
      <c r="O52" s="1705"/>
      <c r="P52" s="1703"/>
      <c r="Q52" s="1704"/>
      <c r="R52" s="1703"/>
      <c r="S52" s="1703"/>
      <c r="T52" s="1703"/>
      <c r="U52" s="1704"/>
      <c r="V52" s="1704"/>
      <c r="W52" s="1706"/>
      <c r="X52" s="1762"/>
      <c r="Y52" s="1762"/>
      <c r="Z52" s="1738"/>
      <c r="AA52" s="1705"/>
      <c r="AB52" s="1705"/>
      <c r="AC52" s="1705"/>
      <c r="AD52" s="1705"/>
      <c r="AE52" s="1705"/>
      <c r="AF52" s="1705"/>
      <c r="AG52" s="1705"/>
      <c r="AH52" s="1705"/>
      <c r="AI52" s="1705"/>
      <c r="AJ52" s="1705"/>
      <c r="AK52" s="1705"/>
      <c r="AL52" s="1705"/>
      <c r="AM52" s="1705"/>
      <c r="AN52" s="1705"/>
      <c r="AO52" s="1705"/>
      <c r="AP52" s="1705"/>
      <c r="AQ52" s="1705"/>
      <c r="AR52" s="1705"/>
      <c r="AS52" s="1705"/>
      <c r="AT52" s="1705"/>
      <c r="AU52" s="1705"/>
      <c r="AV52" s="1705"/>
      <c r="AW52" s="1705"/>
      <c r="AX52" s="1705"/>
      <c r="AY52" s="1705"/>
      <c r="AZ52" s="1705"/>
      <c r="BA52" s="1705"/>
      <c r="BB52" s="1705"/>
      <c r="BC52" s="1705"/>
      <c r="BD52" s="1705"/>
      <c r="BE52" s="1705"/>
      <c r="BF52" s="1705"/>
      <c r="BG52" s="1705"/>
      <c r="BH52" s="1703"/>
      <c r="BI52" s="1703"/>
      <c r="BJ52" s="1739"/>
      <c r="BK52" s="1687"/>
      <c r="BL52" s="1687"/>
      <c r="BM52" s="1687"/>
      <c r="BN52" s="1687"/>
      <c r="BO52" s="1687"/>
      <c r="BP52" s="1687"/>
    </row>
    <row r="53" spans="1:356" s="1724" customFormat="1" ht="65.25" customHeight="1" x14ac:dyDescent="0.2">
      <c r="A53" s="1709"/>
      <c r="B53" s="1710"/>
      <c r="C53" s="1711"/>
      <c r="D53" s="1710"/>
      <c r="E53" s="1710"/>
      <c r="F53" s="1711"/>
      <c r="G53" s="1712"/>
      <c r="H53" s="1713"/>
      <c r="I53" s="1714"/>
      <c r="J53" s="4168">
        <v>139</v>
      </c>
      <c r="K53" s="4171" t="s">
        <v>890</v>
      </c>
      <c r="L53" s="4168" t="s">
        <v>324</v>
      </c>
      <c r="M53" s="4168">
        <v>1</v>
      </c>
      <c r="N53" s="4168">
        <v>0.2</v>
      </c>
      <c r="O53" s="4168" t="s">
        <v>891</v>
      </c>
      <c r="P53" s="4168">
        <v>138</v>
      </c>
      <c r="Q53" s="4171" t="s">
        <v>892</v>
      </c>
      <c r="R53" s="4174">
        <f>(W53+W54+W55)/S53</f>
        <v>0.6428571428571429</v>
      </c>
      <c r="S53" s="4187">
        <v>144200000</v>
      </c>
      <c r="T53" s="4171" t="s">
        <v>893</v>
      </c>
      <c r="U53" s="4171" t="s">
        <v>894</v>
      </c>
      <c r="V53" s="1740" t="s">
        <v>895</v>
      </c>
      <c r="W53" s="1725">
        <v>30900000</v>
      </c>
      <c r="X53" s="1753">
        <v>17160000</v>
      </c>
      <c r="Y53" s="1722">
        <v>0</v>
      </c>
      <c r="Z53" s="4214">
        <v>61</v>
      </c>
      <c r="AA53" s="4168" t="s">
        <v>820</v>
      </c>
      <c r="AB53" s="4280">
        <v>64149</v>
      </c>
      <c r="AC53" s="4280">
        <f>SUM(AB53*0.48)</f>
        <v>30791.52</v>
      </c>
      <c r="AD53" s="4280">
        <v>72224</v>
      </c>
      <c r="AE53" s="4280">
        <f>SUM(AD53*0.48)</f>
        <v>34667.519999999997</v>
      </c>
      <c r="AF53" s="4280">
        <v>27477</v>
      </c>
      <c r="AG53" s="4280">
        <f>SUM(AF53*0.48)</f>
        <v>13188.96</v>
      </c>
      <c r="AH53" s="4280">
        <v>86843</v>
      </c>
      <c r="AI53" s="4280">
        <f>SUM(AH53*0.48)</f>
        <v>41684.639999999999</v>
      </c>
      <c r="AJ53" s="4280">
        <v>236429</v>
      </c>
      <c r="AK53" s="4280">
        <f>SUM(AJ53*0.48)</f>
        <v>113485.92</v>
      </c>
      <c r="AL53" s="4280">
        <v>81384</v>
      </c>
      <c r="AM53" s="4280">
        <f>SUM(AL53*0.48)</f>
        <v>39064.32</v>
      </c>
      <c r="AN53" s="4280">
        <v>13208</v>
      </c>
      <c r="AO53" s="4280">
        <f>SUM(AN53*0.48)</f>
        <v>6339.84</v>
      </c>
      <c r="AP53" s="4280">
        <v>2145</v>
      </c>
      <c r="AQ53" s="4280">
        <f>SUM(AP53*0.48)</f>
        <v>1029.5999999999999</v>
      </c>
      <c r="AR53" s="4280">
        <v>413</v>
      </c>
      <c r="AS53" s="4280">
        <f>SUM(AR53*0.48)</f>
        <v>198.23999999999998</v>
      </c>
      <c r="AT53" s="4280">
        <v>520</v>
      </c>
      <c r="AU53" s="4280">
        <f>SUM(AT53*0.48)</f>
        <v>249.6</v>
      </c>
      <c r="AV53" s="4280">
        <v>16897</v>
      </c>
      <c r="AW53" s="4280">
        <f>SUM(AV53*0.48)</f>
        <v>8110.5599999999995</v>
      </c>
      <c r="AX53" s="4280">
        <v>75612</v>
      </c>
      <c r="AY53" s="4280">
        <f>SUM(AX53*0.48)</f>
        <v>36293.760000000002</v>
      </c>
      <c r="AZ53" s="4280">
        <v>4</v>
      </c>
      <c r="BA53" s="4177">
        <v>68640000</v>
      </c>
      <c r="BB53" s="4296">
        <v>0</v>
      </c>
      <c r="BC53" s="4180">
        <f>+BB53/BA53</f>
        <v>0</v>
      </c>
      <c r="BD53" s="4280">
        <v>61</v>
      </c>
      <c r="BE53" s="4280" t="s">
        <v>822</v>
      </c>
      <c r="BF53" s="4162">
        <v>42948</v>
      </c>
      <c r="BG53" s="4162">
        <v>42807</v>
      </c>
      <c r="BH53" s="4162">
        <v>43100</v>
      </c>
      <c r="BI53" s="4162">
        <v>43091</v>
      </c>
      <c r="BJ53" s="4165" t="s">
        <v>880</v>
      </c>
    </row>
    <row r="54" spans="1:356" s="1724" customFormat="1" ht="66.75" customHeight="1" x14ac:dyDescent="0.2">
      <c r="A54" s="1709"/>
      <c r="B54" s="1710"/>
      <c r="C54" s="1711"/>
      <c r="D54" s="1710"/>
      <c r="E54" s="1710"/>
      <c r="F54" s="1711"/>
      <c r="G54" s="1709"/>
      <c r="H54" s="1710"/>
      <c r="I54" s="1711"/>
      <c r="J54" s="4169"/>
      <c r="K54" s="4172"/>
      <c r="L54" s="4169"/>
      <c r="M54" s="4169"/>
      <c r="N54" s="4169"/>
      <c r="O54" s="4169"/>
      <c r="P54" s="4169"/>
      <c r="Q54" s="4172"/>
      <c r="R54" s="4175"/>
      <c r="S54" s="4188"/>
      <c r="T54" s="4172"/>
      <c r="U54" s="4172"/>
      <c r="V54" s="1740" t="s">
        <v>896</v>
      </c>
      <c r="W54" s="1725">
        <v>30900000</v>
      </c>
      <c r="X54" s="1753">
        <v>17160000</v>
      </c>
      <c r="Y54" s="1722">
        <v>0</v>
      </c>
      <c r="Z54" s="4215"/>
      <c r="AA54" s="4169"/>
      <c r="AB54" s="4281"/>
      <c r="AC54" s="4281"/>
      <c r="AD54" s="4281"/>
      <c r="AE54" s="4281"/>
      <c r="AF54" s="4281"/>
      <c r="AG54" s="4281"/>
      <c r="AH54" s="4281"/>
      <c r="AI54" s="4281"/>
      <c r="AJ54" s="4281"/>
      <c r="AK54" s="4281"/>
      <c r="AL54" s="4281"/>
      <c r="AM54" s="4281"/>
      <c r="AN54" s="4281"/>
      <c r="AO54" s="4281"/>
      <c r="AP54" s="4281"/>
      <c r="AQ54" s="4281"/>
      <c r="AR54" s="4281"/>
      <c r="AS54" s="4281"/>
      <c r="AT54" s="4281"/>
      <c r="AU54" s="4281"/>
      <c r="AV54" s="4281"/>
      <c r="AW54" s="4281"/>
      <c r="AX54" s="4281"/>
      <c r="AY54" s="4281"/>
      <c r="AZ54" s="4281"/>
      <c r="BA54" s="4178"/>
      <c r="BB54" s="4297"/>
      <c r="BC54" s="4181"/>
      <c r="BD54" s="4281"/>
      <c r="BE54" s="4281"/>
      <c r="BF54" s="4163"/>
      <c r="BG54" s="4163"/>
      <c r="BH54" s="4163"/>
      <c r="BI54" s="4163"/>
      <c r="BJ54" s="4166"/>
    </row>
    <row r="55" spans="1:356" s="1724" customFormat="1" ht="61.5" customHeight="1" x14ac:dyDescent="0.2">
      <c r="A55" s="1709"/>
      <c r="B55" s="1710"/>
      <c r="C55" s="1711"/>
      <c r="D55" s="1710"/>
      <c r="E55" s="1710"/>
      <c r="F55" s="1711"/>
      <c r="G55" s="1709"/>
      <c r="H55" s="1710"/>
      <c r="I55" s="1711"/>
      <c r="J55" s="4170"/>
      <c r="K55" s="4173"/>
      <c r="L55" s="4170"/>
      <c r="M55" s="4170"/>
      <c r="N55" s="4170"/>
      <c r="O55" s="4169"/>
      <c r="P55" s="4169"/>
      <c r="Q55" s="4172"/>
      <c r="R55" s="4176"/>
      <c r="S55" s="4188"/>
      <c r="T55" s="4172"/>
      <c r="U55" s="4173"/>
      <c r="V55" s="1740" t="s">
        <v>897</v>
      </c>
      <c r="W55" s="1725">
        <v>30900000</v>
      </c>
      <c r="X55" s="1753">
        <v>17160000</v>
      </c>
      <c r="Y55" s="1722">
        <v>0</v>
      </c>
      <c r="Z55" s="4215"/>
      <c r="AA55" s="4169"/>
      <c r="AB55" s="4281"/>
      <c r="AC55" s="4281"/>
      <c r="AD55" s="4281"/>
      <c r="AE55" s="4281"/>
      <c r="AF55" s="4281"/>
      <c r="AG55" s="4281"/>
      <c r="AH55" s="4281"/>
      <c r="AI55" s="4281"/>
      <c r="AJ55" s="4281"/>
      <c r="AK55" s="4281"/>
      <c r="AL55" s="4281"/>
      <c r="AM55" s="4281"/>
      <c r="AN55" s="4281"/>
      <c r="AO55" s="4281"/>
      <c r="AP55" s="4281"/>
      <c r="AQ55" s="4281"/>
      <c r="AR55" s="4281"/>
      <c r="AS55" s="4281"/>
      <c r="AT55" s="4281"/>
      <c r="AU55" s="4281"/>
      <c r="AV55" s="4281"/>
      <c r="AW55" s="4281"/>
      <c r="AX55" s="4281"/>
      <c r="AY55" s="4281"/>
      <c r="AZ55" s="4281"/>
      <c r="BA55" s="4178"/>
      <c r="BB55" s="4297"/>
      <c r="BC55" s="4181"/>
      <c r="BD55" s="4281"/>
      <c r="BE55" s="4281"/>
      <c r="BF55" s="4163"/>
      <c r="BG55" s="4163"/>
      <c r="BH55" s="4163"/>
      <c r="BI55" s="4163"/>
      <c r="BJ55" s="4166"/>
    </row>
    <row r="56" spans="1:356" s="1724" customFormat="1" ht="60.75" customHeight="1" x14ac:dyDescent="0.2">
      <c r="A56" s="1709"/>
      <c r="B56" s="1710"/>
      <c r="C56" s="1711"/>
      <c r="D56" s="1710"/>
      <c r="E56" s="1710"/>
      <c r="F56" s="1711"/>
      <c r="G56" s="1709"/>
      <c r="H56" s="1710"/>
      <c r="I56" s="1711"/>
      <c r="J56" s="4168">
        <v>140</v>
      </c>
      <c r="K56" s="4171" t="s">
        <v>898</v>
      </c>
      <c r="L56" s="4168" t="s">
        <v>324</v>
      </c>
      <c r="M56" s="4168">
        <v>1</v>
      </c>
      <c r="N56" s="4168">
        <v>0.25</v>
      </c>
      <c r="O56" s="4169"/>
      <c r="P56" s="4169"/>
      <c r="Q56" s="4172"/>
      <c r="R56" s="4174">
        <f>(W56+W57+W58)/S53</f>
        <v>0.17857142857142858</v>
      </c>
      <c r="S56" s="4188"/>
      <c r="T56" s="4172"/>
      <c r="U56" s="4171" t="s">
        <v>899</v>
      </c>
      <c r="V56" s="1740" t="s">
        <v>900</v>
      </c>
      <c r="W56" s="1725">
        <v>8583333</v>
      </c>
      <c r="X56" s="1753">
        <f>8580000-3333</f>
        <v>8576667</v>
      </c>
      <c r="Y56" s="1722">
        <v>0</v>
      </c>
      <c r="Z56" s="4215"/>
      <c r="AA56" s="4169"/>
      <c r="AB56" s="4281"/>
      <c r="AC56" s="4281"/>
      <c r="AD56" s="4281"/>
      <c r="AE56" s="4281"/>
      <c r="AF56" s="4281"/>
      <c r="AG56" s="4281"/>
      <c r="AH56" s="4281"/>
      <c r="AI56" s="4281"/>
      <c r="AJ56" s="4281"/>
      <c r="AK56" s="4281"/>
      <c r="AL56" s="4281"/>
      <c r="AM56" s="4281"/>
      <c r="AN56" s="4281"/>
      <c r="AO56" s="4281"/>
      <c r="AP56" s="4281"/>
      <c r="AQ56" s="4281"/>
      <c r="AR56" s="4281"/>
      <c r="AS56" s="4281"/>
      <c r="AT56" s="4281"/>
      <c r="AU56" s="4281"/>
      <c r="AV56" s="4281"/>
      <c r="AW56" s="4281"/>
      <c r="AX56" s="4281"/>
      <c r="AY56" s="4281"/>
      <c r="AZ56" s="4281"/>
      <c r="BA56" s="4178"/>
      <c r="BB56" s="4297"/>
      <c r="BC56" s="4181"/>
      <c r="BD56" s="4281"/>
      <c r="BE56" s="4281"/>
      <c r="BF56" s="4163"/>
      <c r="BG56" s="4163"/>
      <c r="BH56" s="4163"/>
      <c r="BI56" s="4163"/>
      <c r="BJ56" s="4166"/>
    </row>
    <row r="57" spans="1:356" s="1724" customFormat="1" ht="73.5" customHeight="1" x14ac:dyDescent="0.2">
      <c r="A57" s="1709"/>
      <c r="B57" s="1710"/>
      <c r="C57" s="1711"/>
      <c r="D57" s="1710"/>
      <c r="E57" s="1710"/>
      <c r="F57" s="1711"/>
      <c r="G57" s="1709"/>
      <c r="H57" s="1710"/>
      <c r="I57" s="1711"/>
      <c r="J57" s="4169"/>
      <c r="K57" s="4172"/>
      <c r="L57" s="4169"/>
      <c r="M57" s="4169"/>
      <c r="N57" s="4169"/>
      <c r="O57" s="4169"/>
      <c r="P57" s="4169"/>
      <c r="Q57" s="4172"/>
      <c r="R57" s="4175"/>
      <c r="S57" s="4188"/>
      <c r="T57" s="4172"/>
      <c r="U57" s="4172"/>
      <c r="V57" s="1740" t="s">
        <v>901</v>
      </c>
      <c r="W57" s="1725">
        <v>8583334</v>
      </c>
      <c r="X57" s="1722">
        <v>0</v>
      </c>
      <c r="Y57" s="1722">
        <v>0</v>
      </c>
      <c r="Z57" s="4215"/>
      <c r="AA57" s="4169"/>
      <c r="AB57" s="4281"/>
      <c r="AC57" s="4281"/>
      <c r="AD57" s="4281"/>
      <c r="AE57" s="4281"/>
      <c r="AF57" s="4281"/>
      <c r="AG57" s="4281"/>
      <c r="AH57" s="4281"/>
      <c r="AI57" s="4281"/>
      <c r="AJ57" s="4281"/>
      <c r="AK57" s="4281"/>
      <c r="AL57" s="4281"/>
      <c r="AM57" s="4281"/>
      <c r="AN57" s="4281"/>
      <c r="AO57" s="4281"/>
      <c r="AP57" s="4281"/>
      <c r="AQ57" s="4281"/>
      <c r="AR57" s="4281"/>
      <c r="AS57" s="4281"/>
      <c r="AT57" s="4281"/>
      <c r="AU57" s="4281"/>
      <c r="AV57" s="4281"/>
      <c r="AW57" s="4281"/>
      <c r="AX57" s="4281"/>
      <c r="AY57" s="4281"/>
      <c r="AZ57" s="4281"/>
      <c r="BA57" s="4178"/>
      <c r="BB57" s="4297"/>
      <c r="BC57" s="4181"/>
      <c r="BD57" s="4281"/>
      <c r="BE57" s="4281"/>
      <c r="BF57" s="4163"/>
      <c r="BG57" s="4163"/>
      <c r="BH57" s="4163"/>
      <c r="BI57" s="4163"/>
      <c r="BJ57" s="4166"/>
    </row>
    <row r="58" spans="1:356" s="1724" customFormat="1" ht="68.25" customHeight="1" x14ac:dyDescent="0.2">
      <c r="A58" s="1709"/>
      <c r="B58" s="1710"/>
      <c r="C58" s="1711"/>
      <c r="D58" s="1710"/>
      <c r="E58" s="1710"/>
      <c r="F58" s="1711"/>
      <c r="G58" s="1709"/>
      <c r="H58" s="1710"/>
      <c r="I58" s="1711"/>
      <c r="J58" s="4170"/>
      <c r="K58" s="4173"/>
      <c r="L58" s="4170"/>
      <c r="M58" s="4170"/>
      <c r="N58" s="4170"/>
      <c r="O58" s="4169"/>
      <c r="P58" s="4169"/>
      <c r="Q58" s="4172"/>
      <c r="R58" s="4176"/>
      <c r="S58" s="4188"/>
      <c r="T58" s="4172"/>
      <c r="U58" s="4173"/>
      <c r="V58" s="1740" t="s">
        <v>902</v>
      </c>
      <c r="W58" s="1725">
        <v>8583333</v>
      </c>
      <c r="X58" s="1753">
        <f>8580000+3333</f>
        <v>8583333</v>
      </c>
      <c r="Y58" s="1722">
        <v>0</v>
      </c>
      <c r="Z58" s="4215"/>
      <c r="AA58" s="4169"/>
      <c r="AB58" s="4281"/>
      <c r="AC58" s="4281"/>
      <c r="AD58" s="4281"/>
      <c r="AE58" s="4281"/>
      <c r="AF58" s="4281"/>
      <c r="AG58" s="4281"/>
      <c r="AH58" s="4281"/>
      <c r="AI58" s="4281"/>
      <c r="AJ58" s="4281"/>
      <c r="AK58" s="4281"/>
      <c r="AL58" s="4281"/>
      <c r="AM58" s="4281"/>
      <c r="AN58" s="4281"/>
      <c r="AO58" s="4281"/>
      <c r="AP58" s="4281"/>
      <c r="AQ58" s="4281"/>
      <c r="AR58" s="4281"/>
      <c r="AS58" s="4281"/>
      <c r="AT58" s="4281"/>
      <c r="AU58" s="4281"/>
      <c r="AV58" s="4281"/>
      <c r="AW58" s="4281"/>
      <c r="AX58" s="4281"/>
      <c r="AY58" s="4281"/>
      <c r="AZ58" s="4281"/>
      <c r="BA58" s="4178"/>
      <c r="BB58" s="4297"/>
      <c r="BC58" s="4181"/>
      <c r="BD58" s="4281"/>
      <c r="BE58" s="4281"/>
      <c r="BF58" s="4163"/>
      <c r="BG58" s="4163"/>
      <c r="BH58" s="4163"/>
      <c r="BI58" s="4163"/>
      <c r="BJ58" s="4166"/>
    </row>
    <row r="59" spans="1:356" s="1724" customFormat="1" ht="87" customHeight="1" x14ac:dyDescent="0.2">
      <c r="A59" s="1709"/>
      <c r="B59" s="1710"/>
      <c r="C59" s="1711"/>
      <c r="D59" s="1710"/>
      <c r="E59" s="1710"/>
      <c r="F59" s="1711"/>
      <c r="G59" s="1709"/>
      <c r="H59" s="1710"/>
      <c r="I59" s="1711"/>
      <c r="J59" s="4168">
        <v>141</v>
      </c>
      <c r="K59" s="4171" t="s">
        <v>903</v>
      </c>
      <c r="L59" s="4168" t="s">
        <v>324</v>
      </c>
      <c r="M59" s="4168">
        <v>1</v>
      </c>
      <c r="N59" s="4168">
        <v>0</v>
      </c>
      <c r="O59" s="4169"/>
      <c r="P59" s="4169"/>
      <c r="Q59" s="4172"/>
      <c r="R59" s="4174">
        <f>(W59+W60)/S53</f>
        <v>0.17857142857142858</v>
      </c>
      <c r="S59" s="4188"/>
      <c r="T59" s="4172"/>
      <c r="U59" s="4171" t="s">
        <v>904</v>
      </c>
      <c r="V59" s="1740" t="s">
        <v>905</v>
      </c>
      <c r="W59" s="1725">
        <v>10750000</v>
      </c>
      <c r="X59" s="1722">
        <v>0</v>
      </c>
      <c r="Y59" s="1722">
        <v>0</v>
      </c>
      <c r="Z59" s="4215"/>
      <c r="AA59" s="4169"/>
      <c r="AB59" s="4281"/>
      <c r="AC59" s="4281"/>
      <c r="AD59" s="4281"/>
      <c r="AE59" s="4281"/>
      <c r="AF59" s="4281"/>
      <c r="AG59" s="4281"/>
      <c r="AH59" s="4281"/>
      <c r="AI59" s="4281"/>
      <c r="AJ59" s="4281"/>
      <c r="AK59" s="4281"/>
      <c r="AL59" s="4281"/>
      <c r="AM59" s="4281"/>
      <c r="AN59" s="4281"/>
      <c r="AO59" s="4281"/>
      <c r="AP59" s="4281"/>
      <c r="AQ59" s="4281"/>
      <c r="AR59" s="4281"/>
      <c r="AS59" s="4281"/>
      <c r="AT59" s="4281"/>
      <c r="AU59" s="4281"/>
      <c r="AV59" s="4281"/>
      <c r="AW59" s="4281"/>
      <c r="AX59" s="4281"/>
      <c r="AY59" s="4281"/>
      <c r="AZ59" s="4281"/>
      <c r="BA59" s="4178"/>
      <c r="BB59" s="4297"/>
      <c r="BC59" s="4181"/>
      <c r="BD59" s="4281"/>
      <c r="BE59" s="4281"/>
      <c r="BF59" s="4163"/>
      <c r="BG59" s="4163"/>
      <c r="BH59" s="4163"/>
      <c r="BI59" s="4163"/>
      <c r="BJ59" s="4166"/>
    </row>
    <row r="60" spans="1:356" s="1724" customFormat="1" ht="81.75" customHeight="1" x14ac:dyDescent="0.2">
      <c r="A60" s="1709"/>
      <c r="B60" s="1710"/>
      <c r="C60" s="1711"/>
      <c r="D60" s="1710"/>
      <c r="E60" s="1710"/>
      <c r="F60" s="1711"/>
      <c r="G60" s="1729"/>
      <c r="H60" s="1727"/>
      <c r="I60" s="1728"/>
      <c r="J60" s="4170"/>
      <c r="K60" s="4173"/>
      <c r="L60" s="4170"/>
      <c r="M60" s="4170"/>
      <c r="N60" s="4170"/>
      <c r="O60" s="4170"/>
      <c r="P60" s="4170"/>
      <c r="Q60" s="4173"/>
      <c r="R60" s="4176"/>
      <c r="S60" s="4189"/>
      <c r="T60" s="4173"/>
      <c r="U60" s="4173"/>
      <c r="V60" s="1740" t="s">
        <v>906</v>
      </c>
      <c r="W60" s="1725">
        <v>15000000</v>
      </c>
      <c r="X60" s="1722">
        <v>0</v>
      </c>
      <c r="Y60" s="1722">
        <v>0</v>
      </c>
      <c r="Z60" s="4216"/>
      <c r="AA60" s="4170"/>
      <c r="AB60" s="4282"/>
      <c r="AC60" s="4282"/>
      <c r="AD60" s="4282"/>
      <c r="AE60" s="4282"/>
      <c r="AF60" s="4282"/>
      <c r="AG60" s="4282"/>
      <c r="AH60" s="4282"/>
      <c r="AI60" s="4282"/>
      <c r="AJ60" s="4282"/>
      <c r="AK60" s="4282"/>
      <c r="AL60" s="4282"/>
      <c r="AM60" s="4282"/>
      <c r="AN60" s="4282"/>
      <c r="AO60" s="4282"/>
      <c r="AP60" s="4282"/>
      <c r="AQ60" s="4282"/>
      <c r="AR60" s="4282"/>
      <c r="AS60" s="4282"/>
      <c r="AT60" s="4282"/>
      <c r="AU60" s="4282"/>
      <c r="AV60" s="4282"/>
      <c r="AW60" s="4282"/>
      <c r="AX60" s="4282"/>
      <c r="AY60" s="4282"/>
      <c r="AZ60" s="4282"/>
      <c r="BA60" s="4179"/>
      <c r="BB60" s="4298"/>
      <c r="BC60" s="4182"/>
      <c r="BD60" s="4282"/>
      <c r="BE60" s="4282"/>
      <c r="BF60" s="4164"/>
      <c r="BG60" s="4164"/>
      <c r="BH60" s="4164"/>
      <c r="BI60" s="4164"/>
      <c r="BJ60" s="4167"/>
    </row>
    <row r="61" spans="1:356" s="1743" customFormat="1" ht="36" customHeight="1" x14ac:dyDescent="0.2">
      <c r="A61" s="1697"/>
      <c r="B61" s="1698"/>
      <c r="C61" s="1699"/>
      <c r="D61" s="1698"/>
      <c r="E61" s="1698"/>
      <c r="F61" s="1699"/>
      <c r="G61" s="1737">
        <v>40</v>
      </c>
      <c r="H61" s="1703" t="s">
        <v>907</v>
      </c>
      <c r="I61" s="1703"/>
      <c r="J61" s="1703"/>
      <c r="K61" s="1704"/>
      <c r="L61" s="1703"/>
      <c r="M61" s="1703"/>
      <c r="N61" s="1703"/>
      <c r="O61" s="1705"/>
      <c r="P61" s="1703"/>
      <c r="Q61" s="1704"/>
      <c r="R61" s="1703"/>
      <c r="S61" s="1703"/>
      <c r="T61" s="1703"/>
      <c r="U61" s="1704"/>
      <c r="V61" s="1704"/>
      <c r="W61" s="1706"/>
      <c r="X61" s="1763"/>
      <c r="Y61" s="1762"/>
      <c r="Z61" s="1738"/>
      <c r="AA61" s="1705"/>
      <c r="AB61" s="1705"/>
      <c r="AC61" s="1705"/>
      <c r="AD61" s="1705"/>
      <c r="AE61" s="1705"/>
      <c r="AF61" s="1705"/>
      <c r="AG61" s="1705"/>
      <c r="AH61" s="1705"/>
      <c r="AI61" s="1705"/>
      <c r="AJ61" s="1705"/>
      <c r="AK61" s="1705"/>
      <c r="AL61" s="1705"/>
      <c r="AM61" s="1705"/>
      <c r="AN61" s="1705"/>
      <c r="AO61" s="1705"/>
      <c r="AP61" s="1705"/>
      <c r="AQ61" s="1705"/>
      <c r="AR61" s="1705"/>
      <c r="AS61" s="1705"/>
      <c r="AT61" s="1705"/>
      <c r="AU61" s="1705"/>
      <c r="AV61" s="1705"/>
      <c r="AW61" s="1705"/>
      <c r="AX61" s="1705"/>
      <c r="AY61" s="1705"/>
      <c r="AZ61" s="1705"/>
      <c r="BA61" s="1705"/>
      <c r="BB61" s="1705"/>
      <c r="BC61" s="1705"/>
      <c r="BD61" s="1705"/>
      <c r="BE61" s="1705"/>
      <c r="BF61" s="1705"/>
      <c r="BG61" s="1705"/>
      <c r="BH61" s="1703"/>
      <c r="BI61" s="1703"/>
      <c r="BJ61" s="1739"/>
      <c r="BK61" s="1687"/>
      <c r="BL61" s="1687"/>
      <c r="BM61" s="1687"/>
      <c r="BN61" s="1687"/>
      <c r="BO61" s="1687"/>
      <c r="BP61" s="1687"/>
    </row>
    <row r="62" spans="1:356" ht="110.25" customHeight="1" x14ac:dyDescent="0.2">
      <c r="A62" s="1744"/>
      <c r="B62" s="1745"/>
      <c r="C62" s="1746"/>
      <c r="D62" s="1745"/>
      <c r="E62" s="1745"/>
      <c r="F62" s="1746"/>
      <c r="G62" s="1747"/>
      <c r="H62" s="1748"/>
      <c r="I62" s="1749"/>
      <c r="J62" s="1715">
        <v>142</v>
      </c>
      <c r="K62" s="1764" t="s">
        <v>908</v>
      </c>
      <c r="L62" s="1715" t="s">
        <v>324</v>
      </c>
      <c r="M62" s="1715">
        <v>12</v>
      </c>
      <c r="N62" s="1715">
        <v>0</v>
      </c>
      <c r="O62" s="4168" t="s">
        <v>909</v>
      </c>
      <c r="P62" s="4168">
        <v>139</v>
      </c>
      <c r="Q62" s="4171" t="s">
        <v>910</v>
      </c>
      <c r="R62" s="1758">
        <v>0.9</v>
      </c>
      <c r="S62" s="4187">
        <f>SUM(W62:W64)</f>
        <v>82147580</v>
      </c>
      <c r="T62" s="4171" t="s">
        <v>911</v>
      </c>
      <c r="U62" s="1764" t="s">
        <v>912</v>
      </c>
      <c r="V62" s="1765" t="s">
        <v>913</v>
      </c>
      <c r="W62" s="1766">
        <f>6147580+56000000</f>
        <v>62147580</v>
      </c>
      <c r="X62" s="1753">
        <v>5112120</v>
      </c>
      <c r="Y62" s="1722">
        <v>0</v>
      </c>
      <c r="Z62" s="4214">
        <v>61</v>
      </c>
      <c r="AA62" s="4168" t="s">
        <v>820</v>
      </c>
      <c r="AB62" s="4288">
        <v>64149</v>
      </c>
      <c r="AC62" s="4217">
        <f>SUM(AB62*0.06)</f>
        <v>3848.94</v>
      </c>
      <c r="AD62" s="4217" t="s">
        <v>154</v>
      </c>
      <c r="AE62" s="4217" t="s">
        <v>154</v>
      </c>
      <c r="AF62" s="4217" t="s">
        <v>154</v>
      </c>
      <c r="AG62" s="4217" t="s">
        <v>154</v>
      </c>
      <c r="AH62" s="4217" t="s">
        <v>154</v>
      </c>
      <c r="AI62" s="4217" t="s">
        <v>154</v>
      </c>
      <c r="AJ62" s="4217" t="s">
        <v>154</v>
      </c>
      <c r="AK62" s="4217" t="s">
        <v>154</v>
      </c>
      <c r="AL62" s="4217" t="s">
        <v>154</v>
      </c>
      <c r="AM62" s="4217" t="s">
        <v>154</v>
      </c>
      <c r="AN62" s="4217" t="s">
        <v>154</v>
      </c>
      <c r="AO62" s="4217" t="s">
        <v>154</v>
      </c>
      <c r="AP62" s="4217" t="s">
        <v>154</v>
      </c>
      <c r="AQ62" s="4217" t="s">
        <v>154</v>
      </c>
      <c r="AR62" s="4217" t="s">
        <v>154</v>
      </c>
      <c r="AS62" s="4217" t="s">
        <v>154</v>
      </c>
      <c r="AT62" s="4217" t="s">
        <v>154</v>
      </c>
      <c r="AU62" s="4217" t="s">
        <v>154</v>
      </c>
      <c r="AV62" s="4217" t="s">
        <v>154</v>
      </c>
      <c r="AW62" s="4217" t="s">
        <v>154</v>
      </c>
      <c r="AX62" s="4217" t="s">
        <v>154</v>
      </c>
      <c r="AY62" s="4217" t="s">
        <v>154</v>
      </c>
      <c r="AZ62" s="4183">
        <v>1</v>
      </c>
      <c r="BA62" s="4177">
        <v>5112120</v>
      </c>
      <c r="BB62" s="4211">
        <v>0</v>
      </c>
      <c r="BC62" s="4180">
        <f>+BB62/BA62</f>
        <v>0</v>
      </c>
      <c r="BD62" s="4183">
        <v>61</v>
      </c>
      <c r="BE62" s="4198" t="s">
        <v>822</v>
      </c>
      <c r="BF62" s="4162">
        <v>42948</v>
      </c>
      <c r="BG62" s="4162">
        <v>42815</v>
      </c>
      <c r="BH62" s="4162">
        <v>43100</v>
      </c>
      <c r="BI62" s="4162">
        <v>43091</v>
      </c>
      <c r="BJ62" s="4165" t="s">
        <v>880</v>
      </c>
    </row>
    <row r="63" spans="1:356" ht="78" customHeight="1" x14ac:dyDescent="0.2">
      <c r="A63" s="1744"/>
      <c r="B63" s="1745"/>
      <c r="C63" s="1746"/>
      <c r="D63" s="1745"/>
      <c r="E63" s="1745"/>
      <c r="F63" s="1746"/>
      <c r="G63" s="1744"/>
      <c r="H63" s="1745"/>
      <c r="I63" s="1746"/>
      <c r="J63" s="4168">
        <v>143</v>
      </c>
      <c r="K63" s="4239" t="s">
        <v>914</v>
      </c>
      <c r="L63" s="4168" t="s">
        <v>324</v>
      </c>
      <c r="M63" s="4168">
        <v>1</v>
      </c>
      <c r="N63" s="4168">
        <v>0.2</v>
      </c>
      <c r="O63" s="4169"/>
      <c r="P63" s="4169"/>
      <c r="Q63" s="4172"/>
      <c r="R63" s="1767"/>
      <c r="S63" s="4188"/>
      <c r="T63" s="4172"/>
      <c r="U63" s="4239" t="s">
        <v>915</v>
      </c>
      <c r="V63" s="1716" t="s">
        <v>916</v>
      </c>
      <c r="W63" s="1768">
        <v>0</v>
      </c>
      <c r="X63" s="1722">
        <v>0</v>
      </c>
      <c r="Y63" s="1722">
        <v>0</v>
      </c>
      <c r="Z63" s="4215"/>
      <c r="AA63" s="4169"/>
      <c r="AB63" s="4289"/>
      <c r="AC63" s="4218"/>
      <c r="AD63" s="4218"/>
      <c r="AE63" s="4218"/>
      <c r="AF63" s="4218"/>
      <c r="AG63" s="4218"/>
      <c r="AH63" s="4218"/>
      <c r="AI63" s="4218"/>
      <c r="AJ63" s="4218"/>
      <c r="AK63" s="4218"/>
      <c r="AL63" s="4218"/>
      <c r="AM63" s="4218"/>
      <c r="AN63" s="4218"/>
      <c r="AO63" s="4218"/>
      <c r="AP63" s="4218"/>
      <c r="AQ63" s="4218"/>
      <c r="AR63" s="4218"/>
      <c r="AS63" s="4218"/>
      <c r="AT63" s="4218"/>
      <c r="AU63" s="4218"/>
      <c r="AV63" s="4218"/>
      <c r="AW63" s="4218"/>
      <c r="AX63" s="4218"/>
      <c r="AY63" s="4218"/>
      <c r="AZ63" s="4184"/>
      <c r="BA63" s="4178"/>
      <c r="BB63" s="4212"/>
      <c r="BC63" s="4181"/>
      <c r="BD63" s="4184"/>
      <c r="BE63" s="4184"/>
      <c r="BF63" s="4163"/>
      <c r="BG63" s="4163"/>
      <c r="BH63" s="4163"/>
      <c r="BI63" s="4163"/>
      <c r="BJ63" s="4166"/>
    </row>
    <row r="64" spans="1:356" ht="96" customHeight="1" x14ac:dyDescent="0.2">
      <c r="A64" s="1744"/>
      <c r="B64" s="1745"/>
      <c r="C64" s="1746"/>
      <c r="D64" s="1745"/>
      <c r="E64" s="1745"/>
      <c r="F64" s="1746"/>
      <c r="G64" s="1744"/>
      <c r="H64" s="1745"/>
      <c r="I64" s="1746"/>
      <c r="J64" s="4170"/>
      <c r="K64" s="4239"/>
      <c r="L64" s="4170"/>
      <c r="M64" s="4170"/>
      <c r="N64" s="4170"/>
      <c r="O64" s="4170"/>
      <c r="P64" s="4170"/>
      <c r="Q64" s="4173"/>
      <c r="R64" s="1769">
        <v>0.1</v>
      </c>
      <c r="S64" s="4189"/>
      <c r="T64" s="4173"/>
      <c r="U64" s="4239"/>
      <c r="V64" s="1716" t="s">
        <v>917</v>
      </c>
      <c r="W64" s="1766">
        <v>20000000</v>
      </c>
      <c r="X64" s="1722">
        <v>0</v>
      </c>
      <c r="Y64" s="1722">
        <v>0</v>
      </c>
      <c r="Z64" s="4216"/>
      <c r="AA64" s="4170"/>
      <c r="AB64" s="4290"/>
      <c r="AC64" s="4219"/>
      <c r="AD64" s="4219"/>
      <c r="AE64" s="4219"/>
      <c r="AF64" s="4219"/>
      <c r="AG64" s="4219"/>
      <c r="AH64" s="4219"/>
      <c r="AI64" s="4219"/>
      <c r="AJ64" s="4219"/>
      <c r="AK64" s="4219"/>
      <c r="AL64" s="4219"/>
      <c r="AM64" s="4219"/>
      <c r="AN64" s="4219"/>
      <c r="AO64" s="4219"/>
      <c r="AP64" s="4219"/>
      <c r="AQ64" s="4219"/>
      <c r="AR64" s="4219"/>
      <c r="AS64" s="4219"/>
      <c r="AT64" s="4219"/>
      <c r="AU64" s="4219"/>
      <c r="AV64" s="4219"/>
      <c r="AW64" s="4219"/>
      <c r="AX64" s="4219"/>
      <c r="AY64" s="4219"/>
      <c r="AZ64" s="4185"/>
      <c r="BA64" s="4179"/>
      <c r="BB64" s="4213"/>
      <c r="BC64" s="4182"/>
      <c r="BD64" s="4185"/>
      <c r="BE64" s="4185"/>
      <c r="BF64" s="4164"/>
      <c r="BG64" s="4164"/>
      <c r="BH64" s="4164"/>
      <c r="BI64" s="4164"/>
      <c r="BJ64" s="4167"/>
      <c r="BK64" s="1770"/>
    </row>
    <row r="65" spans="1:68" s="1646" customFormat="1" ht="114" x14ac:dyDescent="0.2">
      <c r="A65" s="1771"/>
      <c r="B65" s="1772"/>
      <c r="C65" s="1773"/>
      <c r="D65" s="1772"/>
      <c r="E65" s="1772"/>
      <c r="F65" s="1773"/>
      <c r="G65" s="1771"/>
      <c r="H65" s="1772"/>
      <c r="I65" s="1773"/>
      <c r="J65" s="4202">
        <v>144</v>
      </c>
      <c r="K65" s="4205" t="s">
        <v>918</v>
      </c>
      <c r="L65" s="4202" t="s">
        <v>324</v>
      </c>
      <c r="M65" s="4202">
        <v>5</v>
      </c>
      <c r="N65" s="4168">
        <v>0.5</v>
      </c>
      <c r="O65" s="1774"/>
      <c r="P65" s="4202">
        <v>141</v>
      </c>
      <c r="Q65" s="4171" t="s">
        <v>919</v>
      </c>
      <c r="R65" s="4180">
        <f>(W65+W66+W67+W68+W69)/S65</f>
        <v>0.83251096606464636</v>
      </c>
      <c r="S65" s="4291">
        <f>289708258.45023+198060852+40000000</f>
        <v>527769110.45023</v>
      </c>
      <c r="T65" s="4205" t="s">
        <v>920</v>
      </c>
      <c r="U65" s="4171" t="s">
        <v>921</v>
      </c>
      <c r="V65" s="1752" t="s">
        <v>922</v>
      </c>
      <c r="W65" s="1720">
        <f>48262544+198060852</f>
        <v>246323396</v>
      </c>
      <c r="X65" s="1753">
        <v>21120000</v>
      </c>
      <c r="Y65" s="1722">
        <v>0</v>
      </c>
      <c r="Z65" s="1775"/>
      <c r="AA65" s="1774"/>
      <c r="AB65" s="4217">
        <v>64149</v>
      </c>
      <c r="AC65" s="4217">
        <f>SUM(AB65*0.13)</f>
        <v>8339.3700000000008</v>
      </c>
      <c r="AD65" s="4217">
        <v>72224</v>
      </c>
      <c r="AE65" s="4217">
        <f>SUM(AD65*0.13)</f>
        <v>9389.1200000000008</v>
      </c>
      <c r="AF65" s="4217">
        <v>27477</v>
      </c>
      <c r="AG65" s="4217">
        <f>SUM(AF65*0.13)</f>
        <v>3572.01</v>
      </c>
      <c r="AH65" s="4217">
        <v>86843</v>
      </c>
      <c r="AI65" s="4217">
        <f>SUM(AH65*0.13)</f>
        <v>11289.59</v>
      </c>
      <c r="AJ65" s="4217">
        <v>236429</v>
      </c>
      <c r="AK65" s="4217">
        <f>SUM(AJ65*0.13)</f>
        <v>30735.77</v>
      </c>
      <c r="AL65" s="4217">
        <v>81384</v>
      </c>
      <c r="AM65" s="4217">
        <f>SUM(AL65*0.13)</f>
        <v>10579.92</v>
      </c>
      <c r="AN65" s="4217">
        <v>13208</v>
      </c>
      <c r="AO65" s="4217">
        <f>SUM(AN65*0.13)</f>
        <v>1717.04</v>
      </c>
      <c r="AP65" s="4217">
        <v>2145</v>
      </c>
      <c r="AQ65" s="4217">
        <f>SUM(AP65*0.13)</f>
        <v>278.85000000000002</v>
      </c>
      <c r="AR65" s="4217">
        <v>413</v>
      </c>
      <c r="AS65" s="4217">
        <f>SUM(AR65*0.13)</f>
        <v>53.690000000000005</v>
      </c>
      <c r="AT65" s="4217">
        <v>520</v>
      </c>
      <c r="AU65" s="4217">
        <f>SUM(AT65*0.13)</f>
        <v>67.600000000000009</v>
      </c>
      <c r="AV65" s="4217">
        <v>16897</v>
      </c>
      <c r="AW65" s="4217">
        <f>SUM(AV65*0.13)</f>
        <v>2196.61</v>
      </c>
      <c r="AX65" s="4217">
        <v>75612</v>
      </c>
      <c r="AY65" s="4217">
        <f>SUM(AX65*0.13)</f>
        <v>9829.56</v>
      </c>
      <c r="AZ65" s="4183">
        <v>4</v>
      </c>
      <c r="BA65" s="4177">
        <v>69280000</v>
      </c>
      <c r="BB65" s="4211">
        <v>0</v>
      </c>
      <c r="BC65" s="4180">
        <f>+BB65/BA65</f>
        <v>0</v>
      </c>
      <c r="BD65" s="4217" t="s">
        <v>923</v>
      </c>
      <c r="BE65" s="4217" t="s">
        <v>822</v>
      </c>
      <c r="BF65" s="4283">
        <v>42948</v>
      </c>
      <c r="BG65" s="4283">
        <v>42807</v>
      </c>
      <c r="BH65" s="4283">
        <v>43100</v>
      </c>
      <c r="BI65" s="4283">
        <v>43091</v>
      </c>
      <c r="BJ65" s="4294" t="s">
        <v>880</v>
      </c>
      <c r="BK65" s="1723"/>
    </row>
    <row r="66" spans="1:68" s="1646" customFormat="1" ht="42.75" x14ac:dyDescent="0.2">
      <c r="A66" s="1771"/>
      <c r="B66" s="1772"/>
      <c r="C66" s="1773"/>
      <c r="D66" s="1772"/>
      <c r="E66" s="1772"/>
      <c r="F66" s="1773"/>
      <c r="G66" s="1771"/>
      <c r="H66" s="1772"/>
      <c r="I66" s="1773"/>
      <c r="J66" s="4203"/>
      <c r="K66" s="4206"/>
      <c r="L66" s="4203"/>
      <c r="M66" s="4203"/>
      <c r="N66" s="4169"/>
      <c r="O66" s="1776"/>
      <c r="P66" s="4203"/>
      <c r="Q66" s="4172"/>
      <c r="R66" s="4181"/>
      <c r="S66" s="4292"/>
      <c r="T66" s="4206"/>
      <c r="U66" s="4172"/>
      <c r="V66" s="1752" t="s">
        <v>924</v>
      </c>
      <c r="W66" s="1720">
        <v>48262544</v>
      </c>
      <c r="X66" s="1722">
        <v>0</v>
      </c>
      <c r="Y66" s="1722">
        <v>0</v>
      </c>
      <c r="Z66" s="1777"/>
      <c r="AA66" s="1776"/>
      <c r="AB66" s="4218"/>
      <c r="AC66" s="4218"/>
      <c r="AD66" s="4218"/>
      <c r="AE66" s="4218"/>
      <c r="AF66" s="4218"/>
      <c r="AG66" s="4218"/>
      <c r="AH66" s="4218"/>
      <c r="AI66" s="4218"/>
      <c r="AJ66" s="4218"/>
      <c r="AK66" s="4218"/>
      <c r="AL66" s="4218"/>
      <c r="AM66" s="4218"/>
      <c r="AN66" s="4218"/>
      <c r="AO66" s="4218"/>
      <c r="AP66" s="4218"/>
      <c r="AQ66" s="4218"/>
      <c r="AR66" s="4218"/>
      <c r="AS66" s="4218"/>
      <c r="AT66" s="4218"/>
      <c r="AU66" s="4218"/>
      <c r="AV66" s="4218"/>
      <c r="AW66" s="4218"/>
      <c r="AX66" s="4218"/>
      <c r="AY66" s="4218"/>
      <c r="AZ66" s="4184"/>
      <c r="BA66" s="4178"/>
      <c r="BB66" s="4212"/>
      <c r="BC66" s="4181"/>
      <c r="BD66" s="4218"/>
      <c r="BE66" s="4218"/>
      <c r="BF66" s="4284"/>
      <c r="BG66" s="4284"/>
      <c r="BH66" s="4284"/>
      <c r="BI66" s="4284"/>
      <c r="BJ66" s="4295"/>
      <c r="BK66" s="1724"/>
    </row>
    <row r="67" spans="1:68" s="1646" customFormat="1" ht="57" x14ac:dyDescent="0.2">
      <c r="A67" s="1771"/>
      <c r="B67" s="1772"/>
      <c r="C67" s="1773"/>
      <c r="D67" s="1772"/>
      <c r="E67" s="1772"/>
      <c r="F67" s="1773"/>
      <c r="G67" s="1771"/>
      <c r="H67" s="1772"/>
      <c r="I67" s="1773"/>
      <c r="J67" s="4203"/>
      <c r="K67" s="4206"/>
      <c r="L67" s="4203"/>
      <c r="M67" s="4203"/>
      <c r="N67" s="4169"/>
      <c r="O67" s="1776" t="s">
        <v>925</v>
      </c>
      <c r="P67" s="4203"/>
      <c r="Q67" s="4172"/>
      <c r="R67" s="4181"/>
      <c r="S67" s="4292"/>
      <c r="T67" s="4206"/>
      <c r="U67" s="4172"/>
      <c r="V67" s="1752" t="s">
        <v>926</v>
      </c>
      <c r="W67" s="1720">
        <v>48262544</v>
      </c>
      <c r="X67" s="1722">
        <v>0</v>
      </c>
      <c r="Y67" s="1722">
        <v>0</v>
      </c>
      <c r="Z67" s="1777">
        <v>111</v>
      </c>
      <c r="AA67" s="1776" t="s">
        <v>927</v>
      </c>
      <c r="AB67" s="4218"/>
      <c r="AC67" s="4218"/>
      <c r="AD67" s="4218"/>
      <c r="AE67" s="4218"/>
      <c r="AF67" s="4218"/>
      <c r="AG67" s="4218"/>
      <c r="AH67" s="4218"/>
      <c r="AI67" s="4218"/>
      <c r="AJ67" s="4218"/>
      <c r="AK67" s="4218"/>
      <c r="AL67" s="4218"/>
      <c r="AM67" s="4218"/>
      <c r="AN67" s="4218"/>
      <c r="AO67" s="4218"/>
      <c r="AP67" s="4218"/>
      <c r="AQ67" s="4218"/>
      <c r="AR67" s="4218"/>
      <c r="AS67" s="4218"/>
      <c r="AT67" s="4218"/>
      <c r="AU67" s="4218"/>
      <c r="AV67" s="4218"/>
      <c r="AW67" s="4218"/>
      <c r="AX67" s="4218"/>
      <c r="AY67" s="4218"/>
      <c r="AZ67" s="4184"/>
      <c r="BA67" s="4178"/>
      <c r="BB67" s="4212"/>
      <c r="BC67" s="4181"/>
      <c r="BD67" s="4218"/>
      <c r="BE67" s="4218"/>
      <c r="BF67" s="4284"/>
      <c r="BG67" s="4284"/>
      <c r="BH67" s="4284"/>
      <c r="BI67" s="4284"/>
      <c r="BJ67" s="4295"/>
      <c r="BK67" s="1724"/>
    </row>
    <row r="68" spans="1:68" s="1646" customFormat="1" ht="85.5" x14ac:dyDescent="0.2">
      <c r="A68" s="1771"/>
      <c r="B68" s="1772"/>
      <c r="C68" s="1773"/>
      <c r="D68" s="1772"/>
      <c r="E68" s="1772"/>
      <c r="F68" s="1773"/>
      <c r="G68" s="1771"/>
      <c r="H68" s="1772"/>
      <c r="I68" s="1773"/>
      <c r="J68" s="4203"/>
      <c r="K68" s="4206"/>
      <c r="L68" s="4203"/>
      <c r="M68" s="4203"/>
      <c r="N68" s="4169"/>
      <c r="O68" s="1776" t="s">
        <v>928</v>
      </c>
      <c r="P68" s="4203"/>
      <c r="Q68" s="4172"/>
      <c r="R68" s="4181"/>
      <c r="S68" s="4292"/>
      <c r="T68" s="4206"/>
      <c r="U68" s="4172"/>
      <c r="V68" s="1752" t="s">
        <v>929</v>
      </c>
      <c r="W68" s="1720">
        <v>48262544</v>
      </c>
      <c r="X68" s="1722">
        <v>0</v>
      </c>
      <c r="Y68" s="1722">
        <v>0</v>
      </c>
      <c r="Z68" s="1777">
        <v>118</v>
      </c>
      <c r="AA68" s="1776" t="s">
        <v>930</v>
      </c>
      <c r="AB68" s="4218"/>
      <c r="AC68" s="4218"/>
      <c r="AD68" s="4218"/>
      <c r="AE68" s="4218"/>
      <c r="AF68" s="4218"/>
      <c r="AG68" s="4218"/>
      <c r="AH68" s="4218"/>
      <c r="AI68" s="4218"/>
      <c r="AJ68" s="4218"/>
      <c r="AK68" s="4218"/>
      <c r="AL68" s="4218"/>
      <c r="AM68" s="4218"/>
      <c r="AN68" s="4218"/>
      <c r="AO68" s="4218"/>
      <c r="AP68" s="4218"/>
      <c r="AQ68" s="4218"/>
      <c r="AR68" s="4218"/>
      <c r="AS68" s="4218"/>
      <c r="AT68" s="4218"/>
      <c r="AU68" s="4218"/>
      <c r="AV68" s="4218"/>
      <c r="AW68" s="4218"/>
      <c r="AX68" s="4218"/>
      <c r="AY68" s="4218"/>
      <c r="AZ68" s="4184"/>
      <c r="BA68" s="4178"/>
      <c r="BB68" s="4212"/>
      <c r="BC68" s="4181"/>
      <c r="BD68" s="4218"/>
      <c r="BE68" s="4218"/>
      <c r="BF68" s="4284"/>
      <c r="BG68" s="4284"/>
      <c r="BH68" s="4284"/>
      <c r="BI68" s="4284"/>
      <c r="BJ68" s="4295"/>
      <c r="BK68" s="1724"/>
    </row>
    <row r="69" spans="1:68" s="1646" customFormat="1" ht="99.75" x14ac:dyDescent="0.2">
      <c r="A69" s="1771"/>
      <c r="B69" s="1772"/>
      <c r="C69" s="1773"/>
      <c r="D69" s="1772"/>
      <c r="E69" s="1772"/>
      <c r="F69" s="1773"/>
      <c r="G69" s="1771"/>
      <c r="H69" s="1772"/>
      <c r="I69" s="1773"/>
      <c r="J69" s="4204"/>
      <c r="K69" s="4207"/>
      <c r="L69" s="4204"/>
      <c r="M69" s="4204"/>
      <c r="N69" s="4170"/>
      <c r="O69" s="1776" t="s">
        <v>931</v>
      </c>
      <c r="P69" s="4203"/>
      <c r="Q69" s="4172"/>
      <c r="R69" s="4182"/>
      <c r="S69" s="4292"/>
      <c r="T69" s="4206"/>
      <c r="U69" s="4173"/>
      <c r="V69" s="1752" t="s">
        <v>932</v>
      </c>
      <c r="W69" s="1720">
        <v>48262544</v>
      </c>
      <c r="X69" s="1722">
        <v>0</v>
      </c>
      <c r="Y69" s="1722">
        <v>0</v>
      </c>
      <c r="Z69" s="1777">
        <v>61</v>
      </c>
      <c r="AA69" s="1776" t="s">
        <v>820</v>
      </c>
      <c r="AB69" s="4218"/>
      <c r="AC69" s="4218"/>
      <c r="AD69" s="4218"/>
      <c r="AE69" s="4218"/>
      <c r="AF69" s="4218"/>
      <c r="AG69" s="4218"/>
      <c r="AH69" s="4218"/>
      <c r="AI69" s="4218"/>
      <c r="AJ69" s="4218"/>
      <c r="AK69" s="4218"/>
      <c r="AL69" s="4218"/>
      <c r="AM69" s="4218"/>
      <c r="AN69" s="4218"/>
      <c r="AO69" s="4218"/>
      <c r="AP69" s="4218"/>
      <c r="AQ69" s="4218"/>
      <c r="AR69" s="4218"/>
      <c r="AS69" s="4218"/>
      <c r="AT69" s="4218"/>
      <c r="AU69" s="4218"/>
      <c r="AV69" s="4218"/>
      <c r="AW69" s="4218"/>
      <c r="AX69" s="4218"/>
      <c r="AY69" s="4218"/>
      <c r="AZ69" s="4184"/>
      <c r="BA69" s="4178"/>
      <c r="BB69" s="4212"/>
      <c r="BC69" s="4181"/>
      <c r="BD69" s="4218"/>
      <c r="BE69" s="4218"/>
      <c r="BF69" s="4284"/>
      <c r="BG69" s="4284"/>
      <c r="BH69" s="4284"/>
      <c r="BI69" s="4284"/>
      <c r="BJ69" s="4295"/>
      <c r="BK69" s="1724"/>
    </row>
    <row r="70" spans="1:68" s="1646" customFormat="1" ht="71.25" x14ac:dyDescent="0.2">
      <c r="A70" s="1771"/>
      <c r="B70" s="1772"/>
      <c r="C70" s="1773"/>
      <c r="D70" s="1772"/>
      <c r="E70" s="1772"/>
      <c r="F70" s="1773"/>
      <c r="G70" s="1771"/>
      <c r="H70" s="1772"/>
      <c r="I70" s="1773"/>
      <c r="J70" s="1774">
        <v>145</v>
      </c>
      <c r="K70" s="1778" t="s">
        <v>933</v>
      </c>
      <c r="L70" s="1774" t="s">
        <v>324</v>
      </c>
      <c r="M70" s="1774">
        <v>1</v>
      </c>
      <c r="N70" s="1717">
        <v>0.1</v>
      </c>
      <c r="O70" s="1779"/>
      <c r="P70" s="4204"/>
      <c r="Q70" s="4172"/>
      <c r="R70" s="1780">
        <f>W70/S65</f>
        <v>0.16748903308227231</v>
      </c>
      <c r="S70" s="4292"/>
      <c r="T70" s="4206"/>
      <c r="U70" s="1781" t="s">
        <v>934</v>
      </c>
      <c r="V70" s="1765" t="s">
        <v>935</v>
      </c>
      <c r="W70" s="1720">
        <f>48395538+40000000</f>
        <v>88395538</v>
      </c>
      <c r="X70" s="1753">
        <v>48160000</v>
      </c>
      <c r="Y70" s="1722">
        <v>0</v>
      </c>
      <c r="Z70" s="1777"/>
      <c r="AA70" s="1776"/>
      <c r="AB70" s="4218"/>
      <c r="AC70" s="4219"/>
      <c r="AD70" s="4218"/>
      <c r="AE70" s="4219"/>
      <c r="AF70" s="4218"/>
      <c r="AG70" s="4219"/>
      <c r="AH70" s="4218"/>
      <c r="AI70" s="4219"/>
      <c r="AJ70" s="4218"/>
      <c r="AK70" s="4219"/>
      <c r="AL70" s="4218"/>
      <c r="AM70" s="4219"/>
      <c r="AN70" s="4218"/>
      <c r="AO70" s="4219"/>
      <c r="AP70" s="4218"/>
      <c r="AQ70" s="4219"/>
      <c r="AR70" s="4218"/>
      <c r="AS70" s="4219"/>
      <c r="AT70" s="4218"/>
      <c r="AU70" s="4219"/>
      <c r="AV70" s="4218"/>
      <c r="AW70" s="4219"/>
      <c r="AX70" s="4218"/>
      <c r="AY70" s="4219"/>
      <c r="AZ70" s="4185"/>
      <c r="BA70" s="4179"/>
      <c r="BB70" s="4213"/>
      <c r="BC70" s="4182"/>
      <c r="BD70" s="4219"/>
      <c r="BE70" s="4219"/>
      <c r="BF70" s="4284"/>
      <c r="BG70" s="4285"/>
      <c r="BH70" s="4284"/>
      <c r="BI70" s="4285"/>
      <c r="BJ70" s="4295"/>
      <c r="BK70" s="1723"/>
    </row>
    <row r="71" spans="1:68" s="1646" customFormat="1" ht="51" customHeight="1" x14ac:dyDescent="0.2">
      <c r="A71" s="1771"/>
      <c r="B71" s="1772"/>
      <c r="C71" s="1773"/>
      <c r="D71" s="1772"/>
      <c r="E71" s="1772"/>
      <c r="F71" s="1773"/>
      <c r="G71" s="1771"/>
      <c r="H71" s="1772"/>
      <c r="I71" s="1773"/>
      <c r="J71" s="4202">
        <v>146</v>
      </c>
      <c r="K71" s="4205" t="s">
        <v>936</v>
      </c>
      <c r="L71" s="4202" t="s">
        <v>324</v>
      </c>
      <c r="M71" s="4202">
        <v>1</v>
      </c>
      <c r="N71" s="4168">
        <v>0.2</v>
      </c>
      <c r="O71" s="1774"/>
      <c r="P71" s="4202">
        <v>142</v>
      </c>
      <c r="Q71" s="4171" t="s">
        <v>937</v>
      </c>
      <c r="R71" s="4180">
        <v>1</v>
      </c>
      <c r="S71" s="4291">
        <f>SUM(W71:W79)</f>
        <v>253647465</v>
      </c>
      <c r="T71" s="4205" t="s">
        <v>938</v>
      </c>
      <c r="U71" s="4171" t="s">
        <v>939</v>
      </c>
      <c r="V71" s="1752" t="s">
        <v>940</v>
      </c>
      <c r="W71" s="1782">
        <f>48000000+61389691</f>
        <v>109389691</v>
      </c>
      <c r="X71" s="1753">
        <v>4752000</v>
      </c>
      <c r="Y71" s="1753">
        <v>1056000</v>
      </c>
      <c r="Z71" s="1775"/>
      <c r="AA71" s="1774"/>
      <c r="AB71" s="4183">
        <v>64149</v>
      </c>
      <c r="AC71" s="4183">
        <f>SUM(AB71*0.12)</f>
        <v>7697.88</v>
      </c>
      <c r="AD71" s="4183">
        <v>72224</v>
      </c>
      <c r="AE71" s="4183">
        <f>SUM(AD71*0.12)</f>
        <v>8666.8799999999992</v>
      </c>
      <c r="AF71" s="4183">
        <v>27477</v>
      </c>
      <c r="AG71" s="4183">
        <f>SUM(AF71*0.12)</f>
        <v>3297.24</v>
      </c>
      <c r="AH71" s="4183">
        <v>86843</v>
      </c>
      <c r="AI71" s="4183">
        <f>SUM(AH71*0.12)</f>
        <v>10421.16</v>
      </c>
      <c r="AJ71" s="4183">
        <v>236429</v>
      </c>
      <c r="AK71" s="4183">
        <f>SUM(AJ71*0.12)</f>
        <v>28371.48</v>
      </c>
      <c r="AL71" s="4183">
        <v>81384</v>
      </c>
      <c r="AM71" s="4183">
        <f>SUM(AL71*0.12)</f>
        <v>9766.08</v>
      </c>
      <c r="AN71" s="4183">
        <v>13208</v>
      </c>
      <c r="AO71" s="4183">
        <f>SUM(AN71*0.12)</f>
        <v>1584.96</v>
      </c>
      <c r="AP71" s="4183">
        <v>2145</v>
      </c>
      <c r="AQ71" s="4183">
        <f>SUM(AP71*0.12)</f>
        <v>257.39999999999998</v>
      </c>
      <c r="AR71" s="4183">
        <v>413</v>
      </c>
      <c r="AS71" s="4183">
        <f>SUM(AR71*0.12)</f>
        <v>49.559999999999995</v>
      </c>
      <c r="AT71" s="4183">
        <v>520</v>
      </c>
      <c r="AU71" s="4183">
        <f>SUM(AT71*0.12)</f>
        <v>62.4</v>
      </c>
      <c r="AV71" s="4183">
        <v>16897</v>
      </c>
      <c r="AW71" s="4183">
        <f>SUM(AV71*0.12)</f>
        <v>2027.6399999999999</v>
      </c>
      <c r="AX71" s="4288">
        <v>75612</v>
      </c>
      <c r="AY71" s="4183">
        <f>SUM(AX71*0.12)</f>
        <v>9073.44</v>
      </c>
      <c r="AZ71" s="4183">
        <v>3</v>
      </c>
      <c r="BA71" s="4177">
        <v>23760000</v>
      </c>
      <c r="BB71" s="4177">
        <v>5280000</v>
      </c>
      <c r="BC71" s="4180">
        <f>+BB71/BA71</f>
        <v>0.22222222222222221</v>
      </c>
      <c r="BD71" s="4217" t="s">
        <v>941</v>
      </c>
      <c r="BE71" s="4217" t="s">
        <v>822</v>
      </c>
      <c r="BF71" s="4286">
        <v>42948</v>
      </c>
      <c r="BG71" s="4283">
        <v>42772</v>
      </c>
      <c r="BH71" s="4286">
        <v>43100</v>
      </c>
      <c r="BI71" s="4283">
        <v>43091</v>
      </c>
      <c r="BJ71" s="4287" t="s">
        <v>880</v>
      </c>
    </row>
    <row r="72" spans="1:68" s="1646" customFormat="1" ht="39" customHeight="1" x14ac:dyDescent="0.2">
      <c r="A72" s="1771"/>
      <c r="B72" s="1772"/>
      <c r="C72" s="1773"/>
      <c r="D72" s="1772"/>
      <c r="E72" s="1772"/>
      <c r="F72" s="1773"/>
      <c r="G72" s="1771"/>
      <c r="H72" s="1772"/>
      <c r="I72" s="1773"/>
      <c r="J72" s="4203"/>
      <c r="K72" s="4206"/>
      <c r="L72" s="4203"/>
      <c r="M72" s="4203"/>
      <c r="N72" s="4169"/>
      <c r="O72" s="1776"/>
      <c r="P72" s="4203"/>
      <c r="Q72" s="4172"/>
      <c r="R72" s="4181"/>
      <c r="S72" s="4292"/>
      <c r="T72" s="4206"/>
      <c r="U72" s="4172"/>
      <c r="V72" s="1752" t="s">
        <v>942</v>
      </c>
      <c r="W72" s="1782">
        <v>16500000</v>
      </c>
      <c r="X72" s="1753">
        <v>4752000</v>
      </c>
      <c r="Y72" s="1753">
        <v>1056000</v>
      </c>
      <c r="Z72" s="1777"/>
      <c r="AA72" s="1776"/>
      <c r="AB72" s="4184"/>
      <c r="AC72" s="4184"/>
      <c r="AD72" s="4184"/>
      <c r="AE72" s="4184"/>
      <c r="AF72" s="4184"/>
      <c r="AG72" s="4184"/>
      <c r="AH72" s="4184"/>
      <c r="AI72" s="4184"/>
      <c r="AJ72" s="4184"/>
      <c r="AK72" s="4184"/>
      <c r="AL72" s="4184"/>
      <c r="AM72" s="4184"/>
      <c r="AN72" s="4184"/>
      <c r="AO72" s="4184"/>
      <c r="AP72" s="4184"/>
      <c r="AQ72" s="4184"/>
      <c r="AR72" s="4184"/>
      <c r="AS72" s="4184"/>
      <c r="AT72" s="4184"/>
      <c r="AU72" s="4184"/>
      <c r="AV72" s="4184"/>
      <c r="AW72" s="4184"/>
      <c r="AX72" s="4289"/>
      <c r="AY72" s="4184"/>
      <c r="AZ72" s="4184"/>
      <c r="BA72" s="4178"/>
      <c r="BB72" s="4178"/>
      <c r="BC72" s="4181"/>
      <c r="BD72" s="4218"/>
      <c r="BE72" s="4218"/>
      <c r="BF72" s="4286"/>
      <c r="BG72" s="4284"/>
      <c r="BH72" s="4286"/>
      <c r="BI72" s="4284"/>
      <c r="BJ72" s="4287"/>
    </row>
    <row r="73" spans="1:68" s="1646" customFormat="1" ht="64.5" customHeight="1" x14ac:dyDescent="0.2">
      <c r="A73" s="1771"/>
      <c r="B73" s="1772"/>
      <c r="C73" s="1773"/>
      <c r="D73" s="1772"/>
      <c r="E73" s="1772"/>
      <c r="F73" s="1773"/>
      <c r="G73" s="1771"/>
      <c r="H73" s="1772"/>
      <c r="I73" s="1773"/>
      <c r="J73" s="4203"/>
      <c r="K73" s="4206"/>
      <c r="L73" s="4203"/>
      <c r="M73" s="4203"/>
      <c r="N73" s="4169"/>
      <c r="O73" s="1776"/>
      <c r="P73" s="4203"/>
      <c r="Q73" s="4172"/>
      <c r="R73" s="4181"/>
      <c r="S73" s="4292"/>
      <c r="T73" s="4206"/>
      <c r="U73" s="4172"/>
      <c r="V73" s="1752" t="s">
        <v>943</v>
      </c>
      <c r="W73" s="1782">
        <v>36000000</v>
      </c>
      <c r="X73" s="1753">
        <v>4752000</v>
      </c>
      <c r="Y73" s="1753">
        <v>1056000</v>
      </c>
      <c r="Z73" s="1777"/>
      <c r="AA73" s="1776"/>
      <c r="AB73" s="4184"/>
      <c r="AC73" s="4184"/>
      <c r="AD73" s="4184"/>
      <c r="AE73" s="4184"/>
      <c r="AF73" s="4184"/>
      <c r="AG73" s="4184"/>
      <c r="AH73" s="4184"/>
      <c r="AI73" s="4184"/>
      <c r="AJ73" s="4184"/>
      <c r="AK73" s="4184"/>
      <c r="AL73" s="4184"/>
      <c r="AM73" s="4184"/>
      <c r="AN73" s="4184"/>
      <c r="AO73" s="4184"/>
      <c r="AP73" s="4184"/>
      <c r="AQ73" s="4184"/>
      <c r="AR73" s="4184"/>
      <c r="AS73" s="4184"/>
      <c r="AT73" s="4184"/>
      <c r="AU73" s="4184"/>
      <c r="AV73" s="4184"/>
      <c r="AW73" s="4184"/>
      <c r="AX73" s="4289"/>
      <c r="AY73" s="4184"/>
      <c r="AZ73" s="4184"/>
      <c r="BA73" s="4178"/>
      <c r="BB73" s="4178"/>
      <c r="BC73" s="4181"/>
      <c r="BD73" s="4218"/>
      <c r="BE73" s="4218"/>
      <c r="BF73" s="4286"/>
      <c r="BG73" s="4284"/>
      <c r="BH73" s="4286"/>
      <c r="BI73" s="4284"/>
      <c r="BJ73" s="4287"/>
    </row>
    <row r="74" spans="1:68" s="1646" customFormat="1" ht="65.25" customHeight="1" x14ac:dyDescent="0.2">
      <c r="A74" s="1771"/>
      <c r="B74" s="1772"/>
      <c r="C74" s="1773"/>
      <c r="D74" s="1772"/>
      <c r="E74" s="1772"/>
      <c r="F74" s="1773"/>
      <c r="G74" s="1771"/>
      <c r="H74" s="1772"/>
      <c r="I74" s="1773"/>
      <c r="J74" s="4203"/>
      <c r="K74" s="4206"/>
      <c r="L74" s="4203"/>
      <c r="M74" s="4203"/>
      <c r="N74" s="4169"/>
      <c r="O74" s="1776"/>
      <c r="P74" s="4203"/>
      <c r="Q74" s="4172"/>
      <c r="R74" s="4181"/>
      <c r="S74" s="4292"/>
      <c r="T74" s="4206"/>
      <c r="U74" s="4173"/>
      <c r="V74" s="1752" t="s">
        <v>944</v>
      </c>
      <c r="W74" s="1782">
        <v>10000000</v>
      </c>
      <c r="X74" s="1753">
        <v>4752000</v>
      </c>
      <c r="Y74" s="1753">
        <v>1056000</v>
      </c>
      <c r="Z74" s="1777"/>
      <c r="AA74" s="1776"/>
      <c r="AB74" s="4184"/>
      <c r="AC74" s="4184"/>
      <c r="AD74" s="4184"/>
      <c r="AE74" s="4184"/>
      <c r="AF74" s="4184"/>
      <c r="AG74" s="4184"/>
      <c r="AH74" s="4184"/>
      <c r="AI74" s="4184"/>
      <c r="AJ74" s="4184"/>
      <c r="AK74" s="4184"/>
      <c r="AL74" s="4184"/>
      <c r="AM74" s="4184"/>
      <c r="AN74" s="4184"/>
      <c r="AO74" s="4184"/>
      <c r="AP74" s="4184"/>
      <c r="AQ74" s="4184"/>
      <c r="AR74" s="4184"/>
      <c r="AS74" s="4184"/>
      <c r="AT74" s="4184"/>
      <c r="AU74" s="4184"/>
      <c r="AV74" s="4184"/>
      <c r="AW74" s="4184"/>
      <c r="AX74" s="4289"/>
      <c r="AY74" s="4184"/>
      <c r="AZ74" s="4184"/>
      <c r="BA74" s="4178"/>
      <c r="BB74" s="4178"/>
      <c r="BC74" s="4181"/>
      <c r="BD74" s="4218"/>
      <c r="BE74" s="4218"/>
      <c r="BF74" s="4286"/>
      <c r="BG74" s="4284"/>
      <c r="BH74" s="4286"/>
      <c r="BI74" s="4284"/>
      <c r="BJ74" s="4287"/>
    </row>
    <row r="75" spans="1:68" s="1646" customFormat="1" ht="56.25" customHeight="1" x14ac:dyDescent="0.2">
      <c r="A75" s="1771"/>
      <c r="B75" s="1772"/>
      <c r="C75" s="1773"/>
      <c r="D75" s="1772"/>
      <c r="E75" s="1772"/>
      <c r="F75" s="1773"/>
      <c r="G75" s="1771"/>
      <c r="H75" s="1772"/>
      <c r="I75" s="1773"/>
      <c r="J75" s="4203"/>
      <c r="K75" s="4206"/>
      <c r="L75" s="4203"/>
      <c r="M75" s="4203"/>
      <c r="N75" s="4169"/>
      <c r="O75" s="1776" t="s">
        <v>945</v>
      </c>
      <c r="P75" s="4203"/>
      <c r="Q75" s="4172"/>
      <c r="R75" s="4181"/>
      <c r="S75" s="4292"/>
      <c r="T75" s="4206"/>
      <c r="U75" s="4171" t="s">
        <v>946</v>
      </c>
      <c r="V75" s="1752" t="s">
        <v>947</v>
      </c>
      <c r="W75" s="1782">
        <v>10800000</v>
      </c>
      <c r="X75" s="1753">
        <v>4752000</v>
      </c>
      <c r="Y75" s="1753">
        <v>1056000</v>
      </c>
      <c r="Z75" s="1777">
        <v>113</v>
      </c>
      <c r="AA75" s="1776" t="s">
        <v>948</v>
      </c>
      <c r="AB75" s="4184"/>
      <c r="AC75" s="4184"/>
      <c r="AD75" s="4184"/>
      <c r="AE75" s="4184"/>
      <c r="AF75" s="4184"/>
      <c r="AG75" s="4184"/>
      <c r="AH75" s="4184"/>
      <c r="AI75" s="4184"/>
      <c r="AJ75" s="4184"/>
      <c r="AK75" s="4184"/>
      <c r="AL75" s="4184"/>
      <c r="AM75" s="4184"/>
      <c r="AN75" s="4184"/>
      <c r="AO75" s="4184"/>
      <c r="AP75" s="4184"/>
      <c r="AQ75" s="4184"/>
      <c r="AR75" s="4184"/>
      <c r="AS75" s="4184"/>
      <c r="AT75" s="4184"/>
      <c r="AU75" s="4184"/>
      <c r="AV75" s="4184"/>
      <c r="AW75" s="4184"/>
      <c r="AX75" s="4289"/>
      <c r="AY75" s="4184"/>
      <c r="AZ75" s="4184"/>
      <c r="BA75" s="4178"/>
      <c r="BB75" s="4178"/>
      <c r="BC75" s="4181"/>
      <c r="BD75" s="4218"/>
      <c r="BE75" s="4218"/>
      <c r="BF75" s="4286"/>
      <c r="BG75" s="4284"/>
      <c r="BH75" s="4286"/>
      <c r="BI75" s="4284"/>
      <c r="BJ75" s="4287"/>
    </row>
    <row r="76" spans="1:68" s="1646" customFormat="1" ht="95.25" customHeight="1" x14ac:dyDescent="0.2">
      <c r="A76" s="1771"/>
      <c r="B76" s="1772"/>
      <c r="C76" s="1773"/>
      <c r="D76" s="1772"/>
      <c r="E76" s="1772"/>
      <c r="F76" s="1773"/>
      <c r="G76" s="1771"/>
      <c r="H76" s="1772"/>
      <c r="I76" s="1773"/>
      <c r="J76" s="4203"/>
      <c r="K76" s="4206"/>
      <c r="L76" s="4203"/>
      <c r="M76" s="4203"/>
      <c r="N76" s="4169"/>
      <c r="O76" s="1776" t="s">
        <v>949</v>
      </c>
      <c r="P76" s="4203"/>
      <c r="Q76" s="4172"/>
      <c r="R76" s="4181"/>
      <c r="S76" s="4292"/>
      <c r="T76" s="4206"/>
      <c r="U76" s="4172"/>
      <c r="V76" s="1752" t="s">
        <v>950</v>
      </c>
      <c r="W76" s="1782">
        <v>20000000</v>
      </c>
      <c r="X76" s="1722">
        <v>0</v>
      </c>
      <c r="Y76" s="1722">
        <v>0</v>
      </c>
      <c r="Z76" s="1777">
        <v>114</v>
      </c>
      <c r="AA76" s="1783" t="s">
        <v>951</v>
      </c>
      <c r="AB76" s="4184"/>
      <c r="AC76" s="4184"/>
      <c r="AD76" s="4184"/>
      <c r="AE76" s="4184"/>
      <c r="AF76" s="4184"/>
      <c r="AG76" s="4184"/>
      <c r="AH76" s="4184"/>
      <c r="AI76" s="4184"/>
      <c r="AJ76" s="4184"/>
      <c r="AK76" s="4184"/>
      <c r="AL76" s="4184"/>
      <c r="AM76" s="4184"/>
      <c r="AN76" s="4184"/>
      <c r="AO76" s="4184"/>
      <c r="AP76" s="4184"/>
      <c r="AQ76" s="4184"/>
      <c r="AR76" s="4184"/>
      <c r="AS76" s="4184"/>
      <c r="AT76" s="4184"/>
      <c r="AU76" s="4184"/>
      <c r="AV76" s="4184"/>
      <c r="AW76" s="4184"/>
      <c r="AX76" s="4289"/>
      <c r="AY76" s="4184"/>
      <c r="AZ76" s="4184"/>
      <c r="BA76" s="4178"/>
      <c r="BB76" s="4178"/>
      <c r="BC76" s="4181"/>
      <c r="BD76" s="4218"/>
      <c r="BE76" s="4218"/>
      <c r="BF76" s="4286"/>
      <c r="BG76" s="4284"/>
      <c r="BH76" s="4286"/>
      <c r="BI76" s="4284"/>
      <c r="BJ76" s="4287"/>
    </row>
    <row r="77" spans="1:68" s="1646" customFormat="1" ht="68.25" customHeight="1" x14ac:dyDescent="0.2">
      <c r="A77" s="1771"/>
      <c r="B77" s="1772"/>
      <c r="C77" s="1773"/>
      <c r="D77" s="1772"/>
      <c r="E77" s="1772"/>
      <c r="F77" s="1773"/>
      <c r="G77" s="1771"/>
      <c r="H77" s="1772"/>
      <c r="I77" s="1773"/>
      <c r="J77" s="4203"/>
      <c r="K77" s="4206"/>
      <c r="L77" s="4203"/>
      <c r="M77" s="4203"/>
      <c r="N77" s="4169"/>
      <c r="O77" s="1776" t="s">
        <v>952</v>
      </c>
      <c r="P77" s="4203"/>
      <c r="Q77" s="4172"/>
      <c r="R77" s="4181"/>
      <c r="S77" s="4292"/>
      <c r="T77" s="4206"/>
      <c r="U77" s="4173"/>
      <c r="V77" s="1752" t="s">
        <v>953</v>
      </c>
      <c r="W77" s="1782">
        <v>957774</v>
      </c>
      <c r="X77" s="1722">
        <v>0</v>
      </c>
      <c r="Y77" s="1722">
        <v>0</v>
      </c>
      <c r="Z77" s="1777">
        <v>61</v>
      </c>
      <c r="AA77" s="1776" t="s">
        <v>820</v>
      </c>
      <c r="AB77" s="4184"/>
      <c r="AC77" s="4184"/>
      <c r="AD77" s="4184"/>
      <c r="AE77" s="4184"/>
      <c r="AF77" s="4184"/>
      <c r="AG77" s="4184"/>
      <c r="AH77" s="4184"/>
      <c r="AI77" s="4184"/>
      <c r="AJ77" s="4184"/>
      <c r="AK77" s="4184"/>
      <c r="AL77" s="4184"/>
      <c r="AM77" s="4184"/>
      <c r="AN77" s="4184"/>
      <c r="AO77" s="4184"/>
      <c r="AP77" s="4184"/>
      <c r="AQ77" s="4184"/>
      <c r="AR77" s="4184"/>
      <c r="AS77" s="4184"/>
      <c r="AT77" s="4184"/>
      <c r="AU77" s="4184"/>
      <c r="AV77" s="4184"/>
      <c r="AW77" s="4184"/>
      <c r="AX77" s="4289"/>
      <c r="AY77" s="4184"/>
      <c r="AZ77" s="4184"/>
      <c r="BA77" s="4178"/>
      <c r="BB77" s="4178"/>
      <c r="BC77" s="4181"/>
      <c r="BD77" s="4218"/>
      <c r="BE77" s="4218"/>
      <c r="BF77" s="4286"/>
      <c r="BG77" s="4284"/>
      <c r="BH77" s="4286"/>
      <c r="BI77" s="4284"/>
      <c r="BJ77" s="4287"/>
    </row>
    <row r="78" spans="1:68" s="1646" customFormat="1" ht="58.5" customHeight="1" x14ac:dyDescent="0.2">
      <c r="A78" s="1771"/>
      <c r="B78" s="1772"/>
      <c r="C78" s="1773"/>
      <c r="D78" s="1772"/>
      <c r="E78" s="1772"/>
      <c r="F78" s="1773"/>
      <c r="G78" s="1771"/>
      <c r="H78" s="1772"/>
      <c r="I78" s="1773"/>
      <c r="J78" s="4203"/>
      <c r="K78" s="4206"/>
      <c r="L78" s="4203"/>
      <c r="M78" s="4203"/>
      <c r="N78" s="4169"/>
      <c r="O78" s="1776"/>
      <c r="P78" s="4203"/>
      <c r="Q78" s="4172"/>
      <c r="R78" s="4181"/>
      <c r="S78" s="4292"/>
      <c r="T78" s="4206"/>
      <c r="U78" s="4171" t="s">
        <v>954</v>
      </c>
      <c r="V78" s="1752" t="s">
        <v>955</v>
      </c>
      <c r="W78" s="1782">
        <v>20000000</v>
      </c>
      <c r="X78" s="1722">
        <v>0</v>
      </c>
      <c r="Y78" s="1722">
        <v>0</v>
      </c>
      <c r="Z78" s="1777"/>
      <c r="AA78" s="1776"/>
      <c r="AB78" s="4184"/>
      <c r="AC78" s="4184"/>
      <c r="AD78" s="4184"/>
      <c r="AE78" s="4184"/>
      <c r="AF78" s="4184"/>
      <c r="AG78" s="4184"/>
      <c r="AH78" s="4184"/>
      <c r="AI78" s="4184"/>
      <c r="AJ78" s="4184"/>
      <c r="AK78" s="4184"/>
      <c r="AL78" s="4184"/>
      <c r="AM78" s="4184"/>
      <c r="AN78" s="4184"/>
      <c r="AO78" s="4184"/>
      <c r="AP78" s="4184"/>
      <c r="AQ78" s="4184"/>
      <c r="AR78" s="4184"/>
      <c r="AS78" s="4184"/>
      <c r="AT78" s="4184"/>
      <c r="AU78" s="4184"/>
      <c r="AV78" s="4184"/>
      <c r="AW78" s="4184"/>
      <c r="AX78" s="4289"/>
      <c r="AY78" s="4184"/>
      <c r="AZ78" s="4184"/>
      <c r="BA78" s="4178"/>
      <c r="BB78" s="4178"/>
      <c r="BC78" s="4181"/>
      <c r="BD78" s="4218"/>
      <c r="BE78" s="4218"/>
      <c r="BF78" s="4286"/>
      <c r="BG78" s="4284"/>
      <c r="BH78" s="4286"/>
      <c r="BI78" s="4284"/>
      <c r="BJ78" s="4287"/>
    </row>
    <row r="79" spans="1:68" s="1646" customFormat="1" ht="74.25" customHeight="1" x14ac:dyDescent="0.2">
      <c r="A79" s="1771"/>
      <c r="B79" s="1772"/>
      <c r="C79" s="1773"/>
      <c r="D79" s="1772"/>
      <c r="E79" s="1772"/>
      <c r="F79" s="1773"/>
      <c r="G79" s="1784"/>
      <c r="H79" s="1785"/>
      <c r="I79" s="1786"/>
      <c r="J79" s="4204"/>
      <c r="K79" s="4207"/>
      <c r="L79" s="4204"/>
      <c r="M79" s="4204"/>
      <c r="N79" s="4170"/>
      <c r="O79" s="1779"/>
      <c r="P79" s="4204"/>
      <c r="Q79" s="4173"/>
      <c r="R79" s="4182"/>
      <c r="S79" s="4293"/>
      <c r="T79" s="4207"/>
      <c r="U79" s="4173"/>
      <c r="V79" s="1752" t="s">
        <v>956</v>
      </c>
      <c r="W79" s="1782">
        <v>30000000</v>
      </c>
      <c r="X79" s="1722">
        <v>0</v>
      </c>
      <c r="Y79" s="1722">
        <v>0</v>
      </c>
      <c r="Z79" s="1787"/>
      <c r="AA79" s="1779"/>
      <c r="AB79" s="4185"/>
      <c r="AC79" s="4185"/>
      <c r="AD79" s="4185"/>
      <c r="AE79" s="4185"/>
      <c r="AF79" s="4185"/>
      <c r="AG79" s="4185"/>
      <c r="AH79" s="4185"/>
      <c r="AI79" s="4185"/>
      <c r="AJ79" s="4185"/>
      <c r="AK79" s="4185"/>
      <c r="AL79" s="4185"/>
      <c r="AM79" s="4185"/>
      <c r="AN79" s="4185"/>
      <c r="AO79" s="4185"/>
      <c r="AP79" s="4185"/>
      <c r="AQ79" s="4185"/>
      <c r="AR79" s="4185"/>
      <c r="AS79" s="4185"/>
      <c r="AT79" s="4185"/>
      <c r="AU79" s="4185"/>
      <c r="AV79" s="4185"/>
      <c r="AW79" s="4185"/>
      <c r="AX79" s="4290"/>
      <c r="AY79" s="4185"/>
      <c r="AZ79" s="4185"/>
      <c r="BA79" s="4179"/>
      <c r="BB79" s="4179"/>
      <c r="BC79" s="4182"/>
      <c r="BD79" s="4219"/>
      <c r="BE79" s="4219"/>
      <c r="BF79" s="4286"/>
      <c r="BG79" s="4285"/>
      <c r="BH79" s="4286"/>
      <c r="BI79" s="4285"/>
      <c r="BJ79" s="4287"/>
    </row>
    <row r="80" spans="1:68" s="1743" customFormat="1" ht="38.25" customHeight="1" x14ac:dyDescent="0.2">
      <c r="A80" s="1697"/>
      <c r="B80" s="1698"/>
      <c r="C80" s="1699"/>
      <c r="D80" s="1698"/>
      <c r="E80" s="1698"/>
      <c r="F80" s="1699"/>
      <c r="G80" s="1737">
        <v>41</v>
      </c>
      <c r="H80" s="1703" t="s">
        <v>957</v>
      </c>
      <c r="I80" s="1703"/>
      <c r="J80" s="1703"/>
      <c r="K80" s="1704"/>
      <c r="L80" s="1703"/>
      <c r="M80" s="1703"/>
      <c r="N80" s="1703"/>
      <c r="O80" s="1705"/>
      <c r="P80" s="1703"/>
      <c r="Q80" s="1704"/>
      <c r="R80" s="1703"/>
      <c r="S80" s="1703"/>
      <c r="T80" s="1703"/>
      <c r="U80" s="1704"/>
      <c r="V80" s="1704"/>
      <c r="W80" s="1706"/>
      <c r="X80" s="1763"/>
      <c r="Y80" s="1763"/>
      <c r="Z80" s="1738"/>
      <c r="AA80" s="1705"/>
      <c r="AB80" s="1705"/>
      <c r="AC80" s="1705"/>
      <c r="AD80" s="1705"/>
      <c r="AE80" s="1705"/>
      <c r="AF80" s="1705"/>
      <c r="AG80" s="1705"/>
      <c r="AH80" s="1705"/>
      <c r="AI80" s="1705"/>
      <c r="AJ80" s="1705"/>
      <c r="AK80" s="1705"/>
      <c r="AL80" s="1705"/>
      <c r="AM80" s="1705"/>
      <c r="AN80" s="1705"/>
      <c r="AO80" s="1705"/>
      <c r="AP80" s="1705"/>
      <c r="AQ80" s="1705"/>
      <c r="AR80" s="1705"/>
      <c r="AS80" s="1705"/>
      <c r="AT80" s="1705"/>
      <c r="AU80" s="1705"/>
      <c r="AV80" s="1705"/>
      <c r="AW80" s="1705"/>
      <c r="AX80" s="1705"/>
      <c r="AY80" s="1705"/>
      <c r="AZ80" s="1705"/>
      <c r="BA80" s="1705"/>
      <c r="BB80" s="1705"/>
      <c r="BC80" s="1705"/>
      <c r="BD80" s="1705"/>
      <c r="BE80" s="1705"/>
      <c r="BF80" s="1703"/>
      <c r="BG80" s="1703"/>
      <c r="BH80" s="1703"/>
      <c r="BI80" s="1703"/>
      <c r="BJ80" s="1739"/>
      <c r="BK80" s="1687"/>
      <c r="BL80" s="1687"/>
      <c r="BM80" s="1687"/>
      <c r="BN80" s="1687"/>
      <c r="BO80" s="1687"/>
      <c r="BP80" s="1687"/>
    </row>
    <row r="81" spans="1:68" ht="68.25" customHeight="1" x14ac:dyDescent="0.2">
      <c r="A81" s="1709"/>
      <c r="B81" s="1710"/>
      <c r="C81" s="1711"/>
      <c r="D81" s="1710"/>
      <c r="E81" s="1710"/>
      <c r="F81" s="1711"/>
      <c r="G81" s="1712"/>
      <c r="H81" s="1713"/>
      <c r="I81" s="1714"/>
      <c r="J81" s="4168">
        <v>147</v>
      </c>
      <c r="K81" s="4171" t="s">
        <v>958</v>
      </c>
      <c r="L81" s="4168" t="s">
        <v>324</v>
      </c>
      <c r="M81" s="4168">
        <v>14</v>
      </c>
      <c r="N81" s="4168">
        <v>0</v>
      </c>
      <c r="O81" s="4168" t="s">
        <v>959</v>
      </c>
      <c r="P81" s="4168">
        <v>143</v>
      </c>
      <c r="Q81" s="4171" t="s">
        <v>960</v>
      </c>
      <c r="R81" s="4174">
        <f>(W81+W82+W83)/S81</f>
        <v>0.5</v>
      </c>
      <c r="S81" s="4187">
        <v>10300000</v>
      </c>
      <c r="T81" s="4171" t="s">
        <v>961</v>
      </c>
      <c r="U81" s="4171" t="s">
        <v>962</v>
      </c>
      <c r="V81" s="1740" t="s">
        <v>963</v>
      </c>
      <c r="W81" s="1782">
        <v>2000000</v>
      </c>
      <c r="X81" s="1722">
        <v>0</v>
      </c>
      <c r="Y81" s="1722">
        <v>0</v>
      </c>
      <c r="Z81" s="4214">
        <v>61</v>
      </c>
      <c r="AA81" s="4168" t="s">
        <v>820</v>
      </c>
      <c r="AB81" s="4183">
        <f t="shared" ref="AB81:AX81" si="1">AB71</f>
        <v>64149</v>
      </c>
      <c r="AC81" s="4183">
        <v>0</v>
      </c>
      <c r="AD81" s="4183">
        <f t="shared" si="1"/>
        <v>72224</v>
      </c>
      <c r="AE81" s="4183">
        <v>0</v>
      </c>
      <c r="AF81" s="4183">
        <f t="shared" si="1"/>
        <v>27477</v>
      </c>
      <c r="AG81" s="4183">
        <v>0</v>
      </c>
      <c r="AH81" s="4183">
        <f t="shared" si="1"/>
        <v>86843</v>
      </c>
      <c r="AI81" s="4183">
        <v>0</v>
      </c>
      <c r="AJ81" s="4183">
        <f t="shared" si="1"/>
        <v>236429</v>
      </c>
      <c r="AK81" s="4183">
        <v>0</v>
      </c>
      <c r="AL81" s="4183">
        <f t="shared" si="1"/>
        <v>81384</v>
      </c>
      <c r="AM81" s="4183">
        <v>0</v>
      </c>
      <c r="AN81" s="4183">
        <f t="shared" si="1"/>
        <v>13208</v>
      </c>
      <c r="AO81" s="4183">
        <v>0</v>
      </c>
      <c r="AP81" s="4183">
        <f t="shared" si="1"/>
        <v>2145</v>
      </c>
      <c r="AQ81" s="4183">
        <v>0</v>
      </c>
      <c r="AR81" s="4183">
        <f t="shared" si="1"/>
        <v>413</v>
      </c>
      <c r="AS81" s="4183">
        <v>0</v>
      </c>
      <c r="AT81" s="4183">
        <f t="shared" si="1"/>
        <v>520</v>
      </c>
      <c r="AU81" s="4183">
        <v>0</v>
      </c>
      <c r="AV81" s="4183">
        <f t="shared" si="1"/>
        <v>16897</v>
      </c>
      <c r="AW81" s="4183">
        <v>0</v>
      </c>
      <c r="AX81" s="4183">
        <f t="shared" si="1"/>
        <v>75612</v>
      </c>
      <c r="AY81" s="4183">
        <v>0</v>
      </c>
      <c r="AZ81" s="4211">
        <v>0</v>
      </c>
      <c r="BA81" s="4211">
        <v>0</v>
      </c>
      <c r="BB81" s="4211">
        <v>0</v>
      </c>
      <c r="BC81" s="4180">
        <v>0</v>
      </c>
      <c r="BD81" s="4217">
        <v>61</v>
      </c>
      <c r="BE81" s="4217" t="s">
        <v>822</v>
      </c>
      <c r="BF81" s="4162">
        <v>42948</v>
      </c>
      <c r="BG81" s="4162" t="s">
        <v>154</v>
      </c>
      <c r="BH81" s="4162">
        <v>43100</v>
      </c>
      <c r="BI81" s="4162" t="s">
        <v>154</v>
      </c>
      <c r="BJ81" s="4165" t="s">
        <v>880</v>
      </c>
    </row>
    <row r="82" spans="1:68" ht="84" customHeight="1" x14ac:dyDescent="0.2">
      <c r="A82" s="1709"/>
      <c r="B82" s="1710"/>
      <c r="C82" s="1711"/>
      <c r="D82" s="1710"/>
      <c r="E82" s="1710"/>
      <c r="F82" s="1711"/>
      <c r="G82" s="1709"/>
      <c r="H82" s="1710"/>
      <c r="I82" s="1711"/>
      <c r="J82" s="4169"/>
      <c r="K82" s="4172"/>
      <c r="L82" s="4169"/>
      <c r="M82" s="4169"/>
      <c r="N82" s="4169"/>
      <c r="O82" s="4169"/>
      <c r="P82" s="4169"/>
      <c r="Q82" s="4172"/>
      <c r="R82" s="4175"/>
      <c r="S82" s="4188"/>
      <c r="T82" s="4172"/>
      <c r="U82" s="4172"/>
      <c r="V82" s="1740" t="s">
        <v>964</v>
      </c>
      <c r="W82" s="1782">
        <v>2000000</v>
      </c>
      <c r="X82" s="1722">
        <v>0</v>
      </c>
      <c r="Y82" s="1722">
        <v>0</v>
      </c>
      <c r="Z82" s="4215"/>
      <c r="AA82" s="4169"/>
      <c r="AB82" s="4184"/>
      <c r="AC82" s="4184"/>
      <c r="AD82" s="4184"/>
      <c r="AE82" s="4184"/>
      <c r="AF82" s="4184"/>
      <c r="AG82" s="4184"/>
      <c r="AH82" s="4184"/>
      <c r="AI82" s="4184"/>
      <c r="AJ82" s="4184"/>
      <c r="AK82" s="4184"/>
      <c r="AL82" s="4184"/>
      <c r="AM82" s="4184"/>
      <c r="AN82" s="4184"/>
      <c r="AO82" s="4184"/>
      <c r="AP82" s="4184"/>
      <c r="AQ82" s="4184"/>
      <c r="AR82" s="4184"/>
      <c r="AS82" s="4184"/>
      <c r="AT82" s="4184"/>
      <c r="AU82" s="4184"/>
      <c r="AV82" s="4184"/>
      <c r="AW82" s="4184"/>
      <c r="AX82" s="4184"/>
      <c r="AY82" s="4184"/>
      <c r="AZ82" s="4212"/>
      <c r="BA82" s="4212"/>
      <c r="BB82" s="4212"/>
      <c r="BC82" s="4181"/>
      <c r="BD82" s="4218"/>
      <c r="BE82" s="4218"/>
      <c r="BF82" s="4163"/>
      <c r="BG82" s="4163"/>
      <c r="BH82" s="4163"/>
      <c r="BI82" s="4163"/>
      <c r="BJ82" s="4166"/>
    </row>
    <row r="83" spans="1:68" ht="81.75" customHeight="1" x14ac:dyDescent="0.2">
      <c r="A83" s="1709"/>
      <c r="B83" s="1710"/>
      <c r="C83" s="1711"/>
      <c r="D83" s="1710"/>
      <c r="E83" s="1710"/>
      <c r="F83" s="1711"/>
      <c r="G83" s="1709"/>
      <c r="H83" s="1710"/>
      <c r="I83" s="1711"/>
      <c r="J83" s="4170"/>
      <c r="K83" s="4173"/>
      <c r="L83" s="4170"/>
      <c r="M83" s="4170"/>
      <c r="N83" s="4170"/>
      <c r="O83" s="4169"/>
      <c r="P83" s="4169"/>
      <c r="Q83" s="4172"/>
      <c r="R83" s="4176"/>
      <c r="S83" s="4188"/>
      <c r="T83" s="4172"/>
      <c r="U83" s="4173"/>
      <c r="V83" s="1740" t="s">
        <v>965</v>
      </c>
      <c r="W83" s="1782">
        <v>1150000</v>
      </c>
      <c r="X83" s="1722">
        <v>0</v>
      </c>
      <c r="Y83" s="1722">
        <v>0</v>
      </c>
      <c r="Z83" s="4215"/>
      <c r="AA83" s="4169"/>
      <c r="AB83" s="4184"/>
      <c r="AC83" s="4184"/>
      <c r="AD83" s="4184"/>
      <c r="AE83" s="4184"/>
      <c r="AF83" s="4184"/>
      <c r="AG83" s="4184"/>
      <c r="AH83" s="4184"/>
      <c r="AI83" s="4184"/>
      <c r="AJ83" s="4184"/>
      <c r="AK83" s="4184"/>
      <c r="AL83" s="4184"/>
      <c r="AM83" s="4184"/>
      <c r="AN83" s="4184"/>
      <c r="AO83" s="4184"/>
      <c r="AP83" s="4184"/>
      <c r="AQ83" s="4184"/>
      <c r="AR83" s="4184"/>
      <c r="AS83" s="4184"/>
      <c r="AT83" s="4184"/>
      <c r="AU83" s="4184"/>
      <c r="AV83" s="4184"/>
      <c r="AW83" s="4184"/>
      <c r="AX83" s="4184"/>
      <c r="AY83" s="4184"/>
      <c r="AZ83" s="4212"/>
      <c r="BA83" s="4212"/>
      <c r="BB83" s="4212"/>
      <c r="BC83" s="4181"/>
      <c r="BD83" s="4218"/>
      <c r="BE83" s="4218"/>
      <c r="BF83" s="4163"/>
      <c r="BG83" s="4163"/>
      <c r="BH83" s="4163"/>
      <c r="BI83" s="4163"/>
      <c r="BJ83" s="4166"/>
    </row>
    <row r="84" spans="1:68" ht="88.5" customHeight="1" x14ac:dyDescent="0.2">
      <c r="A84" s="1709"/>
      <c r="B84" s="1710"/>
      <c r="C84" s="1711"/>
      <c r="D84" s="1710"/>
      <c r="E84" s="1710"/>
      <c r="F84" s="1711"/>
      <c r="G84" s="1709"/>
      <c r="H84" s="1710"/>
      <c r="I84" s="1711"/>
      <c r="J84" s="4168">
        <v>148</v>
      </c>
      <c r="K84" s="4171" t="s">
        <v>966</v>
      </c>
      <c r="L84" s="4168" t="s">
        <v>324</v>
      </c>
      <c r="M84" s="4168">
        <v>11</v>
      </c>
      <c r="N84" s="4168">
        <v>0</v>
      </c>
      <c r="O84" s="4169"/>
      <c r="P84" s="4169"/>
      <c r="Q84" s="4172"/>
      <c r="R84" s="4174">
        <f>(W84+W85+W86+W87)/S81</f>
        <v>0.5</v>
      </c>
      <c r="S84" s="4188"/>
      <c r="T84" s="4172"/>
      <c r="U84" s="4171" t="s">
        <v>967</v>
      </c>
      <c r="V84" s="1740" t="s">
        <v>968</v>
      </c>
      <c r="W84" s="1782">
        <v>3000000</v>
      </c>
      <c r="X84" s="1722">
        <v>0</v>
      </c>
      <c r="Y84" s="1722">
        <v>0</v>
      </c>
      <c r="Z84" s="4215"/>
      <c r="AA84" s="4169"/>
      <c r="AB84" s="4184"/>
      <c r="AC84" s="4184"/>
      <c r="AD84" s="4184"/>
      <c r="AE84" s="4184"/>
      <c r="AF84" s="4184"/>
      <c r="AG84" s="4184"/>
      <c r="AH84" s="4184"/>
      <c r="AI84" s="4184"/>
      <c r="AJ84" s="4184"/>
      <c r="AK84" s="4184"/>
      <c r="AL84" s="4184"/>
      <c r="AM84" s="4184"/>
      <c r="AN84" s="4184"/>
      <c r="AO84" s="4184"/>
      <c r="AP84" s="4184"/>
      <c r="AQ84" s="4184"/>
      <c r="AR84" s="4184"/>
      <c r="AS84" s="4184"/>
      <c r="AT84" s="4184"/>
      <c r="AU84" s="4184"/>
      <c r="AV84" s="4184"/>
      <c r="AW84" s="4184"/>
      <c r="AX84" s="4184"/>
      <c r="AY84" s="4184"/>
      <c r="AZ84" s="4212"/>
      <c r="BA84" s="4212"/>
      <c r="BB84" s="4212"/>
      <c r="BC84" s="4181"/>
      <c r="BD84" s="4218"/>
      <c r="BE84" s="4218"/>
      <c r="BF84" s="4163"/>
      <c r="BG84" s="4163"/>
      <c r="BH84" s="4163"/>
      <c r="BI84" s="4163"/>
      <c r="BJ84" s="4166"/>
    </row>
    <row r="85" spans="1:68" ht="67.5" customHeight="1" x14ac:dyDescent="0.2">
      <c r="A85" s="1709"/>
      <c r="B85" s="1710"/>
      <c r="C85" s="1711"/>
      <c r="D85" s="1710"/>
      <c r="E85" s="1710"/>
      <c r="F85" s="1711"/>
      <c r="G85" s="1709"/>
      <c r="H85" s="1710"/>
      <c r="I85" s="1711"/>
      <c r="J85" s="4169"/>
      <c r="K85" s="4172"/>
      <c r="L85" s="4169"/>
      <c r="M85" s="4169"/>
      <c r="N85" s="4169"/>
      <c r="O85" s="4169"/>
      <c r="P85" s="4169"/>
      <c r="Q85" s="4172"/>
      <c r="R85" s="4175"/>
      <c r="S85" s="4188"/>
      <c r="T85" s="4172"/>
      <c r="U85" s="4172"/>
      <c r="V85" s="1740" t="s">
        <v>969</v>
      </c>
      <c r="W85" s="1782">
        <v>500000</v>
      </c>
      <c r="X85" s="1722">
        <v>0</v>
      </c>
      <c r="Y85" s="1722">
        <v>0</v>
      </c>
      <c r="Z85" s="4215"/>
      <c r="AA85" s="4169"/>
      <c r="AB85" s="4184"/>
      <c r="AC85" s="4184"/>
      <c r="AD85" s="4184"/>
      <c r="AE85" s="4184"/>
      <c r="AF85" s="4184"/>
      <c r="AG85" s="4184"/>
      <c r="AH85" s="4184"/>
      <c r="AI85" s="4184"/>
      <c r="AJ85" s="4184"/>
      <c r="AK85" s="4184"/>
      <c r="AL85" s="4184"/>
      <c r="AM85" s="4184"/>
      <c r="AN85" s="4184"/>
      <c r="AO85" s="4184"/>
      <c r="AP85" s="4184"/>
      <c r="AQ85" s="4184"/>
      <c r="AR85" s="4184"/>
      <c r="AS85" s="4184"/>
      <c r="AT85" s="4184"/>
      <c r="AU85" s="4184"/>
      <c r="AV85" s="4184"/>
      <c r="AW85" s="4184"/>
      <c r="AX85" s="4184"/>
      <c r="AY85" s="4184"/>
      <c r="AZ85" s="4212"/>
      <c r="BA85" s="4212"/>
      <c r="BB85" s="4212"/>
      <c r="BC85" s="4181"/>
      <c r="BD85" s="4218"/>
      <c r="BE85" s="4218"/>
      <c r="BF85" s="4163"/>
      <c r="BG85" s="4163"/>
      <c r="BH85" s="4163"/>
      <c r="BI85" s="4163"/>
      <c r="BJ85" s="4166"/>
    </row>
    <row r="86" spans="1:68" ht="85.5" customHeight="1" x14ac:dyDescent="0.2">
      <c r="A86" s="1709"/>
      <c r="B86" s="1710"/>
      <c r="C86" s="1711"/>
      <c r="D86" s="1710"/>
      <c r="E86" s="1710"/>
      <c r="F86" s="1711"/>
      <c r="G86" s="1709"/>
      <c r="H86" s="1710"/>
      <c r="I86" s="1711"/>
      <c r="J86" s="4169"/>
      <c r="K86" s="4172"/>
      <c r="L86" s="4169"/>
      <c r="M86" s="4169"/>
      <c r="N86" s="4169"/>
      <c r="O86" s="4169"/>
      <c r="P86" s="4169"/>
      <c r="Q86" s="4172"/>
      <c r="R86" s="4175"/>
      <c r="S86" s="4188"/>
      <c r="T86" s="4172"/>
      <c r="U86" s="4172"/>
      <c r="V86" s="1740" t="s">
        <v>970</v>
      </c>
      <c r="W86" s="1782">
        <v>500000</v>
      </c>
      <c r="X86" s="1722">
        <v>0</v>
      </c>
      <c r="Y86" s="1722">
        <v>0</v>
      </c>
      <c r="Z86" s="4215"/>
      <c r="AA86" s="4169"/>
      <c r="AB86" s="4184"/>
      <c r="AC86" s="4184"/>
      <c r="AD86" s="4184"/>
      <c r="AE86" s="4184"/>
      <c r="AF86" s="4184"/>
      <c r="AG86" s="4184"/>
      <c r="AH86" s="4184"/>
      <c r="AI86" s="4184"/>
      <c r="AJ86" s="4184"/>
      <c r="AK86" s="4184"/>
      <c r="AL86" s="4184"/>
      <c r="AM86" s="4184"/>
      <c r="AN86" s="4184"/>
      <c r="AO86" s="4184"/>
      <c r="AP86" s="4184"/>
      <c r="AQ86" s="4184"/>
      <c r="AR86" s="4184"/>
      <c r="AS86" s="4184"/>
      <c r="AT86" s="4184"/>
      <c r="AU86" s="4184"/>
      <c r="AV86" s="4184"/>
      <c r="AW86" s="4184"/>
      <c r="AX86" s="4184"/>
      <c r="AY86" s="4184"/>
      <c r="AZ86" s="4212"/>
      <c r="BA86" s="4212"/>
      <c r="BB86" s="4212"/>
      <c r="BC86" s="4181"/>
      <c r="BD86" s="4218"/>
      <c r="BE86" s="4218"/>
      <c r="BF86" s="4163"/>
      <c r="BG86" s="4163"/>
      <c r="BH86" s="4163"/>
      <c r="BI86" s="4163"/>
      <c r="BJ86" s="4166"/>
    </row>
    <row r="87" spans="1:68" ht="90.75" customHeight="1" x14ac:dyDescent="0.2">
      <c r="A87" s="1709"/>
      <c r="B87" s="1710"/>
      <c r="C87" s="1711"/>
      <c r="D87" s="1710"/>
      <c r="E87" s="1710"/>
      <c r="F87" s="1711"/>
      <c r="G87" s="1729"/>
      <c r="H87" s="1727"/>
      <c r="I87" s="1728"/>
      <c r="J87" s="4170"/>
      <c r="K87" s="4173"/>
      <c r="L87" s="4170"/>
      <c r="M87" s="4170"/>
      <c r="N87" s="4170"/>
      <c r="O87" s="4170"/>
      <c r="P87" s="4170"/>
      <c r="Q87" s="4173"/>
      <c r="R87" s="4176"/>
      <c r="S87" s="4189"/>
      <c r="T87" s="4173"/>
      <c r="U87" s="4173"/>
      <c r="V87" s="1740" t="s">
        <v>971</v>
      </c>
      <c r="W87" s="1782">
        <v>1150000</v>
      </c>
      <c r="X87" s="1722">
        <v>0</v>
      </c>
      <c r="Y87" s="1722">
        <v>0</v>
      </c>
      <c r="Z87" s="4216"/>
      <c r="AA87" s="4170"/>
      <c r="AB87" s="4185"/>
      <c r="AC87" s="4185"/>
      <c r="AD87" s="4185"/>
      <c r="AE87" s="4185"/>
      <c r="AF87" s="4185"/>
      <c r="AG87" s="4185"/>
      <c r="AH87" s="4185"/>
      <c r="AI87" s="4185"/>
      <c r="AJ87" s="4185"/>
      <c r="AK87" s="4185"/>
      <c r="AL87" s="4185"/>
      <c r="AM87" s="4185"/>
      <c r="AN87" s="4185"/>
      <c r="AO87" s="4185"/>
      <c r="AP87" s="4185"/>
      <c r="AQ87" s="4185"/>
      <c r="AR87" s="4185"/>
      <c r="AS87" s="4185"/>
      <c r="AT87" s="4185"/>
      <c r="AU87" s="4185"/>
      <c r="AV87" s="4185"/>
      <c r="AW87" s="4185"/>
      <c r="AX87" s="4185"/>
      <c r="AY87" s="4185"/>
      <c r="AZ87" s="4213"/>
      <c r="BA87" s="4213"/>
      <c r="BB87" s="4213"/>
      <c r="BC87" s="4182"/>
      <c r="BD87" s="4219"/>
      <c r="BE87" s="4219"/>
      <c r="BF87" s="4164"/>
      <c r="BG87" s="4164"/>
      <c r="BH87" s="4164"/>
      <c r="BI87" s="4164"/>
      <c r="BJ87" s="4167"/>
    </row>
    <row r="88" spans="1:68" s="1743" customFormat="1" ht="36" customHeight="1" x14ac:dyDescent="0.2">
      <c r="A88" s="1697"/>
      <c r="B88" s="1698"/>
      <c r="C88" s="1699"/>
      <c r="D88" s="1698"/>
      <c r="E88" s="1698"/>
      <c r="F88" s="1699"/>
      <c r="G88" s="1737">
        <v>42</v>
      </c>
      <c r="H88" s="1703" t="s">
        <v>972</v>
      </c>
      <c r="I88" s="1703"/>
      <c r="J88" s="1703"/>
      <c r="K88" s="1704"/>
      <c r="L88" s="1703"/>
      <c r="M88" s="1703"/>
      <c r="N88" s="1703"/>
      <c r="O88" s="1705"/>
      <c r="P88" s="1703"/>
      <c r="Q88" s="1704"/>
      <c r="R88" s="1703"/>
      <c r="S88" s="1703"/>
      <c r="T88" s="1703"/>
      <c r="U88" s="1704"/>
      <c r="V88" s="1704"/>
      <c r="W88" s="1706"/>
      <c r="X88" s="1762"/>
      <c r="Y88" s="1762"/>
      <c r="Z88" s="1738"/>
      <c r="AA88" s="1705"/>
      <c r="AB88" s="1705"/>
      <c r="AC88" s="1705"/>
      <c r="AD88" s="1705"/>
      <c r="AE88" s="1705"/>
      <c r="AF88" s="1705"/>
      <c r="AG88" s="1705"/>
      <c r="AH88" s="1705"/>
      <c r="AI88" s="1705"/>
      <c r="AJ88" s="1705"/>
      <c r="AK88" s="1705"/>
      <c r="AL88" s="1705"/>
      <c r="AM88" s="1705"/>
      <c r="AN88" s="1705"/>
      <c r="AO88" s="1705"/>
      <c r="AP88" s="1705"/>
      <c r="AQ88" s="1705"/>
      <c r="AR88" s="1705"/>
      <c r="AS88" s="1705"/>
      <c r="AT88" s="1705"/>
      <c r="AU88" s="1705"/>
      <c r="AV88" s="1705"/>
      <c r="AW88" s="1705"/>
      <c r="AX88" s="1705"/>
      <c r="AY88" s="1705"/>
      <c r="AZ88" s="1705"/>
      <c r="BA88" s="1705"/>
      <c r="BB88" s="1705"/>
      <c r="BC88" s="1705"/>
      <c r="BD88" s="1705"/>
      <c r="BE88" s="1705"/>
      <c r="BF88" s="1703"/>
      <c r="BG88" s="1703"/>
      <c r="BH88" s="1703"/>
      <c r="BI88" s="1703"/>
      <c r="BJ88" s="1739"/>
      <c r="BK88" s="1687"/>
      <c r="BL88" s="1687"/>
      <c r="BM88" s="1687"/>
      <c r="BN88" s="1687"/>
      <c r="BO88" s="1687"/>
      <c r="BP88" s="1687"/>
    </row>
    <row r="89" spans="1:68" ht="55.5" customHeight="1" x14ac:dyDescent="0.2">
      <c r="A89" s="1709"/>
      <c r="B89" s="1710"/>
      <c r="C89" s="1711"/>
      <c r="D89" s="1710"/>
      <c r="E89" s="1710"/>
      <c r="F89" s="1711"/>
      <c r="G89" s="1712"/>
      <c r="H89" s="1713"/>
      <c r="I89" s="1714"/>
      <c r="J89" s="4168">
        <v>149</v>
      </c>
      <c r="K89" s="4171" t="s">
        <v>973</v>
      </c>
      <c r="L89" s="4168" t="s">
        <v>324</v>
      </c>
      <c r="M89" s="4168">
        <v>8</v>
      </c>
      <c r="N89" s="4168">
        <v>0.85</v>
      </c>
      <c r="O89" s="4168" t="s">
        <v>974</v>
      </c>
      <c r="P89" s="4168">
        <v>145</v>
      </c>
      <c r="Q89" s="4171" t="s">
        <v>975</v>
      </c>
      <c r="R89" s="4174">
        <f>(W89+W90+W91)/S89</f>
        <v>0.75</v>
      </c>
      <c r="S89" s="4187">
        <v>51500000</v>
      </c>
      <c r="T89" s="4171" t="s">
        <v>976</v>
      </c>
      <c r="U89" s="4171" t="s">
        <v>977</v>
      </c>
      <c r="V89" s="1740" t="s">
        <v>978</v>
      </c>
      <c r="W89" s="1782">
        <v>16000000</v>
      </c>
      <c r="X89" s="1753">
        <v>16000000</v>
      </c>
      <c r="Y89" s="1722">
        <v>0</v>
      </c>
      <c r="Z89" s="4214">
        <v>61</v>
      </c>
      <c r="AA89" s="4168" t="s">
        <v>820</v>
      </c>
      <c r="AB89" s="4280">
        <f t="shared" ref="AB89:AX89" si="2">AB81</f>
        <v>64149</v>
      </c>
      <c r="AC89" s="4280">
        <f>SUM(AB89*0.96)</f>
        <v>61583.040000000001</v>
      </c>
      <c r="AD89" s="4280">
        <f t="shared" si="2"/>
        <v>72224</v>
      </c>
      <c r="AE89" s="4280">
        <f>SUM(AD89*0.96)</f>
        <v>69335.039999999994</v>
      </c>
      <c r="AF89" s="4280">
        <f t="shared" si="2"/>
        <v>27477</v>
      </c>
      <c r="AG89" s="4280">
        <f>SUM(AF89*0.96)</f>
        <v>26377.919999999998</v>
      </c>
      <c r="AH89" s="4280">
        <f t="shared" si="2"/>
        <v>86843</v>
      </c>
      <c r="AI89" s="4280">
        <f>SUM(AH89*0.96)</f>
        <v>83369.279999999999</v>
      </c>
      <c r="AJ89" s="4280">
        <f t="shared" si="2"/>
        <v>236429</v>
      </c>
      <c r="AK89" s="4280">
        <f>SUM(AJ89*0.96)</f>
        <v>226971.84</v>
      </c>
      <c r="AL89" s="4280">
        <f t="shared" si="2"/>
        <v>81384</v>
      </c>
      <c r="AM89" s="4280">
        <f>SUM(AL89*0.96)</f>
        <v>78128.639999999999</v>
      </c>
      <c r="AN89" s="4280">
        <f t="shared" si="2"/>
        <v>13208</v>
      </c>
      <c r="AO89" s="4280">
        <f>SUM(AN89*0.96)</f>
        <v>12679.68</v>
      </c>
      <c r="AP89" s="4280">
        <f t="shared" si="2"/>
        <v>2145</v>
      </c>
      <c r="AQ89" s="4280">
        <f>SUM(AP89*0.96)</f>
        <v>2059.1999999999998</v>
      </c>
      <c r="AR89" s="4280">
        <f t="shared" si="2"/>
        <v>413</v>
      </c>
      <c r="AS89" s="4280">
        <f>SUM(AR89*0.96)</f>
        <v>396.47999999999996</v>
      </c>
      <c r="AT89" s="4280">
        <f t="shared" si="2"/>
        <v>520</v>
      </c>
      <c r="AU89" s="4280">
        <f>SUM(AT89*0.96)</f>
        <v>499.2</v>
      </c>
      <c r="AV89" s="4280">
        <f t="shared" si="2"/>
        <v>16897</v>
      </c>
      <c r="AW89" s="4280">
        <f>SUM(AV89*0.96)</f>
        <v>16221.119999999999</v>
      </c>
      <c r="AX89" s="4280">
        <f t="shared" si="2"/>
        <v>75612</v>
      </c>
      <c r="AY89" s="4280">
        <f>SUM(AX89*0.96)</f>
        <v>72587.520000000004</v>
      </c>
      <c r="AZ89" s="4280">
        <v>4</v>
      </c>
      <c r="BA89" s="4177">
        <v>49600000</v>
      </c>
      <c r="BB89" s="4211">
        <v>0</v>
      </c>
      <c r="BC89" s="4180">
        <f>+BB89/BA89</f>
        <v>0</v>
      </c>
      <c r="BD89" s="4280">
        <v>61</v>
      </c>
      <c r="BE89" s="4280" t="s">
        <v>822</v>
      </c>
      <c r="BF89" s="4162">
        <v>42948</v>
      </c>
      <c r="BG89" s="4162">
        <v>42797</v>
      </c>
      <c r="BH89" s="4162">
        <v>43100</v>
      </c>
      <c r="BI89" s="4162">
        <v>43091</v>
      </c>
      <c r="BJ89" s="4165" t="s">
        <v>880</v>
      </c>
      <c r="BK89" s="1647"/>
      <c r="BL89" s="1647"/>
    </row>
    <row r="90" spans="1:68" ht="81" customHeight="1" x14ac:dyDescent="0.2">
      <c r="A90" s="1709"/>
      <c r="B90" s="1710"/>
      <c r="C90" s="1711"/>
      <c r="D90" s="1710"/>
      <c r="E90" s="1710"/>
      <c r="F90" s="1711"/>
      <c r="G90" s="1709"/>
      <c r="H90" s="1710"/>
      <c r="I90" s="1711"/>
      <c r="J90" s="4169"/>
      <c r="K90" s="4172"/>
      <c r="L90" s="4169"/>
      <c r="M90" s="4169"/>
      <c r="N90" s="4169"/>
      <c r="O90" s="4169"/>
      <c r="P90" s="4169"/>
      <c r="Q90" s="4172"/>
      <c r="R90" s="4175"/>
      <c r="S90" s="4188"/>
      <c r="T90" s="4172"/>
      <c r="U90" s="4172"/>
      <c r="V90" s="1740" t="s">
        <v>979</v>
      </c>
      <c r="W90" s="1782">
        <v>11000000</v>
      </c>
      <c r="X90" s="1753">
        <v>11000000</v>
      </c>
      <c r="Y90" s="1722">
        <v>0</v>
      </c>
      <c r="Z90" s="4215"/>
      <c r="AA90" s="4169"/>
      <c r="AB90" s="4281"/>
      <c r="AC90" s="4281"/>
      <c r="AD90" s="4281"/>
      <c r="AE90" s="4281"/>
      <c r="AF90" s="4281"/>
      <c r="AG90" s="4281"/>
      <c r="AH90" s="4281"/>
      <c r="AI90" s="4281"/>
      <c r="AJ90" s="4281"/>
      <c r="AK90" s="4281"/>
      <c r="AL90" s="4281"/>
      <c r="AM90" s="4281"/>
      <c r="AN90" s="4281"/>
      <c r="AO90" s="4281"/>
      <c r="AP90" s="4281"/>
      <c r="AQ90" s="4281"/>
      <c r="AR90" s="4281"/>
      <c r="AS90" s="4281"/>
      <c r="AT90" s="4281"/>
      <c r="AU90" s="4281"/>
      <c r="AV90" s="4281"/>
      <c r="AW90" s="4281"/>
      <c r="AX90" s="4281"/>
      <c r="AY90" s="4281"/>
      <c r="AZ90" s="4281"/>
      <c r="BA90" s="4178"/>
      <c r="BB90" s="4212"/>
      <c r="BC90" s="4181"/>
      <c r="BD90" s="4281"/>
      <c r="BE90" s="4281"/>
      <c r="BF90" s="4163"/>
      <c r="BG90" s="4163"/>
      <c r="BH90" s="4163"/>
      <c r="BI90" s="4163"/>
      <c r="BJ90" s="4166"/>
      <c r="BK90" s="1647"/>
      <c r="BL90" s="1647"/>
    </row>
    <row r="91" spans="1:68" ht="135.75" customHeight="1" x14ac:dyDescent="0.2">
      <c r="A91" s="1709"/>
      <c r="B91" s="1710"/>
      <c r="C91" s="1711"/>
      <c r="D91" s="1710"/>
      <c r="E91" s="1710"/>
      <c r="F91" s="1711"/>
      <c r="G91" s="1709"/>
      <c r="H91" s="1710"/>
      <c r="I91" s="1711"/>
      <c r="J91" s="4170"/>
      <c r="K91" s="4173"/>
      <c r="L91" s="4170"/>
      <c r="M91" s="4170"/>
      <c r="N91" s="4170"/>
      <c r="O91" s="4169"/>
      <c r="P91" s="4169"/>
      <c r="Q91" s="4172"/>
      <c r="R91" s="4176"/>
      <c r="S91" s="4188"/>
      <c r="T91" s="4172"/>
      <c r="U91" s="4173"/>
      <c r="V91" s="1740" t="s">
        <v>980</v>
      </c>
      <c r="W91" s="1782">
        <v>11625000</v>
      </c>
      <c r="X91" s="1753">
        <v>9725000</v>
      </c>
      <c r="Y91" s="1722">
        <v>0</v>
      </c>
      <c r="Z91" s="4215"/>
      <c r="AA91" s="4169"/>
      <c r="AB91" s="4281"/>
      <c r="AC91" s="4281"/>
      <c r="AD91" s="4281"/>
      <c r="AE91" s="4281"/>
      <c r="AF91" s="4281"/>
      <c r="AG91" s="4281"/>
      <c r="AH91" s="4281"/>
      <c r="AI91" s="4281"/>
      <c r="AJ91" s="4281"/>
      <c r="AK91" s="4281"/>
      <c r="AL91" s="4281"/>
      <c r="AM91" s="4281"/>
      <c r="AN91" s="4281"/>
      <c r="AO91" s="4281"/>
      <c r="AP91" s="4281"/>
      <c r="AQ91" s="4281"/>
      <c r="AR91" s="4281"/>
      <c r="AS91" s="4281"/>
      <c r="AT91" s="4281"/>
      <c r="AU91" s="4281"/>
      <c r="AV91" s="4281"/>
      <c r="AW91" s="4281"/>
      <c r="AX91" s="4281"/>
      <c r="AY91" s="4281"/>
      <c r="AZ91" s="4281"/>
      <c r="BA91" s="4178"/>
      <c r="BB91" s="4212"/>
      <c r="BC91" s="4181"/>
      <c r="BD91" s="4281"/>
      <c r="BE91" s="4281"/>
      <c r="BF91" s="4163"/>
      <c r="BG91" s="4163"/>
      <c r="BH91" s="4163"/>
      <c r="BI91" s="4163"/>
      <c r="BJ91" s="4166"/>
      <c r="BK91" s="1647"/>
      <c r="BL91" s="1723"/>
    </row>
    <row r="92" spans="1:68" ht="62.25" customHeight="1" x14ac:dyDescent="0.2">
      <c r="A92" s="1709"/>
      <c r="B92" s="1710"/>
      <c r="C92" s="1711"/>
      <c r="D92" s="1710"/>
      <c r="E92" s="1710"/>
      <c r="F92" s="1711"/>
      <c r="G92" s="1709"/>
      <c r="H92" s="1710"/>
      <c r="I92" s="1711"/>
      <c r="J92" s="4168">
        <v>150</v>
      </c>
      <c r="K92" s="4171" t="s">
        <v>981</v>
      </c>
      <c r="L92" s="4168" t="s">
        <v>324</v>
      </c>
      <c r="M92" s="4168">
        <v>14</v>
      </c>
      <c r="N92" s="4168">
        <v>5</v>
      </c>
      <c r="O92" s="4169"/>
      <c r="P92" s="4169"/>
      <c r="Q92" s="4172"/>
      <c r="R92" s="4174">
        <f>(W92+W93+W94)/S89</f>
        <v>0.25</v>
      </c>
      <c r="S92" s="4188"/>
      <c r="T92" s="4172"/>
      <c r="U92" s="4171" t="s">
        <v>982</v>
      </c>
      <c r="V92" s="1740" t="s">
        <v>983</v>
      </c>
      <c r="W92" s="1782">
        <v>4291667</v>
      </c>
      <c r="X92" s="1753">
        <v>4291667</v>
      </c>
      <c r="Y92" s="1722">
        <v>0</v>
      </c>
      <c r="Z92" s="4215"/>
      <c r="AA92" s="4169"/>
      <c r="AB92" s="4281"/>
      <c r="AC92" s="4281"/>
      <c r="AD92" s="4281"/>
      <c r="AE92" s="4281"/>
      <c r="AF92" s="4281"/>
      <c r="AG92" s="4281"/>
      <c r="AH92" s="4281"/>
      <c r="AI92" s="4281"/>
      <c r="AJ92" s="4281"/>
      <c r="AK92" s="4281"/>
      <c r="AL92" s="4281"/>
      <c r="AM92" s="4281"/>
      <c r="AN92" s="4281"/>
      <c r="AO92" s="4281"/>
      <c r="AP92" s="4281"/>
      <c r="AQ92" s="4281"/>
      <c r="AR92" s="4281"/>
      <c r="AS92" s="4281"/>
      <c r="AT92" s="4281"/>
      <c r="AU92" s="4281"/>
      <c r="AV92" s="4281"/>
      <c r="AW92" s="4281"/>
      <c r="AX92" s="4281"/>
      <c r="AY92" s="4281"/>
      <c r="AZ92" s="4281"/>
      <c r="BA92" s="4178"/>
      <c r="BB92" s="4212"/>
      <c r="BC92" s="4181"/>
      <c r="BD92" s="4281"/>
      <c r="BE92" s="4281"/>
      <c r="BF92" s="4163"/>
      <c r="BG92" s="4163"/>
      <c r="BH92" s="4163"/>
      <c r="BI92" s="4163"/>
      <c r="BJ92" s="4166"/>
      <c r="BK92" s="1647"/>
      <c r="BL92" s="1647"/>
    </row>
    <row r="93" spans="1:68" ht="65.25" customHeight="1" x14ac:dyDescent="0.2">
      <c r="A93" s="1709"/>
      <c r="B93" s="1710"/>
      <c r="C93" s="1711"/>
      <c r="D93" s="1710"/>
      <c r="E93" s="1710"/>
      <c r="F93" s="1711"/>
      <c r="G93" s="1709"/>
      <c r="H93" s="1710"/>
      <c r="I93" s="1711"/>
      <c r="J93" s="4169"/>
      <c r="K93" s="4172"/>
      <c r="L93" s="4169"/>
      <c r="M93" s="4169"/>
      <c r="N93" s="4169"/>
      <c r="O93" s="4169"/>
      <c r="P93" s="4169"/>
      <c r="Q93" s="4172"/>
      <c r="R93" s="4175"/>
      <c r="S93" s="4188"/>
      <c r="T93" s="4172"/>
      <c r="U93" s="4172"/>
      <c r="V93" s="1740" t="s">
        <v>984</v>
      </c>
      <c r="W93" s="1782">
        <v>4291667</v>
      </c>
      <c r="X93" s="1753">
        <v>4291667</v>
      </c>
      <c r="Y93" s="1722">
        <v>0</v>
      </c>
      <c r="Z93" s="4215"/>
      <c r="AA93" s="4169"/>
      <c r="AB93" s="4281"/>
      <c r="AC93" s="4281"/>
      <c r="AD93" s="4281"/>
      <c r="AE93" s="4281"/>
      <c r="AF93" s="4281"/>
      <c r="AG93" s="4281"/>
      <c r="AH93" s="4281"/>
      <c r="AI93" s="4281"/>
      <c r="AJ93" s="4281"/>
      <c r="AK93" s="4281"/>
      <c r="AL93" s="4281"/>
      <c r="AM93" s="4281"/>
      <c r="AN93" s="4281"/>
      <c r="AO93" s="4281"/>
      <c r="AP93" s="4281"/>
      <c r="AQ93" s="4281"/>
      <c r="AR93" s="4281"/>
      <c r="AS93" s="4281"/>
      <c r="AT93" s="4281"/>
      <c r="AU93" s="4281"/>
      <c r="AV93" s="4281"/>
      <c r="AW93" s="4281"/>
      <c r="AX93" s="4281"/>
      <c r="AY93" s="4281"/>
      <c r="AZ93" s="4281"/>
      <c r="BA93" s="4178"/>
      <c r="BB93" s="4212"/>
      <c r="BC93" s="4181"/>
      <c r="BD93" s="4281"/>
      <c r="BE93" s="4281"/>
      <c r="BF93" s="4163"/>
      <c r="BG93" s="4163"/>
      <c r="BH93" s="4163"/>
      <c r="BI93" s="4163"/>
      <c r="BJ93" s="4166"/>
      <c r="BK93" s="1647"/>
      <c r="BL93" s="1647"/>
    </row>
    <row r="94" spans="1:68" ht="102" customHeight="1" x14ac:dyDescent="0.2">
      <c r="A94" s="1709"/>
      <c r="B94" s="1710"/>
      <c r="C94" s="1711"/>
      <c r="D94" s="1710"/>
      <c r="E94" s="1710"/>
      <c r="F94" s="1711"/>
      <c r="G94" s="1729"/>
      <c r="H94" s="1727"/>
      <c r="I94" s="1728"/>
      <c r="J94" s="4170"/>
      <c r="K94" s="4173"/>
      <c r="L94" s="4170"/>
      <c r="M94" s="4170"/>
      <c r="N94" s="4170"/>
      <c r="O94" s="4170"/>
      <c r="P94" s="4170"/>
      <c r="Q94" s="4173"/>
      <c r="R94" s="4176"/>
      <c r="S94" s="4189"/>
      <c r="T94" s="4173"/>
      <c r="U94" s="4173"/>
      <c r="V94" s="1740" t="s">
        <v>985</v>
      </c>
      <c r="W94" s="1782">
        <v>4291666</v>
      </c>
      <c r="X94" s="1753">
        <v>4291666</v>
      </c>
      <c r="Y94" s="1722">
        <v>0</v>
      </c>
      <c r="Z94" s="4216"/>
      <c r="AA94" s="4170"/>
      <c r="AB94" s="4282"/>
      <c r="AC94" s="4282"/>
      <c r="AD94" s="4282"/>
      <c r="AE94" s="4282"/>
      <c r="AF94" s="4282"/>
      <c r="AG94" s="4282"/>
      <c r="AH94" s="4282"/>
      <c r="AI94" s="4282"/>
      <c r="AJ94" s="4282"/>
      <c r="AK94" s="4282"/>
      <c r="AL94" s="4282"/>
      <c r="AM94" s="4282"/>
      <c r="AN94" s="4282"/>
      <c r="AO94" s="4282"/>
      <c r="AP94" s="4282"/>
      <c r="AQ94" s="4282"/>
      <c r="AR94" s="4282"/>
      <c r="AS94" s="4282"/>
      <c r="AT94" s="4282"/>
      <c r="AU94" s="4282"/>
      <c r="AV94" s="4282"/>
      <c r="AW94" s="4282"/>
      <c r="AX94" s="4282"/>
      <c r="AY94" s="4282"/>
      <c r="AZ94" s="4282"/>
      <c r="BA94" s="4179"/>
      <c r="BB94" s="4213"/>
      <c r="BC94" s="4182"/>
      <c r="BD94" s="4282"/>
      <c r="BE94" s="4282"/>
      <c r="BF94" s="4164"/>
      <c r="BG94" s="4164"/>
      <c r="BH94" s="4164"/>
      <c r="BI94" s="4164"/>
      <c r="BJ94" s="4167"/>
      <c r="BK94" s="1647"/>
      <c r="BL94" s="1647"/>
    </row>
    <row r="95" spans="1:68" s="1743" customFormat="1" ht="36" customHeight="1" x14ac:dyDescent="0.2">
      <c r="A95" s="1697"/>
      <c r="B95" s="1698"/>
      <c r="C95" s="1699"/>
      <c r="D95" s="1698"/>
      <c r="E95" s="1698"/>
      <c r="F95" s="1699"/>
      <c r="G95" s="1737">
        <v>43</v>
      </c>
      <c r="H95" s="1703" t="s">
        <v>986</v>
      </c>
      <c r="I95" s="1703"/>
      <c r="J95" s="1703"/>
      <c r="K95" s="1704"/>
      <c r="L95" s="1703"/>
      <c r="M95" s="1703"/>
      <c r="N95" s="1703"/>
      <c r="O95" s="1705"/>
      <c r="P95" s="1703"/>
      <c r="Q95" s="1704"/>
      <c r="R95" s="1703"/>
      <c r="S95" s="1703"/>
      <c r="T95" s="1703"/>
      <c r="U95" s="1704"/>
      <c r="V95" s="1704"/>
      <c r="W95" s="1788"/>
      <c r="X95" s="1788"/>
      <c r="Y95" s="1788"/>
      <c r="Z95" s="1738"/>
      <c r="AA95" s="1705"/>
      <c r="AB95" s="1705"/>
      <c r="AC95" s="1705"/>
      <c r="AD95" s="1705"/>
      <c r="AE95" s="1705"/>
      <c r="AF95" s="1705"/>
      <c r="AG95" s="1705"/>
      <c r="AH95" s="1705"/>
      <c r="AI95" s="1705"/>
      <c r="AJ95" s="1705"/>
      <c r="AK95" s="1705"/>
      <c r="AL95" s="1705"/>
      <c r="AM95" s="1705"/>
      <c r="AN95" s="1705"/>
      <c r="AO95" s="1705"/>
      <c r="AP95" s="1705"/>
      <c r="AQ95" s="1705"/>
      <c r="AR95" s="1705"/>
      <c r="AS95" s="1705"/>
      <c r="AT95" s="1705"/>
      <c r="AU95" s="1705"/>
      <c r="AV95" s="1705"/>
      <c r="AW95" s="1705"/>
      <c r="AX95" s="1705"/>
      <c r="AY95" s="1705"/>
      <c r="AZ95" s="1705"/>
      <c r="BA95" s="1705"/>
      <c r="BB95" s="1705"/>
      <c r="BC95" s="1705"/>
      <c r="BD95" s="1705"/>
      <c r="BE95" s="1705"/>
      <c r="BF95" s="1703"/>
      <c r="BG95" s="1703"/>
      <c r="BH95" s="1703"/>
      <c r="BI95" s="1703"/>
      <c r="BJ95" s="1739"/>
      <c r="BK95" s="1687"/>
      <c r="BL95" s="1687"/>
      <c r="BM95" s="1687"/>
      <c r="BN95" s="1687"/>
      <c r="BO95" s="1687"/>
      <c r="BP95" s="1687"/>
    </row>
    <row r="96" spans="1:68" ht="85.5" x14ac:dyDescent="0.2">
      <c r="A96" s="1744"/>
      <c r="B96" s="1745"/>
      <c r="C96" s="1746"/>
      <c r="D96" s="1745"/>
      <c r="E96" s="1745"/>
      <c r="F96" s="1746"/>
      <c r="G96" s="1747"/>
      <c r="H96" s="1748"/>
      <c r="I96" s="1749"/>
      <c r="J96" s="4168">
        <v>151</v>
      </c>
      <c r="K96" s="4171" t="s">
        <v>987</v>
      </c>
      <c r="L96" s="4239" t="s">
        <v>324</v>
      </c>
      <c r="M96" s="4239">
        <v>12</v>
      </c>
      <c r="N96" s="4239">
        <v>12</v>
      </c>
      <c r="O96" s="1717"/>
      <c r="P96" s="4168">
        <v>146</v>
      </c>
      <c r="Q96" s="4171" t="s">
        <v>988</v>
      </c>
      <c r="R96" s="4174">
        <f>+(W96+W97)/S96</f>
        <v>0.13079586870379448</v>
      </c>
      <c r="S96" s="4187">
        <f>SUM(W96:W103)</f>
        <v>1688415254.9200001</v>
      </c>
      <c r="T96" s="4171" t="s">
        <v>989</v>
      </c>
      <c r="U96" s="4171" t="s">
        <v>990</v>
      </c>
      <c r="V96" s="1752" t="s">
        <v>991</v>
      </c>
      <c r="W96" s="1782">
        <v>97618870</v>
      </c>
      <c r="X96" s="1753">
        <v>57600000</v>
      </c>
      <c r="Y96" s="1789">
        <v>6000000</v>
      </c>
      <c r="Z96" s="1790"/>
      <c r="AA96" s="1717"/>
      <c r="AB96" s="4183">
        <f t="shared" ref="AB96:AX96" si="3">AB89</f>
        <v>64149</v>
      </c>
      <c r="AC96" s="4183">
        <f>SUM(AB96*0.21)</f>
        <v>13471.289999999999</v>
      </c>
      <c r="AD96" s="4183">
        <f t="shared" si="3"/>
        <v>72224</v>
      </c>
      <c r="AE96" s="4183">
        <f>SUM(AD96*0.21)</f>
        <v>15167.039999999999</v>
      </c>
      <c r="AF96" s="4183">
        <f t="shared" si="3"/>
        <v>27477</v>
      </c>
      <c r="AG96" s="4183">
        <f>SUM(AF96*0.21)</f>
        <v>5770.17</v>
      </c>
      <c r="AH96" s="4183">
        <f t="shared" si="3"/>
        <v>86843</v>
      </c>
      <c r="AI96" s="4183">
        <f>SUM(AH96*0.21)</f>
        <v>18237.03</v>
      </c>
      <c r="AJ96" s="4183">
        <f t="shared" si="3"/>
        <v>236429</v>
      </c>
      <c r="AK96" s="4183">
        <f>SUM(AJ96*0.21)</f>
        <v>49650.09</v>
      </c>
      <c r="AL96" s="4183">
        <f t="shared" si="3"/>
        <v>81384</v>
      </c>
      <c r="AM96" s="4183">
        <f>SUM(AL96*0.21)</f>
        <v>17090.64</v>
      </c>
      <c r="AN96" s="4183">
        <f t="shared" si="3"/>
        <v>13208</v>
      </c>
      <c r="AO96" s="4183">
        <f>SUM(AN96*0.21)</f>
        <v>2773.68</v>
      </c>
      <c r="AP96" s="4183">
        <f t="shared" si="3"/>
        <v>2145</v>
      </c>
      <c r="AQ96" s="4183">
        <f>SUM(AP96*0.21)</f>
        <v>450.45</v>
      </c>
      <c r="AR96" s="4183">
        <f t="shared" si="3"/>
        <v>413</v>
      </c>
      <c r="AS96" s="4183">
        <f>SUM(AR96*0.21)</f>
        <v>86.72999999999999</v>
      </c>
      <c r="AT96" s="4183">
        <f t="shared" si="3"/>
        <v>520</v>
      </c>
      <c r="AU96" s="4183">
        <f>SUM(AT96*0.21)</f>
        <v>109.2</v>
      </c>
      <c r="AV96" s="4183">
        <f t="shared" si="3"/>
        <v>16897</v>
      </c>
      <c r="AW96" s="4183">
        <f>SUM(AV96*0.21)</f>
        <v>3548.37</v>
      </c>
      <c r="AX96" s="4183">
        <f t="shared" si="3"/>
        <v>75612</v>
      </c>
      <c r="AY96" s="4183">
        <f>SUM(AX96*0.21)</f>
        <v>15878.519999999999</v>
      </c>
      <c r="AZ96" s="4183">
        <v>5</v>
      </c>
      <c r="BA96" s="4177">
        <v>347360000</v>
      </c>
      <c r="BB96" s="4177">
        <v>8000000</v>
      </c>
      <c r="BC96" s="4180">
        <f>+BB96/BA96</f>
        <v>2.3030861354214647E-2</v>
      </c>
      <c r="BD96" s="4183" t="s">
        <v>992</v>
      </c>
      <c r="BE96" s="4183" t="s">
        <v>822</v>
      </c>
      <c r="BF96" s="4273">
        <v>42948</v>
      </c>
      <c r="BG96" s="4273">
        <v>42768</v>
      </c>
      <c r="BH96" s="4273">
        <v>43100</v>
      </c>
      <c r="BI96" s="4273" t="s">
        <v>993</v>
      </c>
      <c r="BJ96" s="4165" t="s">
        <v>880</v>
      </c>
      <c r="BK96" s="1724"/>
      <c r="BL96" s="1647"/>
      <c r="BN96" s="4279"/>
      <c r="BO96" s="4279"/>
    </row>
    <row r="97" spans="1:68" ht="57" x14ac:dyDescent="0.2">
      <c r="A97" s="1744"/>
      <c r="B97" s="1745"/>
      <c r="C97" s="1746"/>
      <c r="D97" s="1745"/>
      <c r="E97" s="1745"/>
      <c r="F97" s="1746"/>
      <c r="G97" s="1744"/>
      <c r="H97" s="1745"/>
      <c r="I97" s="1746"/>
      <c r="J97" s="4170"/>
      <c r="K97" s="4173"/>
      <c r="L97" s="4239"/>
      <c r="M97" s="4239"/>
      <c r="N97" s="4239"/>
      <c r="O97" s="1791"/>
      <c r="P97" s="4169"/>
      <c r="Q97" s="4172"/>
      <c r="R97" s="4176"/>
      <c r="S97" s="4188"/>
      <c r="T97" s="4172"/>
      <c r="U97" s="4173"/>
      <c r="V97" s="1752" t="s">
        <v>994</v>
      </c>
      <c r="W97" s="1782">
        <f>97618870+25600000</f>
        <v>123218870</v>
      </c>
      <c r="X97" s="1722">
        <v>0</v>
      </c>
      <c r="Y97" s="1789">
        <v>0</v>
      </c>
      <c r="Z97" s="1792"/>
      <c r="AA97" s="1791"/>
      <c r="AB97" s="4184"/>
      <c r="AC97" s="4184"/>
      <c r="AD97" s="4184"/>
      <c r="AE97" s="4184"/>
      <c r="AF97" s="4184"/>
      <c r="AG97" s="4184"/>
      <c r="AH97" s="4184"/>
      <c r="AI97" s="4184"/>
      <c r="AJ97" s="4184"/>
      <c r="AK97" s="4184"/>
      <c r="AL97" s="4184"/>
      <c r="AM97" s="4184"/>
      <c r="AN97" s="4184"/>
      <c r="AO97" s="4184"/>
      <c r="AP97" s="4184"/>
      <c r="AQ97" s="4184"/>
      <c r="AR97" s="4184"/>
      <c r="AS97" s="4184"/>
      <c r="AT97" s="4184"/>
      <c r="AU97" s="4184"/>
      <c r="AV97" s="4184"/>
      <c r="AW97" s="4184"/>
      <c r="AX97" s="4184"/>
      <c r="AY97" s="4184"/>
      <c r="AZ97" s="4184"/>
      <c r="BA97" s="4178"/>
      <c r="BB97" s="4178"/>
      <c r="BC97" s="4181"/>
      <c r="BD97" s="4184"/>
      <c r="BE97" s="4184"/>
      <c r="BF97" s="4274"/>
      <c r="BG97" s="4274"/>
      <c r="BH97" s="4274"/>
      <c r="BI97" s="4274"/>
      <c r="BJ97" s="4166"/>
      <c r="BK97" s="1723"/>
      <c r="BL97" s="1647"/>
      <c r="BN97" s="4279"/>
      <c r="BO97" s="4279"/>
    </row>
    <row r="98" spans="1:68" ht="71.25" x14ac:dyDescent="0.2">
      <c r="A98" s="1744"/>
      <c r="B98" s="1745"/>
      <c r="C98" s="1746"/>
      <c r="D98" s="1745"/>
      <c r="E98" s="1745"/>
      <c r="F98" s="1746"/>
      <c r="G98" s="1744"/>
      <c r="H98" s="1745"/>
      <c r="I98" s="1746"/>
      <c r="J98" s="4168">
        <v>152</v>
      </c>
      <c r="K98" s="4171" t="s">
        <v>995</v>
      </c>
      <c r="L98" s="4239" t="s">
        <v>324</v>
      </c>
      <c r="M98" s="4239">
        <v>1</v>
      </c>
      <c r="N98" s="4239">
        <v>0.25</v>
      </c>
      <c r="O98" s="1791" t="s">
        <v>996</v>
      </c>
      <c r="P98" s="4169"/>
      <c r="Q98" s="4172"/>
      <c r="R98" s="4174">
        <f>+(W98+W99)/S96</f>
        <v>5.2724176555854402E-2</v>
      </c>
      <c r="S98" s="4188"/>
      <c r="T98" s="4172"/>
      <c r="U98" s="4171" t="s">
        <v>997</v>
      </c>
      <c r="V98" s="1752" t="s">
        <v>998</v>
      </c>
      <c r="W98" s="1782">
        <v>60000000</v>
      </c>
      <c r="X98" s="1753">
        <v>58240000</v>
      </c>
      <c r="Y98" s="1789">
        <v>2000000</v>
      </c>
      <c r="Z98" s="1793">
        <v>61</v>
      </c>
      <c r="AA98" s="1791" t="s">
        <v>820</v>
      </c>
      <c r="AB98" s="4184"/>
      <c r="AC98" s="4184"/>
      <c r="AD98" s="4184"/>
      <c r="AE98" s="4184"/>
      <c r="AF98" s="4184"/>
      <c r="AG98" s="4184"/>
      <c r="AH98" s="4184"/>
      <c r="AI98" s="4184"/>
      <c r="AJ98" s="4184"/>
      <c r="AK98" s="4184"/>
      <c r="AL98" s="4184"/>
      <c r="AM98" s="4184"/>
      <c r="AN98" s="4184"/>
      <c r="AO98" s="4184"/>
      <c r="AP98" s="4184"/>
      <c r="AQ98" s="4184"/>
      <c r="AR98" s="4184"/>
      <c r="AS98" s="4184"/>
      <c r="AT98" s="4184"/>
      <c r="AU98" s="4184"/>
      <c r="AV98" s="4184"/>
      <c r="AW98" s="4184"/>
      <c r="AX98" s="4184"/>
      <c r="AY98" s="4184"/>
      <c r="AZ98" s="4184"/>
      <c r="BA98" s="4178"/>
      <c r="BB98" s="4178"/>
      <c r="BC98" s="4181"/>
      <c r="BD98" s="4184"/>
      <c r="BE98" s="4184"/>
      <c r="BF98" s="4274"/>
      <c r="BG98" s="4274"/>
      <c r="BH98" s="4274"/>
      <c r="BI98" s="4274"/>
      <c r="BJ98" s="4166"/>
      <c r="BK98" s="1723"/>
      <c r="BL98" s="1647"/>
    </row>
    <row r="99" spans="1:68" ht="71.25" x14ac:dyDescent="0.2">
      <c r="A99" s="1744"/>
      <c r="B99" s="1745"/>
      <c r="C99" s="1746"/>
      <c r="D99" s="1745"/>
      <c r="E99" s="1745"/>
      <c r="F99" s="1746"/>
      <c r="G99" s="1744"/>
      <c r="H99" s="1745"/>
      <c r="I99" s="1746"/>
      <c r="J99" s="4170"/>
      <c r="K99" s="4173"/>
      <c r="L99" s="4239"/>
      <c r="M99" s="4239"/>
      <c r="N99" s="4239"/>
      <c r="O99" s="1791" t="s">
        <v>999</v>
      </c>
      <c r="P99" s="4169"/>
      <c r="Q99" s="4172"/>
      <c r="R99" s="4176"/>
      <c r="S99" s="4188"/>
      <c r="T99" s="4172"/>
      <c r="U99" s="4172"/>
      <c r="V99" s="1752" t="s">
        <v>1000</v>
      </c>
      <c r="W99" s="1782">
        <v>29020304</v>
      </c>
      <c r="X99" s="1753">
        <v>13520000</v>
      </c>
      <c r="Y99" s="1789">
        <v>0</v>
      </c>
      <c r="Z99" s="1793">
        <v>63</v>
      </c>
      <c r="AA99" s="1791" t="s">
        <v>1001</v>
      </c>
      <c r="AB99" s="4184"/>
      <c r="AC99" s="4184"/>
      <c r="AD99" s="4184"/>
      <c r="AE99" s="4184"/>
      <c r="AF99" s="4184"/>
      <c r="AG99" s="4184"/>
      <c r="AH99" s="4184"/>
      <c r="AI99" s="4184"/>
      <c r="AJ99" s="4184"/>
      <c r="AK99" s="4184"/>
      <c r="AL99" s="4184"/>
      <c r="AM99" s="4184"/>
      <c r="AN99" s="4184"/>
      <c r="AO99" s="4184"/>
      <c r="AP99" s="4184"/>
      <c r="AQ99" s="4184"/>
      <c r="AR99" s="4184"/>
      <c r="AS99" s="4184"/>
      <c r="AT99" s="4184"/>
      <c r="AU99" s="4184"/>
      <c r="AV99" s="4184"/>
      <c r="AW99" s="4184"/>
      <c r="AX99" s="4184"/>
      <c r="AY99" s="4184"/>
      <c r="AZ99" s="4184"/>
      <c r="BA99" s="4178"/>
      <c r="BB99" s="4178"/>
      <c r="BC99" s="4181"/>
      <c r="BD99" s="4184"/>
      <c r="BE99" s="4184"/>
      <c r="BF99" s="4274"/>
      <c r="BG99" s="4274"/>
      <c r="BH99" s="4274"/>
      <c r="BI99" s="4274"/>
      <c r="BJ99" s="4166"/>
      <c r="BK99" s="1724"/>
      <c r="BL99" s="1647"/>
    </row>
    <row r="100" spans="1:68" ht="57" x14ac:dyDescent="0.2">
      <c r="A100" s="1744"/>
      <c r="B100" s="1745"/>
      <c r="C100" s="1746"/>
      <c r="D100" s="1745"/>
      <c r="E100" s="1745"/>
      <c r="F100" s="1746"/>
      <c r="G100" s="1744"/>
      <c r="H100" s="1745"/>
      <c r="I100" s="1746"/>
      <c r="J100" s="4239">
        <v>153</v>
      </c>
      <c r="K100" s="4171" t="s">
        <v>1002</v>
      </c>
      <c r="L100" s="4169" t="s">
        <v>324</v>
      </c>
      <c r="M100" s="4169">
        <v>150</v>
      </c>
      <c r="N100" s="4169">
        <v>0</v>
      </c>
      <c r="O100" s="1791" t="s">
        <v>1003</v>
      </c>
      <c r="P100" s="4169"/>
      <c r="Q100" s="4172"/>
      <c r="R100" s="4174">
        <f>SUM(W100:W103)/S96</f>
        <v>0.81647995474035118</v>
      </c>
      <c r="S100" s="4188"/>
      <c r="T100" s="4172"/>
      <c r="U100" s="4172"/>
      <c r="V100" s="1752" t="s">
        <v>1004</v>
      </c>
      <c r="W100" s="1782">
        <f>623214302+405342908.92</f>
        <v>1028557210.9200001</v>
      </c>
      <c r="X100" s="1753">
        <v>198000000</v>
      </c>
      <c r="Y100" s="1722">
        <v>0</v>
      </c>
      <c r="Z100" s="1793">
        <v>20</v>
      </c>
      <c r="AA100" s="1791" t="s">
        <v>208</v>
      </c>
      <c r="AB100" s="4184"/>
      <c r="AC100" s="4184"/>
      <c r="AD100" s="4184"/>
      <c r="AE100" s="4184"/>
      <c r="AF100" s="4184"/>
      <c r="AG100" s="4184"/>
      <c r="AH100" s="4184"/>
      <c r="AI100" s="4184"/>
      <c r="AJ100" s="4184"/>
      <c r="AK100" s="4184"/>
      <c r="AL100" s="4184"/>
      <c r="AM100" s="4184"/>
      <c r="AN100" s="4184"/>
      <c r="AO100" s="4184"/>
      <c r="AP100" s="4184"/>
      <c r="AQ100" s="4184"/>
      <c r="AR100" s="4184"/>
      <c r="AS100" s="4184"/>
      <c r="AT100" s="4184"/>
      <c r="AU100" s="4184"/>
      <c r="AV100" s="4184"/>
      <c r="AW100" s="4184"/>
      <c r="AX100" s="4184"/>
      <c r="AY100" s="4184"/>
      <c r="AZ100" s="4184"/>
      <c r="BA100" s="4178"/>
      <c r="BB100" s="4178"/>
      <c r="BC100" s="4181"/>
      <c r="BD100" s="4184"/>
      <c r="BE100" s="4184"/>
      <c r="BF100" s="4274"/>
      <c r="BG100" s="4274"/>
      <c r="BH100" s="4274"/>
      <c r="BI100" s="4274"/>
      <c r="BJ100" s="4166"/>
      <c r="BK100" s="1723"/>
      <c r="BL100" s="1647"/>
    </row>
    <row r="101" spans="1:68" ht="42.75" x14ac:dyDescent="0.2">
      <c r="A101" s="1744"/>
      <c r="B101" s="1745"/>
      <c r="C101" s="1746"/>
      <c r="D101" s="1745"/>
      <c r="E101" s="1745"/>
      <c r="F101" s="1746"/>
      <c r="G101" s="1744"/>
      <c r="H101" s="1745"/>
      <c r="I101" s="1746"/>
      <c r="J101" s="4239"/>
      <c r="K101" s="4172"/>
      <c r="L101" s="4169"/>
      <c r="M101" s="4169"/>
      <c r="N101" s="4169"/>
      <c r="O101" s="1791"/>
      <c r="P101" s="4169"/>
      <c r="Q101" s="4172"/>
      <c r="R101" s="4175"/>
      <c r="S101" s="4188"/>
      <c r="T101" s="4172"/>
      <c r="U101" s="4172"/>
      <c r="V101" s="1752" t="s">
        <v>1005</v>
      </c>
      <c r="W101" s="1782">
        <v>190000000</v>
      </c>
      <c r="X101" s="1722">
        <v>0</v>
      </c>
      <c r="Y101" s="1722">
        <v>0</v>
      </c>
      <c r="Z101" s="1793"/>
      <c r="AA101" s="1791"/>
      <c r="AB101" s="4184"/>
      <c r="AC101" s="4184"/>
      <c r="AD101" s="4184"/>
      <c r="AE101" s="4184"/>
      <c r="AF101" s="4184"/>
      <c r="AG101" s="4184"/>
      <c r="AH101" s="4184"/>
      <c r="AI101" s="4184"/>
      <c r="AJ101" s="4184"/>
      <c r="AK101" s="4184"/>
      <c r="AL101" s="4184"/>
      <c r="AM101" s="4184"/>
      <c r="AN101" s="4184"/>
      <c r="AO101" s="4184"/>
      <c r="AP101" s="4184"/>
      <c r="AQ101" s="4184"/>
      <c r="AR101" s="4184"/>
      <c r="AS101" s="4184"/>
      <c r="AT101" s="4184"/>
      <c r="AU101" s="4184"/>
      <c r="AV101" s="4184"/>
      <c r="AW101" s="4184"/>
      <c r="AX101" s="4184"/>
      <c r="AY101" s="4184"/>
      <c r="AZ101" s="4184"/>
      <c r="BA101" s="4178"/>
      <c r="BB101" s="4178"/>
      <c r="BC101" s="4181"/>
      <c r="BD101" s="4184"/>
      <c r="BE101" s="4184"/>
      <c r="BF101" s="4274"/>
      <c r="BG101" s="4274"/>
      <c r="BH101" s="4274"/>
      <c r="BI101" s="4274"/>
      <c r="BJ101" s="4166"/>
      <c r="BK101" s="1723"/>
      <c r="BL101" s="1647"/>
    </row>
    <row r="102" spans="1:68" ht="57" x14ac:dyDescent="0.2">
      <c r="A102" s="1709"/>
      <c r="B102" s="1710"/>
      <c r="C102" s="1711"/>
      <c r="D102" s="1745"/>
      <c r="E102" s="1745"/>
      <c r="F102" s="1746"/>
      <c r="G102" s="1744"/>
      <c r="H102" s="1745"/>
      <c r="I102" s="1746"/>
      <c r="J102" s="4239"/>
      <c r="K102" s="4172"/>
      <c r="L102" s="4169"/>
      <c r="M102" s="4169"/>
      <c r="N102" s="4169"/>
      <c r="O102" s="1791"/>
      <c r="P102" s="4169"/>
      <c r="Q102" s="4172"/>
      <c r="R102" s="4175"/>
      <c r="S102" s="4188"/>
      <c r="T102" s="4172"/>
      <c r="U102" s="4172"/>
      <c r="V102" s="1752" t="s">
        <v>1006</v>
      </c>
      <c r="W102" s="1782">
        <f>50000000+20000000</f>
        <v>70000000</v>
      </c>
      <c r="X102" s="1722">
        <v>0</v>
      </c>
      <c r="Y102" s="1722">
        <v>0</v>
      </c>
      <c r="Z102" s="1792"/>
      <c r="AA102" s="1791"/>
      <c r="AB102" s="4184"/>
      <c r="AC102" s="4184"/>
      <c r="AD102" s="4184"/>
      <c r="AE102" s="4184"/>
      <c r="AF102" s="4184"/>
      <c r="AG102" s="4184"/>
      <c r="AH102" s="4184"/>
      <c r="AI102" s="4184"/>
      <c r="AJ102" s="4184"/>
      <c r="AK102" s="4184"/>
      <c r="AL102" s="4184"/>
      <c r="AM102" s="4184"/>
      <c r="AN102" s="4184"/>
      <c r="AO102" s="4184"/>
      <c r="AP102" s="4184"/>
      <c r="AQ102" s="4184"/>
      <c r="AR102" s="4184"/>
      <c r="AS102" s="4184"/>
      <c r="AT102" s="4184"/>
      <c r="AU102" s="4184"/>
      <c r="AV102" s="4184"/>
      <c r="AW102" s="4184"/>
      <c r="AX102" s="4184"/>
      <c r="AY102" s="4184"/>
      <c r="AZ102" s="4184"/>
      <c r="BA102" s="4178"/>
      <c r="BB102" s="4178"/>
      <c r="BC102" s="4181"/>
      <c r="BD102" s="4184"/>
      <c r="BE102" s="4184"/>
      <c r="BF102" s="4274"/>
      <c r="BG102" s="4274"/>
      <c r="BH102" s="4274"/>
      <c r="BI102" s="4274"/>
      <c r="BJ102" s="4166"/>
      <c r="BK102" s="1723"/>
      <c r="BL102" s="1647"/>
    </row>
    <row r="103" spans="1:68" ht="71.25" x14ac:dyDescent="0.2">
      <c r="A103" s="1709"/>
      <c r="B103" s="1710"/>
      <c r="C103" s="1711"/>
      <c r="D103" s="1710"/>
      <c r="E103" s="1710"/>
      <c r="F103" s="1711"/>
      <c r="G103" s="1729"/>
      <c r="H103" s="1727"/>
      <c r="I103" s="1728"/>
      <c r="J103" s="4239"/>
      <c r="K103" s="4173"/>
      <c r="L103" s="4170"/>
      <c r="M103" s="4170"/>
      <c r="N103" s="4170"/>
      <c r="O103" s="1757"/>
      <c r="P103" s="4170"/>
      <c r="Q103" s="4173"/>
      <c r="R103" s="4176"/>
      <c r="S103" s="4189"/>
      <c r="T103" s="4173"/>
      <c r="U103" s="4173"/>
      <c r="V103" s="1752" t="s">
        <v>1007</v>
      </c>
      <c r="W103" s="1782">
        <f>50000000+40000000</f>
        <v>90000000</v>
      </c>
      <c r="X103" s="1753">
        <v>20000000</v>
      </c>
      <c r="Y103" s="1753"/>
      <c r="Z103" s="1794"/>
      <c r="AA103" s="1757"/>
      <c r="AB103" s="4185"/>
      <c r="AC103" s="4185"/>
      <c r="AD103" s="4185"/>
      <c r="AE103" s="4185"/>
      <c r="AF103" s="4185"/>
      <c r="AG103" s="4185"/>
      <c r="AH103" s="4185"/>
      <c r="AI103" s="4185"/>
      <c r="AJ103" s="4185"/>
      <c r="AK103" s="4185"/>
      <c r="AL103" s="4185"/>
      <c r="AM103" s="4185"/>
      <c r="AN103" s="4185"/>
      <c r="AO103" s="4185"/>
      <c r="AP103" s="4185"/>
      <c r="AQ103" s="4185"/>
      <c r="AR103" s="4185"/>
      <c r="AS103" s="4185"/>
      <c r="AT103" s="4185"/>
      <c r="AU103" s="4185"/>
      <c r="AV103" s="4185"/>
      <c r="AW103" s="4185"/>
      <c r="AX103" s="4185"/>
      <c r="AY103" s="4185"/>
      <c r="AZ103" s="4185"/>
      <c r="BA103" s="4179"/>
      <c r="BB103" s="4179"/>
      <c r="BC103" s="4182"/>
      <c r="BD103" s="4185"/>
      <c r="BE103" s="4185"/>
      <c r="BF103" s="4275"/>
      <c r="BG103" s="4275"/>
      <c r="BH103" s="4275"/>
      <c r="BI103" s="4275"/>
      <c r="BJ103" s="4167"/>
      <c r="BK103" s="1723"/>
      <c r="BL103" s="1647"/>
    </row>
    <row r="104" spans="1:68" s="1743" customFormat="1" ht="36" customHeight="1" x14ac:dyDescent="0.2">
      <c r="A104" s="1697"/>
      <c r="B104" s="1698"/>
      <c r="C104" s="1699"/>
      <c r="D104" s="1698"/>
      <c r="E104" s="1698"/>
      <c r="F104" s="1699"/>
      <c r="G104" s="1737">
        <v>44</v>
      </c>
      <c r="H104" s="1703" t="s">
        <v>1008</v>
      </c>
      <c r="I104" s="1703"/>
      <c r="J104" s="1703"/>
      <c r="K104" s="1704"/>
      <c r="L104" s="1703"/>
      <c r="M104" s="1703"/>
      <c r="N104" s="1703"/>
      <c r="O104" s="1705"/>
      <c r="P104" s="1703"/>
      <c r="Q104" s="1704"/>
      <c r="R104" s="1703"/>
      <c r="S104" s="1703"/>
      <c r="T104" s="1703"/>
      <c r="U104" s="1704"/>
      <c r="V104" s="1703"/>
      <c r="W104" s="1703"/>
      <c r="X104" s="1763"/>
      <c r="Y104" s="1742"/>
      <c r="Z104" s="1738"/>
      <c r="AA104" s="1705"/>
      <c r="AB104" s="1705"/>
      <c r="AC104" s="1705"/>
      <c r="AD104" s="1705"/>
      <c r="AE104" s="1705"/>
      <c r="AF104" s="1705"/>
      <c r="AG104" s="1705"/>
      <c r="AH104" s="1705"/>
      <c r="AI104" s="1705"/>
      <c r="AJ104" s="1705"/>
      <c r="AK104" s="1705"/>
      <c r="AL104" s="1705"/>
      <c r="AM104" s="1705"/>
      <c r="AN104" s="1705"/>
      <c r="AO104" s="1705"/>
      <c r="AP104" s="1705"/>
      <c r="AQ104" s="1705"/>
      <c r="AR104" s="1705"/>
      <c r="AS104" s="1705"/>
      <c r="AT104" s="1705"/>
      <c r="AU104" s="1705"/>
      <c r="AV104" s="1705"/>
      <c r="AW104" s="1705"/>
      <c r="AX104" s="1705"/>
      <c r="AY104" s="1705"/>
      <c r="AZ104" s="1705"/>
      <c r="BA104" s="1705"/>
      <c r="BB104" s="1705"/>
      <c r="BC104" s="1705"/>
      <c r="BD104" s="1705"/>
      <c r="BE104" s="1705"/>
      <c r="BF104" s="1705"/>
      <c r="BG104" s="1705"/>
      <c r="BH104" s="1703"/>
      <c r="BI104" s="1703"/>
      <c r="BJ104" s="1739"/>
      <c r="BK104" s="1687"/>
      <c r="BL104" s="1687"/>
      <c r="BM104" s="1687"/>
      <c r="BN104" s="1687"/>
      <c r="BO104" s="1687"/>
      <c r="BP104" s="1687"/>
    </row>
    <row r="105" spans="1:68" ht="54" customHeight="1" x14ac:dyDescent="0.2">
      <c r="A105" s="1709"/>
      <c r="B105" s="1710"/>
      <c r="C105" s="1711"/>
      <c r="D105" s="1710"/>
      <c r="E105" s="1710"/>
      <c r="F105" s="1711"/>
      <c r="G105" s="1712"/>
      <c r="H105" s="1713"/>
      <c r="I105" s="1714"/>
      <c r="J105" s="4168">
        <v>154</v>
      </c>
      <c r="K105" s="4171" t="s">
        <v>1009</v>
      </c>
      <c r="L105" s="4168" t="s">
        <v>324</v>
      </c>
      <c r="M105" s="4168">
        <v>5</v>
      </c>
      <c r="N105" s="4168">
        <v>1.5</v>
      </c>
      <c r="O105" s="1717"/>
      <c r="P105" s="4168">
        <v>148</v>
      </c>
      <c r="Q105" s="4171" t="s">
        <v>1010</v>
      </c>
      <c r="R105" s="4174">
        <f>(W105+W106+W107)/S105</f>
        <v>0.39450160823589159</v>
      </c>
      <c r="S105" s="4187">
        <f>SUM(W105:W119)</f>
        <v>404307604</v>
      </c>
      <c r="T105" s="4171" t="s">
        <v>1011</v>
      </c>
      <c r="U105" s="4171" t="s">
        <v>1012</v>
      </c>
      <c r="V105" s="1752" t="s">
        <v>1013</v>
      </c>
      <c r="W105" s="1782">
        <f>17500000+10000000</f>
        <v>27500000</v>
      </c>
      <c r="X105" s="1753">
        <v>13520000</v>
      </c>
      <c r="Y105" s="1753">
        <v>1690000</v>
      </c>
      <c r="Z105" s="1790"/>
      <c r="AA105" s="1795"/>
      <c r="AB105" s="4217" t="s">
        <v>154</v>
      </c>
      <c r="AC105" s="4217" t="s">
        <v>154</v>
      </c>
      <c r="AD105" s="4217" t="s">
        <v>154</v>
      </c>
      <c r="AE105" s="4217" t="s">
        <v>154</v>
      </c>
      <c r="AF105" s="4217" t="s">
        <v>154</v>
      </c>
      <c r="AG105" s="4217" t="s">
        <v>154</v>
      </c>
      <c r="AH105" s="4217" t="s">
        <v>154</v>
      </c>
      <c r="AI105" s="4217" t="s">
        <v>154</v>
      </c>
      <c r="AJ105" s="4217" t="s">
        <v>154</v>
      </c>
      <c r="AK105" s="4217" t="s">
        <v>154</v>
      </c>
      <c r="AL105" s="4217" t="s">
        <v>154</v>
      </c>
      <c r="AM105" s="4217" t="s">
        <v>154</v>
      </c>
      <c r="AN105" s="4183">
        <f t="shared" ref="AN105:AX105" si="4">AN96</f>
        <v>13208</v>
      </c>
      <c r="AO105" s="4183">
        <f>SUM(AN105*0.68)</f>
        <v>8981.44</v>
      </c>
      <c r="AP105" s="4183">
        <f t="shared" si="4"/>
        <v>2145</v>
      </c>
      <c r="AQ105" s="4183">
        <f>SUM(AP105*0.68)</f>
        <v>1458.6000000000001</v>
      </c>
      <c r="AR105" s="4183">
        <f t="shared" si="4"/>
        <v>413</v>
      </c>
      <c r="AS105" s="4183">
        <f>SUM(AR105*0.68)</f>
        <v>280.84000000000003</v>
      </c>
      <c r="AT105" s="4183">
        <f t="shared" si="4"/>
        <v>520</v>
      </c>
      <c r="AU105" s="4183">
        <f>SUM(AT105*0.68)</f>
        <v>353.6</v>
      </c>
      <c r="AV105" s="4183">
        <f t="shared" si="4"/>
        <v>16897</v>
      </c>
      <c r="AW105" s="4183">
        <f>SUM(AV105*0.68)</f>
        <v>11489.960000000001</v>
      </c>
      <c r="AX105" s="4183">
        <f t="shared" si="4"/>
        <v>75612</v>
      </c>
      <c r="AY105" s="4183">
        <f>SUM(AX105*0.68)</f>
        <v>51416.160000000003</v>
      </c>
      <c r="AZ105" s="4183">
        <v>10</v>
      </c>
      <c r="BA105" s="4177">
        <v>167505000</v>
      </c>
      <c r="BB105" s="4177">
        <v>9590000</v>
      </c>
      <c r="BC105" s="4180">
        <f>+BB105/BA105</f>
        <v>5.7252022327691714E-2</v>
      </c>
      <c r="BD105" s="4217" t="s">
        <v>1014</v>
      </c>
      <c r="BE105" s="4217" t="s">
        <v>822</v>
      </c>
      <c r="BF105" s="4273">
        <v>42948</v>
      </c>
      <c r="BG105" s="4273">
        <v>42779</v>
      </c>
      <c r="BH105" s="4273">
        <v>43100</v>
      </c>
      <c r="BI105" s="4273">
        <v>43091</v>
      </c>
      <c r="BJ105" s="4276" t="s">
        <v>880</v>
      </c>
    </row>
    <row r="106" spans="1:68" ht="59.25" customHeight="1" x14ac:dyDescent="0.2">
      <c r="A106" s="1709"/>
      <c r="B106" s="1710"/>
      <c r="C106" s="1711"/>
      <c r="D106" s="1710"/>
      <c r="E106" s="1710"/>
      <c r="F106" s="1711"/>
      <c r="G106" s="1709"/>
      <c r="H106" s="1710"/>
      <c r="I106" s="1711"/>
      <c r="J106" s="4169"/>
      <c r="K106" s="4172"/>
      <c r="L106" s="4169"/>
      <c r="M106" s="4169"/>
      <c r="N106" s="4169"/>
      <c r="O106" s="1791"/>
      <c r="P106" s="4169"/>
      <c r="Q106" s="4172"/>
      <c r="R106" s="4175"/>
      <c r="S106" s="4188"/>
      <c r="T106" s="4172"/>
      <c r="U106" s="4172"/>
      <c r="V106" s="1752" t="s">
        <v>1015</v>
      </c>
      <c r="W106" s="1782">
        <f>6000000+10000000</f>
        <v>16000000</v>
      </c>
      <c r="X106" s="1722">
        <v>0</v>
      </c>
      <c r="Y106" s="1722">
        <v>0</v>
      </c>
      <c r="Z106" s="1792"/>
      <c r="AA106" s="1793"/>
      <c r="AB106" s="4218"/>
      <c r="AC106" s="4218"/>
      <c r="AD106" s="4218"/>
      <c r="AE106" s="4218"/>
      <c r="AF106" s="4218"/>
      <c r="AG106" s="4218"/>
      <c r="AH106" s="4218"/>
      <c r="AI106" s="4218"/>
      <c r="AJ106" s="4218"/>
      <c r="AK106" s="4218"/>
      <c r="AL106" s="4218"/>
      <c r="AM106" s="4218"/>
      <c r="AN106" s="4184"/>
      <c r="AO106" s="4184"/>
      <c r="AP106" s="4184"/>
      <c r="AQ106" s="4184"/>
      <c r="AR106" s="4184"/>
      <c r="AS106" s="4184"/>
      <c r="AT106" s="4184"/>
      <c r="AU106" s="4184"/>
      <c r="AV106" s="4184"/>
      <c r="AW106" s="4184"/>
      <c r="AX106" s="4184"/>
      <c r="AY106" s="4184"/>
      <c r="AZ106" s="4184"/>
      <c r="BA106" s="4178"/>
      <c r="BB106" s="4178"/>
      <c r="BC106" s="4181"/>
      <c r="BD106" s="4218"/>
      <c r="BE106" s="4218"/>
      <c r="BF106" s="4274"/>
      <c r="BG106" s="4274"/>
      <c r="BH106" s="4274"/>
      <c r="BI106" s="4274"/>
      <c r="BJ106" s="4277"/>
    </row>
    <row r="107" spans="1:68" ht="35.25" customHeight="1" x14ac:dyDescent="0.2">
      <c r="A107" s="1709"/>
      <c r="B107" s="1710"/>
      <c r="C107" s="1711"/>
      <c r="D107" s="1710"/>
      <c r="E107" s="1710"/>
      <c r="F107" s="1711"/>
      <c r="G107" s="1709"/>
      <c r="H107" s="1710"/>
      <c r="I107" s="1711"/>
      <c r="J107" s="4170"/>
      <c r="K107" s="4173"/>
      <c r="L107" s="4170"/>
      <c r="M107" s="4170"/>
      <c r="N107" s="4170"/>
      <c r="O107" s="1791"/>
      <c r="P107" s="4169"/>
      <c r="Q107" s="4172"/>
      <c r="R107" s="4176"/>
      <c r="S107" s="4188"/>
      <c r="T107" s="4172"/>
      <c r="U107" s="4173"/>
      <c r="V107" s="1752" t="s">
        <v>1016</v>
      </c>
      <c r="W107" s="1782">
        <f>6000000+10000000+100000000</f>
        <v>116000000</v>
      </c>
      <c r="X107" s="1722">
        <v>0</v>
      </c>
      <c r="Y107" s="1722">
        <v>0</v>
      </c>
      <c r="Z107" s="1792"/>
      <c r="AA107" s="1793"/>
      <c r="AB107" s="4218"/>
      <c r="AC107" s="4218"/>
      <c r="AD107" s="4218"/>
      <c r="AE107" s="4218"/>
      <c r="AF107" s="4218"/>
      <c r="AG107" s="4218"/>
      <c r="AH107" s="4218"/>
      <c r="AI107" s="4218"/>
      <c r="AJ107" s="4218"/>
      <c r="AK107" s="4218"/>
      <c r="AL107" s="4218"/>
      <c r="AM107" s="4218"/>
      <c r="AN107" s="4184"/>
      <c r="AO107" s="4184"/>
      <c r="AP107" s="4184"/>
      <c r="AQ107" s="4184"/>
      <c r="AR107" s="4184"/>
      <c r="AS107" s="4184"/>
      <c r="AT107" s="4184"/>
      <c r="AU107" s="4184"/>
      <c r="AV107" s="4184"/>
      <c r="AW107" s="4184"/>
      <c r="AX107" s="4184"/>
      <c r="AY107" s="4184"/>
      <c r="AZ107" s="4184"/>
      <c r="BA107" s="4178"/>
      <c r="BB107" s="4178"/>
      <c r="BC107" s="4181"/>
      <c r="BD107" s="4218"/>
      <c r="BE107" s="4218"/>
      <c r="BF107" s="4274"/>
      <c r="BG107" s="4274"/>
      <c r="BH107" s="4274"/>
      <c r="BI107" s="4274"/>
      <c r="BJ107" s="4277"/>
    </row>
    <row r="108" spans="1:68" ht="42.75" customHeight="1" x14ac:dyDescent="0.2">
      <c r="A108" s="1709"/>
      <c r="B108" s="1710"/>
      <c r="C108" s="1711"/>
      <c r="D108" s="1710"/>
      <c r="E108" s="1710"/>
      <c r="F108" s="1711"/>
      <c r="G108" s="1709"/>
      <c r="H108" s="1710"/>
      <c r="I108" s="1711"/>
      <c r="J108" s="4168">
        <v>155</v>
      </c>
      <c r="K108" s="4171" t="s">
        <v>1017</v>
      </c>
      <c r="L108" s="4168" t="s">
        <v>324</v>
      </c>
      <c r="M108" s="4168">
        <v>1</v>
      </c>
      <c r="N108" s="4168">
        <v>0.2</v>
      </c>
      <c r="O108" s="1791"/>
      <c r="P108" s="4169"/>
      <c r="Q108" s="4172"/>
      <c r="R108" s="4174">
        <f>(W108+W109+W110)/S105</f>
        <v>8.4094386708591318E-2</v>
      </c>
      <c r="S108" s="4188"/>
      <c r="T108" s="4172"/>
      <c r="U108" s="4171" t="s">
        <v>1018</v>
      </c>
      <c r="V108" s="1752" t="s">
        <v>1019</v>
      </c>
      <c r="W108" s="1782">
        <v>6000000</v>
      </c>
      <c r="X108" s="1753">
        <v>6000000</v>
      </c>
      <c r="Y108" s="1753">
        <v>602600</v>
      </c>
      <c r="Z108" s="1792"/>
      <c r="AA108" s="1793"/>
      <c r="AB108" s="4218"/>
      <c r="AC108" s="4218"/>
      <c r="AD108" s="4218"/>
      <c r="AE108" s="4218"/>
      <c r="AF108" s="4218"/>
      <c r="AG108" s="4218"/>
      <c r="AH108" s="4218"/>
      <c r="AI108" s="4218"/>
      <c r="AJ108" s="4218"/>
      <c r="AK108" s="4218"/>
      <c r="AL108" s="4218"/>
      <c r="AM108" s="4218"/>
      <c r="AN108" s="4184"/>
      <c r="AO108" s="4184"/>
      <c r="AP108" s="4184"/>
      <c r="AQ108" s="4184"/>
      <c r="AR108" s="4184"/>
      <c r="AS108" s="4184"/>
      <c r="AT108" s="4184"/>
      <c r="AU108" s="4184"/>
      <c r="AV108" s="4184"/>
      <c r="AW108" s="4184"/>
      <c r="AX108" s="4184"/>
      <c r="AY108" s="4184"/>
      <c r="AZ108" s="4184"/>
      <c r="BA108" s="4178"/>
      <c r="BB108" s="4178"/>
      <c r="BC108" s="4181"/>
      <c r="BD108" s="4218"/>
      <c r="BE108" s="4218"/>
      <c r="BF108" s="4274"/>
      <c r="BG108" s="4274"/>
      <c r="BH108" s="4274"/>
      <c r="BI108" s="4274"/>
      <c r="BJ108" s="4277"/>
    </row>
    <row r="109" spans="1:68" ht="57" customHeight="1" x14ac:dyDescent="0.2">
      <c r="A109" s="1709"/>
      <c r="B109" s="1710"/>
      <c r="C109" s="1711"/>
      <c r="D109" s="1710"/>
      <c r="E109" s="1710"/>
      <c r="F109" s="1711"/>
      <c r="G109" s="1709"/>
      <c r="H109" s="1710"/>
      <c r="I109" s="1711"/>
      <c r="J109" s="4169"/>
      <c r="K109" s="4172"/>
      <c r="L109" s="4169"/>
      <c r="M109" s="4169"/>
      <c r="N109" s="4169"/>
      <c r="O109" s="1791"/>
      <c r="P109" s="4169"/>
      <c r="Q109" s="4172"/>
      <c r="R109" s="4175"/>
      <c r="S109" s="4188"/>
      <c r="T109" s="4172"/>
      <c r="U109" s="4172"/>
      <c r="V109" s="1752" t="s">
        <v>1020</v>
      </c>
      <c r="W109" s="1782">
        <v>20000000</v>
      </c>
      <c r="X109" s="1753">
        <v>20000000</v>
      </c>
      <c r="Y109" s="1753">
        <v>1965000</v>
      </c>
      <c r="Z109" s="1792"/>
      <c r="AA109" s="1793"/>
      <c r="AB109" s="4218"/>
      <c r="AC109" s="4218"/>
      <c r="AD109" s="4218"/>
      <c r="AE109" s="4218"/>
      <c r="AF109" s="4218"/>
      <c r="AG109" s="4218"/>
      <c r="AH109" s="4218"/>
      <c r="AI109" s="4218"/>
      <c r="AJ109" s="4218"/>
      <c r="AK109" s="4218"/>
      <c r="AL109" s="4218"/>
      <c r="AM109" s="4218"/>
      <c r="AN109" s="4184"/>
      <c r="AO109" s="4184"/>
      <c r="AP109" s="4184"/>
      <c r="AQ109" s="4184"/>
      <c r="AR109" s="4184"/>
      <c r="AS109" s="4184"/>
      <c r="AT109" s="4184"/>
      <c r="AU109" s="4184"/>
      <c r="AV109" s="4184"/>
      <c r="AW109" s="4184"/>
      <c r="AX109" s="4184"/>
      <c r="AY109" s="4184"/>
      <c r="AZ109" s="4184"/>
      <c r="BA109" s="4178"/>
      <c r="BB109" s="4178"/>
      <c r="BC109" s="4181"/>
      <c r="BD109" s="4218"/>
      <c r="BE109" s="4218"/>
      <c r="BF109" s="4274"/>
      <c r="BG109" s="4274"/>
      <c r="BH109" s="4274"/>
      <c r="BI109" s="4274"/>
      <c r="BJ109" s="4277"/>
    </row>
    <row r="110" spans="1:68" ht="45" customHeight="1" x14ac:dyDescent="0.2">
      <c r="A110" s="1709"/>
      <c r="B110" s="1710"/>
      <c r="C110" s="1711"/>
      <c r="D110" s="1710"/>
      <c r="E110" s="1710"/>
      <c r="F110" s="1711"/>
      <c r="G110" s="1709"/>
      <c r="H110" s="1710"/>
      <c r="I110" s="1711"/>
      <c r="J110" s="4170"/>
      <c r="K110" s="4173"/>
      <c r="L110" s="4170"/>
      <c r="M110" s="4170"/>
      <c r="N110" s="4170"/>
      <c r="O110" s="1791" t="s">
        <v>1021</v>
      </c>
      <c r="P110" s="4169"/>
      <c r="Q110" s="4172"/>
      <c r="R110" s="4176"/>
      <c r="S110" s="4188"/>
      <c r="T110" s="4172"/>
      <c r="U110" s="4173"/>
      <c r="V110" s="1752" t="s">
        <v>1022</v>
      </c>
      <c r="W110" s="1782">
        <v>8000000</v>
      </c>
      <c r="X110" s="1753">
        <v>200000</v>
      </c>
      <c r="Y110" s="1753">
        <v>52400</v>
      </c>
      <c r="Z110" s="1793">
        <v>61</v>
      </c>
      <c r="AA110" s="1791" t="s">
        <v>820</v>
      </c>
      <c r="AB110" s="4218"/>
      <c r="AC110" s="4218"/>
      <c r="AD110" s="4218"/>
      <c r="AE110" s="4218"/>
      <c r="AF110" s="4218"/>
      <c r="AG110" s="4218"/>
      <c r="AH110" s="4218"/>
      <c r="AI110" s="4218"/>
      <c r="AJ110" s="4218"/>
      <c r="AK110" s="4218"/>
      <c r="AL110" s="4218"/>
      <c r="AM110" s="4218"/>
      <c r="AN110" s="4184"/>
      <c r="AO110" s="4184"/>
      <c r="AP110" s="4184"/>
      <c r="AQ110" s="4184"/>
      <c r="AR110" s="4184"/>
      <c r="AS110" s="4184"/>
      <c r="AT110" s="4184"/>
      <c r="AU110" s="4184"/>
      <c r="AV110" s="4184"/>
      <c r="AW110" s="4184"/>
      <c r="AX110" s="4184"/>
      <c r="AY110" s="4184"/>
      <c r="AZ110" s="4184"/>
      <c r="BA110" s="4178"/>
      <c r="BB110" s="4178"/>
      <c r="BC110" s="4181"/>
      <c r="BD110" s="4218"/>
      <c r="BE110" s="4218"/>
      <c r="BF110" s="4274"/>
      <c r="BG110" s="4274"/>
      <c r="BH110" s="4274"/>
      <c r="BI110" s="4274"/>
      <c r="BJ110" s="4277"/>
      <c r="BL110" s="1723"/>
    </row>
    <row r="111" spans="1:68" ht="45.75" customHeight="1" x14ac:dyDescent="0.2">
      <c r="A111" s="1709"/>
      <c r="B111" s="1710"/>
      <c r="C111" s="1711"/>
      <c r="D111" s="1710"/>
      <c r="E111" s="1710"/>
      <c r="F111" s="1711"/>
      <c r="G111" s="1709"/>
      <c r="H111" s="1710"/>
      <c r="I111" s="1711"/>
      <c r="J111" s="4168">
        <v>156</v>
      </c>
      <c r="K111" s="4171" t="s">
        <v>1023</v>
      </c>
      <c r="L111" s="4168" t="s">
        <v>324</v>
      </c>
      <c r="M111" s="4168">
        <v>12</v>
      </c>
      <c r="N111" s="4168">
        <v>1</v>
      </c>
      <c r="O111" s="1791" t="s">
        <v>1024</v>
      </c>
      <c r="P111" s="4169"/>
      <c r="Q111" s="4172"/>
      <c r="R111" s="4174">
        <f>(W111+W112+W113+W114+W115+W116+W117)/S105</f>
        <v>0.36902595579181835</v>
      </c>
      <c r="S111" s="4188"/>
      <c r="T111" s="4172"/>
      <c r="U111" s="4171" t="s">
        <v>1025</v>
      </c>
      <c r="V111" s="1752" t="s">
        <v>1026</v>
      </c>
      <c r="W111" s="1782">
        <f>50000000-50000000</f>
        <v>0</v>
      </c>
      <c r="X111" s="1722">
        <v>0</v>
      </c>
      <c r="Y111" s="1722">
        <v>0</v>
      </c>
      <c r="Z111" s="1793">
        <v>20</v>
      </c>
      <c r="AA111" s="1791" t="s">
        <v>208</v>
      </c>
      <c r="AB111" s="4218"/>
      <c r="AC111" s="4218"/>
      <c r="AD111" s="4218"/>
      <c r="AE111" s="4218"/>
      <c r="AF111" s="4218"/>
      <c r="AG111" s="4218"/>
      <c r="AH111" s="4218"/>
      <c r="AI111" s="4218"/>
      <c r="AJ111" s="4218"/>
      <c r="AK111" s="4218"/>
      <c r="AL111" s="4218"/>
      <c r="AM111" s="4218"/>
      <c r="AN111" s="4184"/>
      <c r="AO111" s="4184"/>
      <c r="AP111" s="4184"/>
      <c r="AQ111" s="4184"/>
      <c r="AR111" s="4184"/>
      <c r="AS111" s="4184"/>
      <c r="AT111" s="4184"/>
      <c r="AU111" s="4184"/>
      <c r="AV111" s="4184"/>
      <c r="AW111" s="4184"/>
      <c r="AX111" s="4184"/>
      <c r="AY111" s="4184"/>
      <c r="AZ111" s="4184"/>
      <c r="BA111" s="4178"/>
      <c r="BB111" s="4178"/>
      <c r="BC111" s="4181"/>
      <c r="BD111" s="4218"/>
      <c r="BE111" s="4218"/>
      <c r="BF111" s="4274"/>
      <c r="BG111" s="4274"/>
      <c r="BH111" s="4274"/>
      <c r="BI111" s="4274"/>
      <c r="BJ111" s="4277"/>
    </row>
    <row r="112" spans="1:68" ht="69" customHeight="1" x14ac:dyDescent="0.2">
      <c r="A112" s="1709"/>
      <c r="B112" s="1710"/>
      <c r="C112" s="1711"/>
      <c r="D112" s="1710"/>
      <c r="E112" s="1710"/>
      <c r="F112" s="1711"/>
      <c r="G112" s="1709"/>
      <c r="H112" s="1710"/>
      <c r="I112" s="1711"/>
      <c r="J112" s="4169"/>
      <c r="K112" s="4172"/>
      <c r="L112" s="4169"/>
      <c r="M112" s="4169"/>
      <c r="N112" s="4169"/>
      <c r="O112" s="1791"/>
      <c r="P112" s="4169"/>
      <c r="Q112" s="4172"/>
      <c r="R112" s="4175"/>
      <c r="S112" s="4188"/>
      <c r="T112" s="4172"/>
      <c r="U112" s="4172"/>
      <c r="V112" s="1752" t="s">
        <v>1027</v>
      </c>
      <c r="W112" s="1782">
        <f>99200000-99200000</f>
        <v>0</v>
      </c>
      <c r="X112" s="1722">
        <v>0</v>
      </c>
      <c r="Y112" s="1722">
        <v>0</v>
      </c>
      <c r="Z112" s="1793"/>
      <c r="AA112" s="1791"/>
      <c r="AB112" s="4218"/>
      <c r="AC112" s="4218"/>
      <c r="AD112" s="4218"/>
      <c r="AE112" s="4218"/>
      <c r="AF112" s="4218"/>
      <c r="AG112" s="4218"/>
      <c r="AH112" s="4218"/>
      <c r="AI112" s="4218"/>
      <c r="AJ112" s="4218"/>
      <c r="AK112" s="4218"/>
      <c r="AL112" s="4218"/>
      <c r="AM112" s="4218"/>
      <c r="AN112" s="4184"/>
      <c r="AO112" s="4184"/>
      <c r="AP112" s="4184"/>
      <c r="AQ112" s="4184"/>
      <c r="AR112" s="4184"/>
      <c r="AS112" s="4184"/>
      <c r="AT112" s="4184"/>
      <c r="AU112" s="4184"/>
      <c r="AV112" s="4184"/>
      <c r="AW112" s="4184"/>
      <c r="AX112" s="4184"/>
      <c r="AY112" s="4184"/>
      <c r="AZ112" s="4184"/>
      <c r="BA112" s="4178"/>
      <c r="BB112" s="4178"/>
      <c r="BC112" s="4181"/>
      <c r="BD112" s="4218"/>
      <c r="BE112" s="4218"/>
      <c r="BF112" s="4274"/>
      <c r="BG112" s="4274"/>
      <c r="BH112" s="4274"/>
      <c r="BI112" s="4274"/>
      <c r="BJ112" s="4277"/>
    </row>
    <row r="113" spans="1:68" ht="62.25" customHeight="1" x14ac:dyDescent="0.2">
      <c r="A113" s="1709"/>
      <c r="B113" s="1710"/>
      <c r="C113" s="1711"/>
      <c r="D113" s="1710"/>
      <c r="E113" s="1710"/>
      <c r="F113" s="1711"/>
      <c r="G113" s="1709"/>
      <c r="H113" s="1710"/>
      <c r="I113" s="1711"/>
      <c r="J113" s="4169"/>
      <c r="K113" s="4172"/>
      <c r="L113" s="4169"/>
      <c r="M113" s="4169"/>
      <c r="N113" s="4169"/>
      <c r="O113" s="1791"/>
      <c r="P113" s="4169"/>
      <c r="Q113" s="4172"/>
      <c r="R113" s="4175"/>
      <c r="S113" s="4188"/>
      <c r="T113" s="4172"/>
      <c r="U113" s="4172"/>
      <c r="V113" s="1752" t="s">
        <v>1028</v>
      </c>
      <c r="W113" s="1782">
        <v>42000000</v>
      </c>
      <c r="X113" s="1753">
        <v>42000000</v>
      </c>
      <c r="Y113" s="1753">
        <v>5280000</v>
      </c>
      <c r="Z113" s="1793"/>
      <c r="AA113" s="1791"/>
      <c r="AB113" s="4218"/>
      <c r="AC113" s="4218"/>
      <c r="AD113" s="4218"/>
      <c r="AE113" s="4218"/>
      <c r="AF113" s="4218"/>
      <c r="AG113" s="4218"/>
      <c r="AH113" s="4218"/>
      <c r="AI113" s="4218"/>
      <c r="AJ113" s="4218"/>
      <c r="AK113" s="4218"/>
      <c r="AL113" s="4218"/>
      <c r="AM113" s="4218"/>
      <c r="AN113" s="4184"/>
      <c r="AO113" s="4184"/>
      <c r="AP113" s="4184"/>
      <c r="AQ113" s="4184"/>
      <c r="AR113" s="4184"/>
      <c r="AS113" s="4184"/>
      <c r="AT113" s="4184"/>
      <c r="AU113" s="4184"/>
      <c r="AV113" s="4184"/>
      <c r="AW113" s="4184"/>
      <c r="AX113" s="4184"/>
      <c r="AY113" s="4184"/>
      <c r="AZ113" s="4184"/>
      <c r="BA113" s="4178"/>
      <c r="BB113" s="4178"/>
      <c r="BC113" s="4181"/>
      <c r="BD113" s="4218"/>
      <c r="BE113" s="4218"/>
      <c r="BF113" s="4274"/>
      <c r="BG113" s="4274"/>
      <c r="BH113" s="4274"/>
      <c r="BI113" s="4274"/>
      <c r="BJ113" s="4277"/>
    </row>
    <row r="114" spans="1:68" ht="62.25" customHeight="1" x14ac:dyDescent="0.2">
      <c r="A114" s="1709"/>
      <c r="B114" s="1710"/>
      <c r="C114" s="1711"/>
      <c r="D114" s="1710"/>
      <c r="E114" s="1710"/>
      <c r="F114" s="1711"/>
      <c r="G114" s="1709"/>
      <c r="H114" s="1710"/>
      <c r="I114" s="1711"/>
      <c r="J114" s="4169"/>
      <c r="K114" s="4172"/>
      <c r="L114" s="4169"/>
      <c r="M114" s="4169"/>
      <c r="N114" s="4169"/>
      <c r="O114" s="1791"/>
      <c r="P114" s="4169"/>
      <c r="Q114" s="4172"/>
      <c r="R114" s="4175"/>
      <c r="S114" s="4188"/>
      <c r="T114" s="4172"/>
      <c r="U114" s="4172"/>
      <c r="V114" s="1752" t="s">
        <v>1029</v>
      </c>
      <c r="W114" s="1782">
        <v>42000000</v>
      </c>
      <c r="X114" s="1753">
        <v>42000000</v>
      </c>
      <c r="Y114" s="1722">
        <v>0</v>
      </c>
      <c r="Z114" s="1793"/>
      <c r="AA114" s="1791"/>
      <c r="AB114" s="4218"/>
      <c r="AC114" s="4218"/>
      <c r="AD114" s="4218"/>
      <c r="AE114" s="4218"/>
      <c r="AF114" s="4218"/>
      <c r="AG114" s="4218"/>
      <c r="AH114" s="4218"/>
      <c r="AI114" s="4218"/>
      <c r="AJ114" s="4218"/>
      <c r="AK114" s="4218"/>
      <c r="AL114" s="4218"/>
      <c r="AM114" s="4218"/>
      <c r="AN114" s="4184"/>
      <c r="AO114" s="4184"/>
      <c r="AP114" s="4184"/>
      <c r="AQ114" s="4184"/>
      <c r="AR114" s="4184"/>
      <c r="AS114" s="4184"/>
      <c r="AT114" s="4184"/>
      <c r="AU114" s="4184"/>
      <c r="AV114" s="4184"/>
      <c r="AW114" s="4184"/>
      <c r="AX114" s="4184"/>
      <c r="AY114" s="4184"/>
      <c r="AZ114" s="4184"/>
      <c r="BA114" s="4178"/>
      <c r="BB114" s="4178"/>
      <c r="BC114" s="4181"/>
      <c r="BD114" s="4218"/>
      <c r="BE114" s="4218"/>
      <c r="BF114" s="4274"/>
      <c r="BG114" s="4274"/>
      <c r="BH114" s="4274"/>
      <c r="BI114" s="4274"/>
      <c r="BJ114" s="4277"/>
    </row>
    <row r="115" spans="1:68" ht="62.25" customHeight="1" x14ac:dyDescent="0.2">
      <c r="A115" s="1709"/>
      <c r="B115" s="1710"/>
      <c r="C115" s="1711"/>
      <c r="D115" s="1710"/>
      <c r="E115" s="1710"/>
      <c r="F115" s="1711"/>
      <c r="G115" s="1709"/>
      <c r="H115" s="1710"/>
      <c r="I115" s="1711"/>
      <c r="J115" s="4169"/>
      <c r="K115" s="4172"/>
      <c r="L115" s="4169"/>
      <c r="M115" s="4169"/>
      <c r="N115" s="4169"/>
      <c r="O115" s="1791"/>
      <c r="P115" s="4169"/>
      <c r="Q115" s="4172"/>
      <c r="R115" s="4175"/>
      <c r="S115" s="4188"/>
      <c r="T115" s="4172"/>
      <c r="U115" s="4172"/>
      <c r="V115" s="1752" t="s">
        <v>1030</v>
      </c>
      <c r="W115" s="1782">
        <v>42000000</v>
      </c>
      <c r="X115" s="1753">
        <v>22665000</v>
      </c>
      <c r="Y115" s="1722">
        <v>0</v>
      </c>
      <c r="Z115" s="1793"/>
      <c r="AA115" s="1791"/>
      <c r="AB115" s="4218"/>
      <c r="AC115" s="4218"/>
      <c r="AD115" s="4218"/>
      <c r="AE115" s="4218"/>
      <c r="AF115" s="4218"/>
      <c r="AG115" s="4218"/>
      <c r="AH115" s="4218"/>
      <c r="AI115" s="4218"/>
      <c r="AJ115" s="4218"/>
      <c r="AK115" s="4218"/>
      <c r="AL115" s="4218"/>
      <c r="AM115" s="4218"/>
      <c r="AN115" s="4184"/>
      <c r="AO115" s="4184"/>
      <c r="AP115" s="4184"/>
      <c r="AQ115" s="4184"/>
      <c r="AR115" s="4184"/>
      <c r="AS115" s="4184"/>
      <c r="AT115" s="4184"/>
      <c r="AU115" s="4184"/>
      <c r="AV115" s="4184"/>
      <c r="AW115" s="4184"/>
      <c r="AX115" s="4184"/>
      <c r="AY115" s="4184"/>
      <c r="AZ115" s="4184"/>
      <c r="BA115" s="4178"/>
      <c r="BB115" s="4178"/>
      <c r="BC115" s="4181"/>
      <c r="BD115" s="4218"/>
      <c r="BE115" s="4218"/>
      <c r="BF115" s="4274"/>
      <c r="BG115" s="4274"/>
      <c r="BH115" s="4274"/>
      <c r="BI115" s="4274"/>
      <c r="BJ115" s="4277"/>
    </row>
    <row r="116" spans="1:68" ht="62.25" customHeight="1" x14ac:dyDescent="0.2">
      <c r="A116" s="1709"/>
      <c r="B116" s="1710"/>
      <c r="C116" s="1711"/>
      <c r="D116" s="1710"/>
      <c r="E116" s="1710"/>
      <c r="F116" s="1711"/>
      <c r="G116" s="1709"/>
      <c r="H116" s="1710"/>
      <c r="I116" s="1711"/>
      <c r="J116" s="4169"/>
      <c r="K116" s="4172"/>
      <c r="L116" s="4169"/>
      <c r="M116" s="4169"/>
      <c r="N116" s="4169"/>
      <c r="O116" s="1791"/>
      <c r="P116" s="4169"/>
      <c r="Q116" s="4172"/>
      <c r="R116" s="4175"/>
      <c r="S116" s="4188"/>
      <c r="T116" s="4172"/>
      <c r="U116" s="4172"/>
      <c r="V116" s="1752" t="s">
        <v>1031</v>
      </c>
      <c r="W116" s="1782">
        <v>23200000</v>
      </c>
      <c r="X116" s="1722">
        <v>0</v>
      </c>
      <c r="Y116" s="1722">
        <v>0</v>
      </c>
      <c r="Z116" s="1793"/>
      <c r="AA116" s="1791"/>
      <c r="AB116" s="4218"/>
      <c r="AC116" s="4218"/>
      <c r="AD116" s="4218"/>
      <c r="AE116" s="4218"/>
      <c r="AF116" s="4218"/>
      <c r="AG116" s="4218"/>
      <c r="AH116" s="4218"/>
      <c r="AI116" s="4218"/>
      <c r="AJ116" s="4218"/>
      <c r="AK116" s="4218"/>
      <c r="AL116" s="4218"/>
      <c r="AM116" s="4218"/>
      <c r="AN116" s="4184"/>
      <c r="AO116" s="4184"/>
      <c r="AP116" s="4184"/>
      <c r="AQ116" s="4184"/>
      <c r="AR116" s="4184"/>
      <c r="AS116" s="4184"/>
      <c r="AT116" s="4184"/>
      <c r="AU116" s="4184"/>
      <c r="AV116" s="4184"/>
      <c r="AW116" s="4184"/>
      <c r="AX116" s="4184"/>
      <c r="AY116" s="4184"/>
      <c r="AZ116" s="4184"/>
      <c r="BA116" s="4178"/>
      <c r="BB116" s="4178"/>
      <c r="BC116" s="4181"/>
      <c r="BD116" s="4218"/>
      <c r="BE116" s="4218"/>
      <c r="BF116" s="4274"/>
      <c r="BG116" s="4274"/>
      <c r="BH116" s="4274"/>
      <c r="BI116" s="4274"/>
      <c r="BJ116" s="4277"/>
    </row>
    <row r="117" spans="1:68" ht="67.5" customHeight="1" x14ac:dyDescent="0.2">
      <c r="A117" s="1709"/>
      <c r="B117" s="1710"/>
      <c r="C117" s="1711"/>
      <c r="D117" s="1710"/>
      <c r="E117" s="1710"/>
      <c r="F117" s="1711"/>
      <c r="G117" s="1709"/>
      <c r="H117" s="1710"/>
      <c r="I117" s="1711"/>
      <c r="J117" s="4170"/>
      <c r="K117" s="4173"/>
      <c r="L117" s="4170"/>
      <c r="M117" s="4170"/>
      <c r="N117" s="4170"/>
      <c r="O117" s="1791"/>
      <c r="P117" s="4169"/>
      <c r="Q117" s="4172"/>
      <c r="R117" s="4176"/>
      <c r="S117" s="4188"/>
      <c r="T117" s="4172"/>
      <c r="U117" s="4173"/>
      <c r="V117" s="1752" t="s">
        <v>1032</v>
      </c>
      <c r="W117" s="1782">
        <v>0</v>
      </c>
      <c r="X117" s="1722">
        <v>0</v>
      </c>
      <c r="Y117" s="1722">
        <v>0</v>
      </c>
      <c r="Z117" s="1792"/>
      <c r="AA117" s="1793"/>
      <c r="AB117" s="4218"/>
      <c r="AC117" s="4218"/>
      <c r="AD117" s="4218"/>
      <c r="AE117" s="4218"/>
      <c r="AF117" s="4218"/>
      <c r="AG117" s="4218"/>
      <c r="AH117" s="4218"/>
      <c r="AI117" s="4218"/>
      <c r="AJ117" s="4218"/>
      <c r="AK117" s="4218"/>
      <c r="AL117" s="4218"/>
      <c r="AM117" s="4218"/>
      <c r="AN117" s="4184"/>
      <c r="AO117" s="4184"/>
      <c r="AP117" s="4184"/>
      <c r="AQ117" s="4184"/>
      <c r="AR117" s="4184"/>
      <c r="AS117" s="4184"/>
      <c r="AT117" s="4184"/>
      <c r="AU117" s="4184"/>
      <c r="AV117" s="4184"/>
      <c r="AW117" s="4184"/>
      <c r="AX117" s="4184"/>
      <c r="AY117" s="4184"/>
      <c r="AZ117" s="4184"/>
      <c r="BA117" s="4178"/>
      <c r="BB117" s="4178"/>
      <c r="BC117" s="4181"/>
      <c r="BD117" s="4218"/>
      <c r="BE117" s="4218"/>
      <c r="BF117" s="4274"/>
      <c r="BG117" s="4274"/>
      <c r="BH117" s="4274"/>
      <c r="BI117" s="4274"/>
      <c r="BJ117" s="4277"/>
    </row>
    <row r="118" spans="1:68" ht="48.75" customHeight="1" x14ac:dyDescent="0.2">
      <c r="A118" s="1709"/>
      <c r="B118" s="1710"/>
      <c r="C118" s="1711"/>
      <c r="D118" s="1710"/>
      <c r="E118" s="1710"/>
      <c r="F118" s="1711"/>
      <c r="G118" s="1709"/>
      <c r="H118" s="1710"/>
      <c r="I118" s="1711"/>
      <c r="J118" s="4168">
        <v>157</v>
      </c>
      <c r="K118" s="4171" t="s">
        <v>1033</v>
      </c>
      <c r="L118" s="4168" t="s">
        <v>324</v>
      </c>
      <c r="M118" s="4168">
        <v>12</v>
      </c>
      <c r="N118" s="4168">
        <v>12</v>
      </c>
      <c r="O118" s="1791"/>
      <c r="P118" s="4169"/>
      <c r="Q118" s="4172"/>
      <c r="R118" s="4174">
        <f>(W118+W119)/S105</f>
        <v>0.15237804926369874</v>
      </c>
      <c r="S118" s="4188"/>
      <c r="T118" s="4172"/>
      <c r="U118" s="4171" t="s">
        <v>1034</v>
      </c>
      <c r="V118" s="1752" t="s">
        <v>1035</v>
      </c>
      <c r="W118" s="1796">
        <f>33607604-12500000</f>
        <v>21107604</v>
      </c>
      <c r="X118" s="1753">
        <v>10560000</v>
      </c>
      <c r="Y118" s="1722">
        <v>0</v>
      </c>
      <c r="Z118" s="1792"/>
      <c r="AA118" s="1793"/>
      <c r="AB118" s="4218"/>
      <c r="AC118" s="4218"/>
      <c r="AD118" s="4218"/>
      <c r="AE118" s="4218"/>
      <c r="AF118" s="4218"/>
      <c r="AG118" s="4218"/>
      <c r="AH118" s="4218"/>
      <c r="AI118" s="4218"/>
      <c r="AJ118" s="4218"/>
      <c r="AK118" s="4218"/>
      <c r="AL118" s="4218"/>
      <c r="AM118" s="4218"/>
      <c r="AN118" s="4184"/>
      <c r="AO118" s="4184"/>
      <c r="AP118" s="4184"/>
      <c r="AQ118" s="4184"/>
      <c r="AR118" s="4184"/>
      <c r="AS118" s="4184"/>
      <c r="AT118" s="4184"/>
      <c r="AU118" s="4184"/>
      <c r="AV118" s="4184"/>
      <c r="AW118" s="4184"/>
      <c r="AX118" s="4184"/>
      <c r="AY118" s="4184"/>
      <c r="AZ118" s="4184"/>
      <c r="BA118" s="4178"/>
      <c r="BB118" s="4178"/>
      <c r="BC118" s="4181"/>
      <c r="BD118" s="4218"/>
      <c r="BE118" s="4218"/>
      <c r="BF118" s="4274"/>
      <c r="BG118" s="4274"/>
      <c r="BH118" s="4274"/>
      <c r="BI118" s="4274"/>
      <c r="BJ118" s="4277"/>
    </row>
    <row r="119" spans="1:68" ht="66" customHeight="1" x14ac:dyDescent="0.2">
      <c r="A119" s="1709"/>
      <c r="B119" s="1710"/>
      <c r="C119" s="1711"/>
      <c r="D119" s="1710"/>
      <c r="E119" s="1710"/>
      <c r="F119" s="1711"/>
      <c r="G119" s="1729"/>
      <c r="H119" s="1727"/>
      <c r="I119" s="1728"/>
      <c r="J119" s="4170"/>
      <c r="K119" s="4173"/>
      <c r="L119" s="4170"/>
      <c r="M119" s="4170"/>
      <c r="N119" s="4170"/>
      <c r="O119" s="1757"/>
      <c r="P119" s="4170"/>
      <c r="Q119" s="4173"/>
      <c r="R119" s="4176"/>
      <c r="S119" s="4189"/>
      <c r="T119" s="4173"/>
      <c r="U119" s="4173"/>
      <c r="V119" s="1752" t="s">
        <v>1036</v>
      </c>
      <c r="W119" s="1782">
        <f>12500000+28000000</f>
        <v>40500000</v>
      </c>
      <c r="X119" s="1753">
        <v>10560000</v>
      </c>
      <c r="Y119" s="1722">
        <v>0</v>
      </c>
      <c r="Z119" s="1794"/>
      <c r="AA119" s="1797"/>
      <c r="AB119" s="4219"/>
      <c r="AC119" s="4219"/>
      <c r="AD119" s="4219"/>
      <c r="AE119" s="4219"/>
      <c r="AF119" s="4219"/>
      <c r="AG119" s="4219"/>
      <c r="AH119" s="4219"/>
      <c r="AI119" s="4219"/>
      <c r="AJ119" s="4219"/>
      <c r="AK119" s="4219"/>
      <c r="AL119" s="4219"/>
      <c r="AM119" s="4219"/>
      <c r="AN119" s="4185"/>
      <c r="AO119" s="4185"/>
      <c r="AP119" s="4185"/>
      <c r="AQ119" s="4185"/>
      <c r="AR119" s="4185"/>
      <c r="AS119" s="4185"/>
      <c r="AT119" s="4185"/>
      <c r="AU119" s="4185"/>
      <c r="AV119" s="4185"/>
      <c r="AW119" s="4185"/>
      <c r="AX119" s="4185"/>
      <c r="AY119" s="4185"/>
      <c r="AZ119" s="4185"/>
      <c r="BA119" s="4179"/>
      <c r="BB119" s="4179"/>
      <c r="BC119" s="4182"/>
      <c r="BD119" s="4219"/>
      <c r="BE119" s="4219"/>
      <c r="BF119" s="4275"/>
      <c r="BG119" s="4275"/>
      <c r="BH119" s="4275"/>
      <c r="BI119" s="4275"/>
      <c r="BJ119" s="4278"/>
    </row>
    <row r="120" spans="1:68" s="1743" customFormat="1" ht="36" customHeight="1" x14ac:dyDescent="0.2">
      <c r="A120" s="1697"/>
      <c r="B120" s="1698"/>
      <c r="C120" s="1699"/>
      <c r="D120" s="1698"/>
      <c r="E120" s="1698"/>
      <c r="F120" s="1699"/>
      <c r="G120" s="1737">
        <v>45</v>
      </c>
      <c r="H120" s="1703" t="s">
        <v>1037</v>
      </c>
      <c r="I120" s="1703"/>
      <c r="J120" s="1703"/>
      <c r="K120" s="1704"/>
      <c r="L120" s="1703"/>
      <c r="M120" s="1703"/>
      <c r="N120" s="1703"/>
      <c r="O120" s="1705"/>
      <c r="P120" s="1703"/>
      <c r="Q120" s="1704"/>
      <c r="R120" s="1703"/>
      <c r="S120" s="1703"/>
      <c r="T120" s="1703"/>
      <c r="U120" s="1704"/>
      <c r="V120" s="1704"/>
      <c r="W120" s="1704"/>
      <c r="X120" s="1798"/>
      <c r="Y120" s="1799"/>
      <c r="Z120" s="1738"/>
      <c r="AA120" s="1705"/>
      <c r="AB120" s="1705"/>
      <c r="AC120" s="1705"/>
      <c r="AD120" s="1705"/>
      <c r="AE120" s="1705"/>
      <c r="AF120" s="1705"/>
      <c r="AG120" s="1705"/>
      <c r="AH120" s="1705"/>
      <c r="AI120" s="1705"/>
      <c r="AJ120" s="1705"/>
      <c r="AK120" s="1705"/>
      <c r="AL120" s="1705"/>
      <c r="AM120" s="1705"/>
      <c r="AN120" s="1705"/>
      <c r="AO120" s="1705"/>
      <c r="AP120" s="1705"/>
      <c r="AQ120" s="1705"/>
      <c r="AR120" s="1705"/>
      <c r="AS120" s="1705"/>
      <c r="AT120" s="1705"/>
      <c r="AU120" s="1705"/>
      <c r="AV120" s="1705"/>
      <c r="AW120" s="1705"/>
      <c r="AX120" s="1705"/>
      <c r="AY120" s="1705"/>
      <c r="AZ120" s="1705"/>
      <c r="BA120" s="1705"/>
      <c r="BB120" s="1705"/>
      <c r="BC120" s="1705"/>
      <c r="BD120" s="1705"/>
      <c r="BE120" s="1705"/>
      <c r="BF120" s="1705"/>
      <c r="BG120" s="1705"/>
      <c r="BH120" s="1703"/>
      <c r="BI120" s="1703"/>
      <c r="BJ120" s="1739"/>
      <c r="BK120" s="1687"/>
      <c r="BL120" s="1687"/>
      <c r="BM120" s="1687"/>
      <c r="BN120" s="1687"/>
      <c r="BO120" s="1687"/>
      <c r="BP120" s="1687"/>
    </row>
    <row r="121" spans="1:68" s="1724" customFormat="1" ht="54.75" customHeight="1" x14ac:dyDescent="0.2">
      <c r="A121" s="1709"/>
      <c r="B121" s="1710"/>
      <c r="C121" s="1711"/>
      <c r="D121" s="1710"/>
      <c r="E121" s="1710"/>
      <c r="F121" s="1711"/>
      <c r="G121" s="1712"/>
      <c r="H121" s="1713"/>
      <c r="I121" s="1714"/>
      <c r="J121" s="4168">
        <v>158</v>
      </c>
      <c r="K121" s="4168" t="s">
        <v>1038</v>
      </c>
      <c r="L121" s="4168" t="s">
        <v>324</v>
      </c>
      <c r="M121" s="4168">
        <v>11</v>
      </c>
      <c r="N121" s="4168">
        <v>0</v>
      </c>
      <c r="O121" s="4168" t="s">
        <v>1039</v>
      </c>
      <c r="P121" s="4168">
        <v>150</v>
      </c>
      <c r="Q121" s="4171" t="s">
        <v>1040</v>
      </c>
      <c r="R121" s="4174">
        <v>0.9</v>
      </c>
      <c r="S121" s="4187">
        <f>SUM(W121:W125)</f>
        <v>1396230607</v>
      </c>
      <c r="T121" s="4171" t="s">
        <v>1041</v>
      </c>
      <c r="U121" s="4190" t="s">
        <v>1042</v>
      </c>
      <c r="V121" s="1752" t="s">
        <v>1043</v>
      </c>
      <c r="W121" s="1720">
        <f>215000000+40530000</f>
        <v>255530000</v>
      </c>
      <c r="X121" s="1722">
        <v>0</v>
      </c>
      <c r="Y121" s="1722">
        <v>0</v>
      </c>
      <c r="Z121" s="4214">
        <v>61</v>
      </c>
      <c r="AA121" s="4168" t="s">
        <v>820</v>
      </c>
      <c r="AB121" s="4183">
        <v>64149</v>
      </c>
      <c r="AC121" s="4183">
        <v>0</v>
      </c>
      <c r="AD121" s="4183">
        <v>72224</v>
      </c>
      <c r="AE121" s="4183">
        <v>0</v>
      </c>
      <c r="AF121" s="4183">
        <v>27477</v>
      </c>
      <c r="AG121" s="4183">
        <v>0</v>
      </c>
      <c r="AH121" s="4183">
        <v>86843</v>
      </c>
      <c r="AI121" s="4183">
        <v>0</v>
      </c>
      <c r="AJ121" s="4183">
        <v>236429</v>
      </c>
      <c r="AK121" s="4183">
        <v>0</v>
      </c>
      <c r="AL121" s="4183">
        <v>81384</v>
      </c>
      <c r="AM121" s="4183">
        <v>0</v>
      </c>
      <c r="AN121" s="4183">
        <v>13208</v>
      </c>
      <c r="AO121" s="4183">
        <v>0</v>
      </c>
      <c r="AP121" s="4183">
        <v>2145</v>
      </c>
      <c r="AQ121" s="4183">
        <v>0</v>
      </c>
      <c r="AR121" s="4183">
        <v>413</v>
      </c>
      <c r="AS121" s="4183">
        <v>0</v>
      </c>
      <c r="AT121" s="4183">
        <v>520</v>
      </c>
      <c r="AU121" s="4183">
        <v>0</v>
      </c>
      <c r="AV121" s="4183">
        <v>16897</v>
      </c>
      <c r="AW121" s="4183">
        <v>0</v>
      </c>
      <c r="AX121" s="4183">
        <v>75612</v>
      </c>
      <c r="AY121" s="4183">
        <v>0</v>
      </c>
      <c r="AZ121" s="4270">
        <v>0</v>
      </c>
      <c r="BA121" s="4211">
        <v>0</v>
      </c>
      <c r="BB121" s="4211">
        <v>0</v>
      </c>
      <c r="BC121" s="4180">
        <v>0</v>
      </c>
      <c r="BD121" s="4183">
        <v>61</v>
      </c>
      <c r="BE121" s="4217" t="s">
        <v>822</v>
      </c>
      <c r="BF121" s="4162">
        <v>42948</v>
      </c>
      <c r="BG121" s="4162" t="s">
        <v>154</v>
      </c>
      <c r="BH121" s="4162">
        <v>43100</v>
      </c>
      <c r="BI121" s="4162" t="s">
        <v>154</v>
      </c>
      <c r="BJ121" s="4165" t="s">
        <v>880</v>
      </c>
    </row>
    <row r="122" spans="1:68" s="1724" customFormat="1" ht="54.75" customHeight="1" x14ac:dyDescent="0.2">
      <c r="A122" s="1709"/>
      <c r="B122" s="1710"/>
      <c r="C122" s="1711"/>
      <c r="D122" s="1710"/>
      <c r="E122" s="1710"/>
      <c r="F122" s="1711"/>
      <c r="G122" s="1709"/>
      <c r="H122" s="1710"/>
      <c r="I122" s="1711"/>
      <c r="J122" s="4169"/>
      <c r="K122" s="4169"/>
      <c r="L122" s="4169"/>
      <c r="M122" s="4169"/>
      <c r="N122" s="4169"/>
      <c r="O122" s="4169"/>
      <c r="P122" s="4169"/>
      <c r="Q122" s="4172"/>
      <c r="R122" s="4175"/>
      <c r="S122" s="4188"/>
      <c r="T122" s="4172"/>
      <c r="U122" s="4191"/>
      <c r="V122" s="1752" t="s">
        <v>1044</v>
      </c>
      <c r="W122" s="1720">
        <v>25920000</v>
      </c>
      <c r="X122" s="1722">
        <v>0</v>
      </c>
      <c r="Y122" s="1722">
        <v>0</v>
      </c>
      <c r="Z122" s="4215"/>
      <c r="AA122" s="4169"/>
      <c r="AB122" s="4184"/>
      <c r="AC122" s="4184"/>
      <c r="AD122" s="4184"/>
      <c r="AE122" s="4184"/>
      <c r="AF122" s="4184"/>
      <c r="AG122" s="4184"/>
      <c r="AH122" s="4184"/>
      <c r="AI122" s="4184"/>
      <c r="AJ122" s="4184"/>
      <c r="AK122" s="4184"/>
      <c r="AL122" s="4184"/>
      <c r="AM122" s="4184"/>
      <c r="AN122" s="4184"/>
      <c r="AO122" s="4184"/>
      <c r="AP122" s="4184"/>
      <c r="AQ122" s="4184"/>
      <c r="AR122" s="4184"/>
      <c r="AS122" s="4184"/>
      <c r="AT122" s="4184"/>
      <c r="AU122" s="4184"/>
      <c r="AV122" s="4184"/>
      <c r="AW122" s="4184"/>
      <c r="AX122" s="4184"/>
      <c r="AY122" s="4184"/>
      <c r="AZ122" s="4271"/>
      <c r="BA122" s="4212"/>
      <c r="BB122" s="4212"/>
      <c r="BC122" s="4181"/>
      <c r="BD122" s="4184"/>
      <c r="BE122" s="4218"/>
      <c r="BF122" s="4163"/>
      <c r="BG122" s="4163"/>
      <c r="BH122" s="4163"/>
      <c r="BI122" s="4163"/>
      <c r="BJ122" s="4166"/>
    </row>
    <row r="123" spans="1:68" s="1724" customFormat="1" ht="54.75" customHeight="1" x14ac:dyDescent="0.2">
      <c r="A123" s="1709"/>
      <c r="B123" s="1710"/>
      <c r="C123" s="1711"/>
      <c r="D123" s="1710"/>
      <c r="E123" s="1710"/>
      <c r="F123" s="1711"/>
      <c r="G123" s="1709"/>
      <c r="H123" s="1710"/>
      <c r="I123" s="1711"/>
      <c r="J123" s="4169"/>
      <c r="K123" s="4169"/>
      <c r="L123" s="4169"/>
      <c r="M123" s="4169"/>
      <c r="N123" s="4169"/>
      <c r="O123" s="4169"/>
      <c r="P123" s="4169"/>
      <c r="Q123" s="4172"/>
      <c r="R123" s="4175"/>
      <c r="S123" s="4188"/>
      <c r="T123" s="4172"/>
      <c r="U123" s="4192"/>
      <c r="V123" s="1752" t="s">
        <v>1045</v>
      </c>
      <c r="W123" s="1720">
        <f>656161907+94103700</f>
        <v>750265607</v>
      </c>
      <c r="X123" s="1722">
        <v>0</v>
      </c>
      <c r="Y123" s="1722">
        <v>0</v>
      </c>
      <c r="Z123" s="4215"/>
      <c r="AA123" s="4169"/>
      <c r="AB123" s="4184"/>
      <c r="AC123" s="4184"/>
      <c r="AD123" s="4184"/>
      <c r="AE123" s="4184"/>
      <c r="AF123" s="4184"/>
      <c r="AG123" s="4184"/>
      <c r="AH123" s="4184"/>
      <c r="AI123" s="4184"/>
      <c r="AJ123" s="4184"/>
      <c r="AK123" s="4184"/>
      <c r="AL123" s="4184"/>
      <c r="AM123" s="4184"/>
      <c r="AN123" s="4184"/>
      <c r="AO123" s="4184"/>
      <c r="AP123" s="4184"/>
      <c r="AQ123" s="4184"/>
      <c r="AR123" s="4184"/>
      <c r="AS123" s="4184"/>
      <c r="AT123" s="4184"/>
      <c r="AU123" s="4184"/>
      <c r="AV123" s="4184"/>
      <c r="AW123" s="4184"/>
      <c r="AX123" s="4184"/>
      <c r="AY123" s="4184"/>
      <c r="AZ123" s="4271"/>
      <c r="BA123" s="4212"/>
      <c r="BB123" s="4212"/>
      <c r="BC123" s="4181"/>
      <c r="BD123" s="4184"/>
      <c r="BE123" s="4218"/>
      <c r="BF123" s="4163"/>
      <c r="BG123" s="4163"/>
      <c r="BH123" s="4163"/>
      <c r="BI123" s="4163"/>
      <c r="BJ123" s="4166"/>
    </row>
    <row r="124" spans="1:68" s="1724" customFormat="1" ht="54.75" customHeight="1" x14ac:dyDescent="0.2">
      <c r="A124" s="1709"/>
      <c r="B124" s="1710"/>
      <c r="C124" s="1711"/>
      <c r="D124" s="1710"/>
      <c r="E124" s="1710"/>
      <c r="F124" s="1711"/>
      <c r="G124" s="1709"/>
      <c r="H124" s="1710"/>
      <c r="I124" s="1711"/>
      <c r="J124" s="4170"/>
      <c r="K124" s="4170"/>
      <c r="L124" s="4170"/>
      <c r="M124" s="4170"/>
      <c r="N124" s="4170"/>
      <c r="O124" s="4169"/>
      <c r="P124" s="4169"/>
      <c r="Q124" s="4172"/>
      <c r="R124" s="4176"/>
      <c r="S124" s="4188"/>
      <c r="T124" s="4172"/>
      <c r="U124" s="1800" t="s">
        <v>1046</v>
      </c>
      <c r="V124" s="1752" t="s">
        <v>1047</v>
      </c>
      <c r="W124" s="1720">
        <f>160000000+204515000</f>
        <v>364515000</v>
      </c>
      <c r="X124" s="1722">
        <v>0</v>
      </c>
      <c r="Y124" s="1722">
        <v>0</v>
      </c>
      <c r="Z124" s="4215"/>
      <c r="AA124" s="4169"/>
      <c r="AB124" s="4184"/>
      <c r="AC124" s="4184"/>
      <c r="AD124" s="4184"/>
      <c r="AE124" s="4184"/>
      <c r="AF124" s="4184"/>
      <c r="AG124" s="4184"/>
      <c r="AH124" s="4184"/>
      <c r="AI124" s="4184"/>
      <c r="AJ124" s="4184"/>
      <c r="AK124" s="4184"/>
      <c r="AL124" s="4184"/>
      <c r="AM124" s="4184"/>
      <c r="AN124" s="4184"/>
      <c r="AO124" s="4184"/>
      <c r="AP124" s="4184"/>
      <c r="AQ124" s="4184"/>
      <c r="AR124" s="4184"/>
      <c r="AS124" s="4184"/>
      <c r="AT124" s="4184"/>
      <c r="AU124" s="4184"/>
      <c r="AV124" s="4184"/>
      <c r="AW124" s="4184"/>
      <c r="AX124" s="4184"/>
      <c r="AY124" s="4184"/>
      <c r="AZ124" s="4271"/>
      <c r="BA124" s="4212"/>
      <c r="BB124" s="4212"/>
      <c r="BC124" s="4181"/>
      <c r="BD124" s="4184"/>
      <c r="BE124" s="4218"/>
      <c r="BF124" s="4163"/>
      <c r="BG124" s="4163"/>
      <c r="BH124" s="4163"/>
      <c r="BI124" s="4163"/>
      <c r="BJ124" s="4166"/>
      <c r="BL124" s="1723"/>
    </row>
    <row r="125" spans="1:68" s="1724" customFormat="1" ht="65.25" customHeight="1" x14ac:dyDescent="0.2">
      <c r="A125" s="1709"/>
      <c r="B125" s="1710"/>
      <c r="C125" s="1711"/>
      <c r="D125" s="1710"/>
      <c r="E125" s="1710"/>
      <c r="F125" s="1711"/>
      <c r="G125" s="1729"/>
      <c r="H125" s="1727"/>
      <c r="I125" s="1728"/>
      <c r="J125" s="1715">
        <v>159</v>
      </c>
      <c r="K125" s="1716" t="s">
        <v>1048</v>
      </c>
      <c r="L125" s="1757" t="s">
        <v>324</v>
      </c>
      <c r="M125" s="1715">
        <v>8</v>
      </c>
      <c r="N125" s="1715">
        <v>0</v>
      </c>
      <c r="O125" s="4170"/>
      <c r="P125" s="4170"/>
      <c r="Q125" s="4173"/>
      <c r="R125" s="1718">
        <v>0.1</v>
      </c>
      <c r="S125" s="4189"/>
      <c r="T125" s="4173"/>
      <c r="U125" s="1801" t="s">
        <v>1049</v>
      </c>
      <c r="V125" s="1752" t="s">
        <v>1050</v>
      </c>
      <c r="W125" s="1720">
        <v>0</v>
      </c>
      <c r="X125" s="1722">
        <v>0</v>
      </c>
      <c r="Y125" s="1722">
        <v>0</v>
      </c>
      <c r="Z125" s="4216"/>
      <c r="AA125" s="4170"/>
      <c r="AB125" s="4185"/>
      <c r="AC125" s="4185"/>
      <c r="AD125" s="4185"/>
      <c r="AE125" s="4185"/>
      <c r="AF125" s="4185"/>
      <c r="AG125" s="4185"/>
      <c r="AH125" s="4185"/>
      <c r="AI125" s="4185"/>
      <c r="AJ125" s="4185"/>
      <c r="AK125" s="4185"/>
      <c r="AL125" s="4185"/>
      <c r="AM125" s="4185"/>
      <c r="AN125" s="4185"/>
      <c r="AO125" s="4185"/>
      <c r="AP125" s="4185"/>
      <c r="AQ125" s="4185"/>
      <c r="AR125" s="4185"/>
      <c r="AS125" s="4185"/>
      <c r="AT125" s="4185"/>
      <c r="AU125" s="4185"/>
      <c r="AV125" s="4185"/>
      <c r="AW125" s="4185"/>
      <c r="AX125" s="4185"/>
      <c r="AY125" s="4185"/>
      <c r="AZ125" s="4272"/>
      <c r="BA125" s="4213"/>
      <c r="BB125" s="4213"/>
      <c r="BC125" s="4182"/>
      <c r="BD125" s="4185"/>
      <c r="BE125" s="4219"/>
      <c r="BF125" s="4164"/>
      <c r="BG125" s="4164"/>
      <c r="BH125" s="4164"/>
      <c r="BI125" s="4164"/>
      <c r="BJ125" s="4167"/>
    </row>
    <row r="126" spans="1:68" s="1743" customFormat="1" ht="36" customHeight="1" x14ac:dyDescent="0.2">
      <c r="A126" s="1697"/>
      <c r="B126" s="1698"/>
      <c r="C126" s="1699"/>
      <c r="D126" s="1698"/>
      <c r="E126" s="1698"/>
      <c r="F126" s="1699"/>
      <c r="G126" s="1737">
        <v>46</v>
      </c>
      <c r="H126" s="1703" t="s">
        <v>1051</v>
      </c>
      <c r="I126" s="1703"/>
      <c r="J126" s="1703"/>
      <c r="K126" s="1704"/>
      <c r="L126" s="1703"/>
      <c r="M126" s="1703"/>
      <c r="N126" s="1703"/>
      <c r="O126" s="1705"/>
      <c r="P126" s="1703"/>
      <c r="Q126" s="1704"/>
      <c r="R126" s="1703"/>
      <c r="S126" s="1703"/>
      <c r="T126" s="1703"/>
      <c r="U126" s="1704"/>
      <c r="V126" s="1704"/>
      <c r="W126" s="1802"/>
      <c r="X126" s="1802"/>
      <c r="Y126" s="1802"/>
      <c r="Z126" s="1738"/>
      <c r="AA126" s="1705"/>
      <c r="AB126" s="1705"/>
      <c r="AC126" s="1705"/>
      <c r="AD126" s="1705"/>
      <c r="AE126" s="1705"/>
      <c r="AF126" s="1705"/>
      <c r="AG126" s="1705"/>
      <c r="AH126" s="1705"/>
      <c r="AI126" s="1705"/>
      <c r="AJ126" s="1705"/>
      <c r="AK126" s="1705"/>
      <c r="AL126" s="1705"/>
      <c r="AM126" s="1705"/>
      <c r="AN126" s="1705"/>
      <c r="AO126" s="1705"/>
      <c r="AP126" s="1705"/>
      <c r="AQ126" s="1705"/>
      <c r="AR126" s="1705"/>
      <c r="AS126" s="1705"/>
      <c r="AT126" s="1705"/>
      <c r="AU126" s="1705"/>
      <c r="AV126" s="1705"/>
      <c r="AW126" s="1705"/>
      <c r="AX126" s="1705"/>
      <c r="AY126" s="1705"/>
      <c r="AZ126" s="1705"/>
      <c r="BA126" s="1705"/>
      <c r="BB126" s="1705"/>
      <c r="BC126" s="1705"/>
      <c r="BD126" s="1705"/>
      <c r="BE126" s="1705"/>
      <c r="BF126" s="1703"/>
      <c r="BG126" s="1703"/>
      <c r="BH126" s="1703"/>
      <c r="BI126" s="1703"/>
      <c r="BJ126" s="1739"/>
      <c r="BK126" s="1803"/>
      <c r="BL126" s="1687"/>
      <c r="BM126" s="1687"/>
      <c r="BN126" s="1687"/>
      <c r="BO126" s="1687"/>
      <c r="BP126" s="1687"/>
    </row>
    <row r="127" spans="1:68" ht="36.75" customHeight="1" x14ac:dyDescent="0.2">
      <c r="A127" s="1709"/>
      <c r="B127" s="1710"/>
      <c r="C127" s="1711"/>
      <c r="D127" s="1710"/>
      <c r="E127" s="1710"/>
      <c r="F127" s="1711"/>
      <c r="G127" s="1712"/>
      <c r="H127" s="1713"/>
      <c r="I127" s="1714"/>
      <c r="J127" s="4239">
        <v>160</v>
      </c>
      <c r="K127" s="4171" t="s">
        <v>1052</v>
      </c>
      <c r="L127" s="4168" t="s">
        <v>324</v>
      </c>
      <c r="M127" s="4168">
        <v>300</v>
      </c>
      <c r="N127" s="4168">
        <v>347</v>
      </c>
      <c r="O127" s="4168" t="s">
        <v>1053</v>
      </c>
      <c r="P127" s="4168">
        <v>151</v>
      </c>
      <c r="Q127" s="4171" t="s">
        <v>1054</v>
      </c>
      <c r="R127" s="4174">
        <v>1</v>
      </c>
      <c r="S127" s="4187">
        <f>SUM(W127:W131)</f>
        <v>1021461289</v>
      </c>
      <c r="T127" s="4171" t="s">
        <v>1055</v>
      </c>
      <c r="U127" s="4171" t="s">
        <v>1056</v>
      </c>
      <c r="V127" s="1740" t="s">
        <v>1057</v>
      </c>
      <c r="W127" s="1720">
        <f>290000000+61826931</f>
        <v>351826931</v>
      </c>
      <c r="X127" s="1722">
        <v>0</v>
      </c>
      <c r="Y127" s="1722">
        <v>0</v>
      </c>
      <c r="Z127" s="4214">
        <v>61</v>
      </c>
      <c r="AA127" s="4168" t="s">
        <v>820</v>
      </c>
      <c r="AB127" s="4261">
        <v>64149</v>
      </c>
      <c r="AC127" s="4261">
        <f>SUM(AB127*0.27)</f>
        <v>17320.23</v>
      </c>
      <c r="AD127" s="4261">
        <v>72224</v>
      </c>
      <c r="AE127" s="4261">
        <f>SUM(AD127*0.27)</f>
        <v>19500.48</v>
      </c>
      <c r="AF127" s="4261">
        <v>27477</v>
      </c>
      <c r="AG127" s="4261">
        <f>SUM(AF127*0.27)</f>
        <v>7418.7900000000009</v>
      </c>
      <c r="AH127" s="4261">
        <v>86843</v>
      </c>
      <c r="AI127" s="4261">
        <f>SUM(AH127*0.27)</f>
        <v>23447.61</v>
      </c>
      <c r="AJ127" s="4261">
        <v>236429</v>
      </c>
      <c r="AK127" s="4261">
        <f>SUM(AJ127*0.27)</f>
        <v>63835.83</v>
      </c>
      <c r="AL127" s="4261">
        <v>81384</v>
      </c>
      <c r="AM127" s="4261">
        <f>SUM(AL127*0.27)</f>
        <v>21973.68</v>
      </c>
      <c r="AN127" s="4261">
        <v>13208</v>
      </c>
      <c r="AO127" s="4261">
        <f>SUM(AN127*0.27)</f>
        <v>3566.1600000000003</v>
      </c>
      <c r="AP127" s="4261">
        <v>2145</v>
      </c>
      <c r="AQ127" s="4261">
        <f>SUM(AP127*0.27)</f>
        <v>579.15000000000009</v>
      </c>
      <c r="AR127" s="4261">
        <v>413</v>
      </c>
      <c r="AS127" s="4261">
        <f>SUM(AR127*0.27)</f>
        <v>111.51</v>
      </c>
      <c r="AT127" s="4261">
        <v>520</v>
      </c>
      <c r="AU127" s="4261">
        <f>SUM(AT127*0.27)</f>
        <v>140.4</v>
      </c>
      <c r="AV127" s="4261">
        <v>16897</v>
      </c>
      <c r="AW127" s="4261">
        <f>SUM(AV127*0.27)</f>
        <v>4562.1900000000005</v>
      </c>
      <c r="AX127" s="4261">
        <v>75612</v>
      </c>
      <c r="AY127" s="4261">
        <f>SUM(AX127*0.27)</f>
        <v>20415.240000000002</v>
      </c>
      <c r="AZ127" s="4264">
        <v>12</v>
      </c>
      <c r="BA127" s="4264">
        <v>279480000</v>
      </c>
      <c r="BB127" s="4264">
        <v>24190000</v>
      </c>
      <c r="BC127" s="4267">
        <f>+BB127/BA127</f>
        <v>8.6553599542006587E-2</v>
      </c>
      <c r="BD127" s="4264">
        <v>61</v>
      </c>
      <c r="BE127" s="4264" t="s">
        <v>822</v>
      </c>
      <c r="BF127" s="4223">
        <v>42948</v>
      </c>
      <c r="BG127" s="4162">
        <v>42776</v>
      </c>
      <c r="BH127" s="4223">
        <v>43100</v>
      </c>
      <c r="BI127" s="4162">
        <v>43091</v>
      </c>
      <c r="BJ127" s="4186" t="s">
        <v>880</v>
      </c>
      <c r="BK127" s="1724"/>
    </row>
    <row r="128" spans="1:68" ht="51" customHeight="1" x14ac:dyDescent="0.2">
      <c r="A128" s="1709"/>
      <c r="B128" s="1710"/>
      <c r="C128" s="1711"/>
      <c r="D128" s="1710"/>
      <c r="E128" s="1710"/>
      <c r="F128" s="1711"/>
      <c r="G128" s="1709"/>
      <c r="H128" s="1710"/>
      <c r="I128" s="1711"/>
      <c r="J128" s="4239"/>
      <c r="K128" s="4172"/>
      <c r="L128" s="4169"/>
      <c r="M128" s="4169"/>
      <c r="N128" s="4169"/>
      <c r="O128" s="4169"/>
      <c r="P128" s="4169"/>
      <c r="Q128" s="4172"/>
      <c r="R128" s="4175"/>
      <c r="S128" s="4188"/>
      <c r="T128" s="4172"/>
      <c r="U128" s="4173"/>
      <c r="V128" s="1740" t="s">
        <v>1058</v>
      </c>
      <c r="W128" s="1720">
        <f>210000000+100000000</f>
        <v>310000000</v>
      </c>
      <c r="X128" s="1722">
        <v>0</v>
      </c>
      <c r="Y128" s="1722">
        <v>0</v>
      </c>
      <c r="Z128" s="4215"/>
      <c r="AA128" s="4169"/>
      <c r="AB128" s="4262"/>
      <c r="AC128" s="4262"/>
      <c r="AD128" s="4262"/>
      <c r="AE128" s="4262"/>
      <c r="AF128" s="4262"/>
      <c r="AG128" s="4262"/>
      <c r="AH128" s="4262"/>
      <c r="AI128" s="4262"/>
      <c r="AJ128" s="4262"/>
      <c r="AK128" s="4262"/>
      <c r="AL128" s="4262"/>
      <c r="AM128" s="4262"/>
      <c r="AN128" s="4262"/>
      <c r="AO128" s="4262"/>
      <c r="AP128" s="4262"/>
      <c r="AQ128" s="4262"/>
      <c r="AR128" s="4262"/>
      <c r="AS128" s="4262"/>
      <c r="AT128" s="4262"/>
      <c r="AU128" s="4262"/>
      <c r="AV128" s="4262"/>
      <c r="AW128" s="4262"/>
      <c r="AX128" s="4262"/>
      <c r="AY128" s="4262"/>
      <c r="AZ128" s="4265"/>
      <c r="BA128" s="4265"/>
      <c r="BB128" s="4265"/>
      <c r="BC128" s="4268"/>
      <c r="BD128" s="4265"/>
      <c r="BE128" s="4265"/>
      <c r="BF128" s="4223"/>
      <c r="BG128" s="4163"/>
      <c r="BH128" s="4223"/>
      <c r="BI128" s="4163"/>
      <c r="BJ128" s="4186"/>
      <c r="BK128" s="1724"/>
    </row>
    <row r="129" spans="1:368" ht="44.25" customHeight="1" x14ac:dyDescent="0.2">
      <c r="A129" s="1709"/>
      <c r="B129" s="1710"/>
      <c r="C129" s="1711"/>
      <c r="D129" s="1710"/>
      <c r="E129" s="1710"/>
      <c r="F129" s="1711"/>
      <c r="G129" s="1709"/>
      <c r="H129" s="1710"/>
      <c r="I129" s="1711"/>
      <c r="J129" s="4239"/>
      <c r="K129" s="4172"/>
      <c r="L129" s="4169"/>
      <c r="M129" s="4169"/>
      <c r="N129" s="4169"/>
      <c r="O129" s="4169"/>
      <c r="P129" s="4169"/>
      <c r="Q129" s="4172"/>
      <c r="R129" s="4175"/>
      <c r="S129" s="4188"/>
      <c r="T129" s="4172"/>
      <c r="U129" s="4259" t="s">
        <v>1059</v>
      </c>
      <c r="V129" s="1740" t="s">
        <v>1060</v>
      </c>
      <c r="W129" s="1720">
        <v>80000000</v>
      </c>
      <c r="X129" s="1753">
        <v>80000000</v>
      </c>
      <c r="Y129" s="1753">
        <v>8050000</v>
      </c>
      <c r="Z129" s="4215"/>
      <c r="AA129" s="4169"/>
      <c r="AB129" s="4262"/>
      <c r="AC129" s="4262"/>
      <c r="AD129" s="4262"/>
      <c r="AE129" s="4262"/>
      <c r="AF129" s="4262"/>
      <c r="AG129" s="4262"/>
      <c r="AH129" s="4262"/>
      <c r="AI129" s="4262"/>
      <c r="AJ129" s="4262"/>
      <c r="AK129" s="4262"/>
      <c r="AL129" s="4262"/>
      <c r="AM129" s="4262"/>
      <c r="AN129" s="4262"/>
      <c r="AO129" s="4262"/>
      <c r="AP129" s="4262"/>
      <c r="AQ129" s="4262"/>
      <c r="AR129" s="4262"/>
      <c r="AS129" s="4262"/>
      <c r="AT129" s="4262"/>
      <c r="AU129" s="4262"/>
      <c r="AV129" s="4262"/>
      <c r="AW129" s="4262"/>
      <c r="AX129" s="4262"/>
      <c r="AY129" s="4262"/>
      <c r="AZ129" s="4265"/>
      <c r="BA129" s="4265"/>
      <c r="BB129" s="4265"/>
      <c r="BC129" s="4268"/>
      <c r="BD129" s="4265"/>
      <c r="BE129" s="4265"/>
      <c r="BF129" s="4223"/>
      <c r="BG129" s="4163"/>
      <c r="BH129" s="4223"/>
      <c r="BI129" s="4163"/>
      <c r="BJ129" s="4186"/>
      <c r="BK129" s="1724"/>
    </row>
    <row r="130" spans="1:368" ht="52.5" customHeight="1" x14ac:dyDescent="0.2">
      <c r="A130" s="1709"/>
      <c r="B130" s="1710"/>
      <c r="C130" s="1711"/>
      <c r="D130" s="1710"/>
      <c r="E130" s="1710"/>
      <c r="F130" s="1711"/>
      <c r="G130" s="1709"/>
      <c r="H130" s="1710"/>
      <c r="I130" s="1711"/>
      <c r="J130" s="4239"/>
      <c r="K130" s="4172"/>
      <c r="L130" s="4169"/>
      <c r="M130" s="4169"/>
      <c r="N130" s="4169"/>
      <c r="O130" s="4169"/>
      <c r="P130" s="4169"/>
      <c r="Q130" s="4172"/>
      <c r="R130" s="4175"/>
      <c r="S130" s="4188"/>
      <c r="T130" s="4172"/>
      <c r="U130" s="4260"/>
      <c r="V130" s="1740" t="s">
        <v>1061</v>
      </c>
      <c r="W130" s="1720">
        <v>120000000</v>
      </c>
      <c r="X130" s="1753">
        <v>120000000</v>
      </c>
      <c r="Y130" s="1753">
        <v>10000000</v>
      </c>
      <c r="Z130" s="4215"/>
      <c r="AA130" s="4169"/>
      <c r="AB130" s="4262"/>
      <c r="AC130" s="4262"/>
      <c r="AD130" s="4262"/>
      <c r="AE130" s="4262"/>
      <c r="AF130" s="4262"/>
      <c r="AG130" s="4262"/>
      <c r="AH130" s="4262"/>
      <c r="AI130" s="4262"/>
      <c r="AJ130" s="4262"/>
      <c r="AK130" s="4262"/>
      <c r="AL130" s="4262"/>
      <c r="AM130" s="4262"/>
      <c r="AN130" s="4262"/>
      <c r="AO130" s="4262"/>
      <c r="AP130" s="4262"/>
      <c r="AQ130" s="4262"/>
      <c r="AR130" s="4262"/>
      <c r="AS130" s="4262"/>
      <c r="AT130" s="4262"/>
      <c r="AU130" s="4262"/>
      <c r="AV130" s="4262"/>
      <c r="AW130" s="4262"/>
      <c r="AX130" s="4262"/>
      <c r="AY130" s="4262"/>
      <c r="AZ130" s="4265"/>
      <c r="BA130" s="4265"/>
      <c r="BB130" s="4265"/>
      <c r="BC130" s="4268"/>
      <c r="BD130" s="4265"/>
      <c r="BE130" s="4265"/>
      <c r="BF130" s="4223"/>
      <c r="BG130" s="4163"/>
      <c r="BH130" s="4223"/>
      <c r="BI130" s="4163"/>
      <c r="BJ130" s="4186"/>
      <c r="BK130" s="1724"/>
    </row>
    <row r="131" spans="1:368" ht="57.75" customHeight="1" x14ac:dyDescent="0.2">
      <c r="A131" s="1709"/>
      <c r="B131" s="1710"/>
      <c r="C131" s="1711"/>
      <c r="D131" s="1710"/>
      <c r="E131" s="1710"/>
      <c r="F131" s="1711"/>
      <c r="G131" s="1709"/>
      <c r="H131" s="1710"/>
      <c r="I131" s="1711"/>
      <c r="J131" s="4239"/>
      <c r="K131" s="4173"/>
      <c r="L131" s="4170"/>
      <c r="M131" s="4170"/>
      <c r="N131" s="4170"/>
      <c r="O131" s="4170"/>
      <c r="P131" s="4170"/>
      <c r="Q131" s="4173"/>
      <c r="R131" s="4176"/>
      <c r="S131" s="4189"/>
      <c r="T131" s="4173"/>
      <c r="U131" s="1740" t="s">
        <v>1062</v>
      </c>
      <c r="V131" s="1740" t="s">
        <v>1063</v>
      </c>
      <c r="W131" s="1720">
        <v>159634358</v>
      </c>
      <c r="X131" s="1753">
        <v>79480000</v>
      </c>
      <c r="Y131" s="1753">
        <v>6140000</v>
      </c>
      <c r="Z131" s="4216"/>
      <c r="AA131" s="4170"/>
      <c r="AB131" s="4263"/>
      <c r="AC131" s="4263"/>
      <c r="AD131" s="4263"/>
      <c r="AE131" s="4263"/>
      <c r="AF131" s="4263"/>
      <c r="AG131" s="4263"/>
      <c r="AH131" s="4263"/>
      <c r="AI131" s="4263"/>
      <c r="AJ131" s="4263"/>
      <c r="AK131" s="4263"/>
      <c r="AL131" s="4263"/>
      <c r="AM131" s="4263"/>
      <c r="AN131" s="4263"/>
      <c r="AO131" s="4263"/>
      <c r="AP131" s="4263"/>
      <c r="AQ131" s="4263"/>
      <c r="AR131" s="4263"/>
      <c r="AS131" s="4263"/>
      <c r="AT131" s="4263"/>
      <c r="AU131" s="4263"/>
      <c r="AV131" s="4263"/>
      <c r="AW131" s="4263"/>
      <c r="AX131" s="4263"/>
      <c r="AY131" s="4263"/>
      <c r="AZ131" s="4266"/>
      <c r="BA131" s="4266"/>
      <c r="BB131" s="4266"/>
      <c r="BC131" s="4269"/>
      <c r="BD131" s="4266"/>
      <c r="BE131" s="4266"/>
      <c r="BF131" s="4223"/>
      <c r="BG131" s="4164"/>
      <c r="BH131" s="4223"/>
      <c r="BI131" s="4164"/>
      <c r="BJ131" s="4186"/>
      <c r="BK131" s="1724"/>
      <c r="CT131" s="1724"/>
      <c r="CU131" s="1724"/>
      <c r="CV131" s="1724"/>
      <c r="CW131" s="1724"/>
      <c r="CX131" s="1724"/>
      <c r="CY131" s="1724"/>
      <c r="CZ131" s="1724"/>
      <c r="DA131" s="1724"/>
      <c r="DB131" s="1724"/>
      <c r="DC131" s="1724"/>
      <c r="DD131" s="1724"/>
      <c r="DE131" s="1724"/>
      <c r="DF131" s="1724"/>
    </row>
    <row r="132" spans="1:368" s="1761" customFormat="1" ht="50.25" customHeight="1" x14ac:dyDescent="0.2">
      <c r="A132" s="1709"/>
      <c r="B132" s="1710"/>
      <c r="C132" s="1711"/>
      <c r="D132" s="1710"/>
      <c r="E132" s="1710"/>
      <c r="F132" s="1711"/>
      <c r="G132" s="1709"/>
      <c r="H132" s="1710"/>
      <c r="I132" s="1711"/>
      <c r="J132" s="4168">
        <v>161</v>
      </c>
      <c r="K132" s="4171" t="s">
        <v>1064</v>
      </c>
      <c r="L132" s="4168" t="s">
        <v>324</v>
      </c>
      <c r="M132" s="4168">
        <v>100</v>
      </c>
      <c r="N132" s="4168">
        <v>100</v>
      </c>
      <c r="O132" s="4168" t="s">
        <v>1065</v>
      </c>
      <c r="P132" s="4168">
        <v>152</v>
      </c>
      <c r="Q132" s="4171" t="s">
        <v>1066</v>
      </c>
      <c r="R132" s="4174">
        <f>(W132+W133+W134)/S132</f>
        <v>0.23854321641378851</v>
      </c>
      <c r="S132" s="4257">
        <f>SUM(W132:W139)</f>
        <v>366809844</v>
      </c>
      <c r="T132" s="4171" t="s">
        <v>1067</v>
      </c>
      <c r="U132" s="4171" t="s">
        <v>1068</v>
      </c>
      <c r="V132" s="1740" t="s">
        <v>1069</v>
      </c>
      <c r="W132" s="1720">
        <v>18750000</v>
      </c>
      <c r="X132" s="1753">
        <v>18750000</v>
      </c>
      <c r="Y132" s="1753">
        <v>2430000</v>
      </c>
      <c r="Z132" s="4214">
        <v>61</v>
      </c>
      <c r="AA132" s="4168" t="s">
        <v>820</v>
      </c>
      <c r="AB132" s="4183">
        <f t="shared" ref="AB132:AL132" si="5">AB127</f>
        <v>64149</v>
      </c>
      <c r="AC132" s="4183">
        <f>SUM(AB132*0.71)</f>
        <v>45545.79</v>
      </c>
      <c r="AD132" s="4183">
        <f t="shared" si="5"/>
        <v>72224</v>
      </c>
      <c r="AE132" s="4183">
        <f>SUM(AD132*0.71)</f>
        <v>51279.040000000001</v>
      </c>
      <c r="AF132" s="4183">
        <f t="shared" si="5"/>
        <v>27477</v>
      </c>
      <c r="AG132" s="4183">
        <f>SUM(AF132*0.71)</f>
        <v>19508.669999999998</v>
      </c>
      <c r="AH132" s="4183">
        <f t="shared" si="5"/>
        <v>86843</v>
      </c>
      <c r="AI132" s="4183">
        <f>SUM(AH132*0.71)</f>
        <v>61658.53</v>
      </c>
      <c r="AJ132" s="4183">
        <f t="shared" si="5"/>
        <v>236429</v>
      </c>
      <c r="AK132" s="4183">
        <f>SUM(AJ132*0.71)</f>
        <v>167864.59</v>
      </c>
      <c r="AL132" s="4183">
        <f t="shared" si="5"/>
        <v>81384</v>
      </c>
      <c r="AM132" s="4183">
        <f>SUM(AL132*0.71)</f>
        <v>57782.64</v>
      </c>
      <c r="AN132" s="4183">
        <v>13208</v>
      </c>
      <c r="AO132" s="4183">
        <f>SUM(AN132*0.71)</f>
        <v>9377.68</v>
      </c>
      <c r="AP132" s="4183">
        <f>AP127</f>
        <v>2145</v>
      </c>
      <c r="AQ132" s="4183">
        <f>SUM(AP132*0.71)</f>
        <v>1522.9499999999998</v>
      </c>
      <c r="AR132" s="4183">
        <f>AR127</f>
        <v>413</v>
      </c>
      <c r="AS132" s="4183">
        <f>SUM(AR132*0.71)</f>
        <v>293.22999999999996</v>
      </c>
      <c r="AT132" s="4183">
        <f>AT127</f>
        <v>520</v>
      </c>
      <c r="AU132" s="4183">
        <f>SUM(AT132*0.71)</f>
        <v>369.2</v>
      </c>
      <c r="AV132" s="4183">
        <v>16897</v>
      </c>
      <c r="AW132" s="4183">
        <f>SUM(AV132*0.71)</f>
        <v>11996.869999999999</v>
      </c>
      <c r="AX132" s="4183">
        <f>AX127</f>
        <v>75612</v>
      </c>
      <c r="AY132" s="4183">
        <f>SUM(AX132*0.71)</f>
        <v>53684.52</v>
      </c>
      <c r="AZ132" s="4183">
        <v>10</v>
      </c>
      <c r="BA132" s="4177">
        <v>259065000</v>
      </c>
      <c r="BB132" s="4177">
        <v>29050000</v>
      </c>
      <c r="BC132" s="4180">
        <f>+BB132/BA132</f>
        <v>0.11213402041958581</v>
      </c>
      <c r="BD132" s="4183">
        <v>61</v>
      </c>
      <c r="BE132" s="4217" t="s">
        <v>822</v>
      </c>
      <c r="BF132" s="4162">
        <v>42948</v>
      </c>
      <c r="BG132" s="4162">
        <v>42760</v>
      </c>
      <c r="BH132" s="4162">
        <v>43100</v>
      </c>
      <c r="BI132" s="4162">
        <v>43091</v>
      </c>
      <c r="BJ132" s="4165" t="s">
        <v>880</v>
      </c>
      <c r="BK132" s="1724"/>
      <c r="BL132" s="1724"/>
      <c r="BM132" s="1724"/>
      <c r="BN132" s="1724"/>
      <c r="BO132" s="1724"/>
      <c r="BP132" s="1724"/>
      <c r="BQ132" s="1724"/>
      <c r="BR132" s="1724"/>
      <c r="BS132" s="1724"/>
      <c r="BT132" s="1724"/>
      <c r="BU132" s="1724"/>
      <c r="BV132" s="1724"/>
      <c r="BW132" s="1724"/>
      <c r="BX132" s="1724"/>
      <c r="BY132" s="1724"/>
      <c r="BZ132" s="1724"/>
      <c r="CA132" s="1724"/>
      <c r="CB132" s="1724"/>
      <c r="CC132" s="1724"/>
      <c r="CD132" s="1724"/>
      <c r="CE132" s="1724"/>
      <c r="CF132" s="1724"/>
      <c r="CG132" s="1724"/>
      <c r="CH132" s="1724"/>
      <c r="CI132" s="1724"/>
      <c r="CJ132" s="1724"/>
      <c r="CK132" s="1724"/>
      <c r="CL132" s="1724"/>
      <c r="CM132" s="1724"/>
      <c r="CN132" s="1724"/>
      <c r="CO132" s="1724"/>
      <c r="CP132" s="1724"/>
      <c r="CQ132" s="1724"/>
      <c r="CR132" s="1724"/>
      <c r="CS132" s="1724"/>
      <c r="CT132" s="1724"/>
      <c r="CU132" s="1724"/>
      <c r="CV132" s="1724"/>
      <c r="CW132" s="1724"/>
      <c r="CX132" s="1724"/>
      <c r="CY132" s="1724"/>
      <c r="CZ132" s="1724"/>
      <c r="DA132" s="1724"/>
      <c r="DB132" s="1724"/>
      <c r="DC132" s="1724"/>
      <c r="DD132" s="1724"/>
      <c r="DE132" s="1724"/>
      <c r="DF132" s="1724"/>
      <c r="DG132" s="1647"/>
      <c r="DH132" s="1647"/>
      <c r="DI132" s="1647"/>
      <c r="DJ132" s="1647"/>
      <c r="DK132" s="1647"/>
      <c r="DL132" s="1647"/>
      <c r="DM132" s="1647"/>
      <c r="DN132" s="1647"/>
      <c r="DO132" s="1647"/>
      <c r="DP132" s="1647"/>
      <c r="DQ132" s="1647"/>
      <c r="DR132" s="1647"/>
      <c r="DS132" s="1647"/>
      <c r="DT132" s="1647"/>
      <c r="DU132" s="1647"/>
      <c r="DV132" s="1647"/>
      <c r="DW132" s="1647"/>
      <c r="DX132" s="1647"/>
      <c r="DY132" s="1647"/>
      <c r="DZ132" s="1647"/>
      <c r="EA132" s="1647"/>
      <c r="EB132" s="1647"/>
      <c r="EC132" s="1647"/>
      <c r="ED132" s="1647"/>
      <c r="EE132" s="1647"/>
      <c r="EF132" s="1647"/>
      <c r="EG132" s="1647"/>
      <c r="EH132" s="1647"/>
      <c r="EI132" s="1647"/>
      <c r="EJ132" s="1647"/>
      <c r="EK132" s="1647"/>
      <c r="EL132" s="1647"/>
      <c r="EM132" s="1647"/>
      <c r="EN132" s="1647"/>
      <c r="EO132" s="1647"/>
      <c r="EP132" s="1647"/>
      <c r="EQ132" s="1647"/>
      <c r="ER132" s="1647"/>
      <c r="ES132" s="1647"/>
      <c r="ET132" s="1647"/>
      <c r="EU132" s="1647"/>
      <c r="EV132" s="1647"/>
      <c r="EW132" s="1647"/>
      <c r="EX132" s="1647"/>
      <c r="EY132" s="1647"/>
      <c r="EZ132" s="1647"/>
      <c r="FA132" s="1647"/>
      <c r="FB132" s="1647"/>
      <c r="FC132" s="1647"/>
      <c r="FD132" s="1647"/>
      <c r="FE132" s="1647"/>
      <c r="FF132" s="1647"/>
      <c r="FG132" s="1647"/>
      <c r="FH132" s="1647"/>
      <c r="FI132" s="1647"/>
      <c r="FJ132" s="1647"/>
      <c r="FK132" s="1647"/>
      <c r="FL132" s="1647"/>
      <c r="FM132" s="1647"/>
      <c r="FN132" s="1647"/>
      <c r="FO132" s="1647"/>
      <c r="FP132" s="1647"/>
      <c r="FQ132" s="1647"/>
      <c r="FR132" s="1647"/>
      <c r="FS132" s="1647"/>
      <c r="FT132" s="1647"/>
      <c r="FU132" s="1647"/>
      <c r="FV132" s="1647"/>
      <c r="FW132" s="1647"/>
      <c r="FX132" s="1647"/>
      <c r="FY132" s="1647"/>
      <c r="FZ132" s="1647"/>
      <c r="GA132" s="1647"/>
      <c r="GB132" s="1647"/>
      <c r="GC132" s="1647"/>
      <c r="GD132" s="1647"/>
      <c r="GE132" s="1647"/>
      <c r="GF132" s="1647"/>
      <c r="GG132" s="1647"/>
      <c r="GH132" s="1647"/>
      <c r="GI132" s="1647"/>
      <c r="GJ132" s="1647"/>
      <c r="GK132" s="1647"/>
      <c r="GL132" s="1647"/>
      <c r="GM132" s="1647"/>
      <c r="GN132" s="1647"/>
      <c r="GO132" s="1647"/>
      <c r="GP132" s="1647"/>
      <c r="GQ132" s="1647"/>
      <c r="GR132" s="1647"/>
      <c r="GS132" s="1647"/>
      <c r="GT132" s="1647"/>
      <c r="GU132" s="1647"/>
      <c r="GV132" s="1647"/>
      <c r="GW132" s="1647"/>
      <c r="GX132" s="1647"/>
      <c r="GY132" s="1647"/>
      <c r="GZ132" s="1647"/>
      <c r="HA132" s="1647"/>
      <c r="HB132" s="1647"/>
      <c r="HC132" s="1647"/>
      <c r="HD132" s="1647"/>
      <c r="HE132" s="1647"/>
      <c r="HF132" s="1647"/>
      <c r="HG132" s="1647"/>
      <c r="HH132" s="1647"/>
      <c r="HI132" s="1647"/>
      <c r="HJ132" s="1647"/>
      <c r="HK132" s="1647"/>
      <c r="HL132" s="1647"/>
      <c r="HM132" s="1647"/>
      <c r="HN132" s="1647"/>
      <c r="HO132" s="1647"/>
      <c r="HP132" s="1647"/>
      <c r="HQ132" s="1647"/>
      <c r="HR132" s="1647"/>
      <c r="HS132" s="1647"/>
      <c r="HT132" s="1647"/>
      <c r="HU132" s="1647"/>
      <c r="HV132" s="1647"/>
      <c r="HW132" s="1647"/>
      <c r="HX132" s="1647"/>
      <c r="HY132" s="1647"/>
      <c r="HZ132" s="1647"/>
      <c r="IA132" s="1647"/>
      <c r="IB132" s="1647"/>
      <c r="IC132" s="1647"/>
      <c r="ID132" s="1647"/>
      <c r="IE132" s="1647"/>
      <c r="IF132" s="1647"/>
      <c r="IG132" s="1647"/>
      <c r="IH132" s="1647"/>
      <c r="II132" s="1647"/>
      <c r="IJ132" s="1647"/>
      <c r="IK132" s="1647"/>
      <c r="IL132" s="1647"/>
      <c r="IM132" s="1647"/>
      <c r="IN132" s="1647"/>
      <c r="IO132" s="1647"/>
      <c r="IP132" s="1647"/>
      <c r="IQ132" s="1647"/>
      <c r="IR132" s="1647"/>
      <c r="IS132" s="1647"/>
      <c r="IT132" s="1647"/>
      <c r="IU132" s="1647"/>
      <c r="IV132" s="1647"/>
      <c r="IW132" s="1647"/>
      <c r="IX132" s="1647"/>
      <c r="IY132" s="1647"/>
      <c r="IZ132" s="1647"/>
      <c r="JA132" s="1647"/>
      <c r="JB132" s="1647"/>
      <c r="JC132" s="1647"/>
      <c r="JD132" s="1647"/>
      <c r="JE132" s="1647"/>
      <c r="JF132" s="1647"/>
      <c r="JG132" s="1647"/>
      <c r="JH132" s="1647"/>
      <c r="JI132" s="1647"/>
      <c r="JJ132" s="1647"/>
      <c r="JK132" s="1647"/>
      <c r="JL132" s="1647"/>
      <c r="JM132" s="1647"/>
      <c r="JN132" s="1647"/>
      <c r="JO132" s="1647"/>
      <c r="JP132" s="1647"/>
      <c r="JQ132" s="1647"/>
      <c r="JR132" s="1647"/>
      <c r="JS132" s="1647"/>
      <c r="JT132" s="1647"/>
      <c r="JU132" s="1647"/>
      <c r="JV132" s="1647"/>
      <c r="JW132" s="1647"/>
      <c r="JX132" s="1647"/>
      <c r="JY132" s="1647"/>
      <c r="JZ132" s="1647"/>
      <c r="KA132" s="1647"/>
      <c r="KB132" s="1647"/>
      <c r="KC132" s="1647"/>
      <c r="KD132" s="1647"/>
      <c r="KE132" s="1647"/>
      <c r="KF132" s="1647"/>
      <c r="KG132" s="1647"/>
      <c r="KH132" s="1647"/>
      <c r="KI132" s="1647"/>
      <c r="KJ132" s="1647"/>
      <c r="KK132" s="1647"/>
      <c r="KL132" s="1647"/>
      <c r="KM132" s="1647"/>
      <c r="KN132" s="1647"/>
      <c r="KO132" s="1647"/>
      <c r="KP132" s="1647"/>
      <c r="KQ132" s="1647"/>
      <c r="KR132" s="1647"/>
      <c r="KS132" s="1647"/>
      <c r="KT132" s="1647"/>
      <c r="KU132" s="1647"/>
      <c r="KV132" s="1647"/>
      <c r="KW132" s="1647"/>
      <c r="KX132" s="1647"/>
      <c r="KY132" s="1647"/>
      <c r="KZ132" s="1647"/>
      <c r="LA132" s="1647"/>
      <c r="LB132" s="1647"/>
      <c r="LC132" s="1647"/>
      <c r="LD132" s="1647"/>
      <c r="LE132" s="1647"/>
      <c r="LF132" s="1647"/>
      <c r="LG132" s="1647"/>
      <c r="LH132" s="1647"/>
      <c r="LI132" s="1647"/>
      <c r="LJ132" s="1647"/>
      <c r="LK132" s="1647"/>
      <c r="LL132" s="1647"/>
      <c r="LM132" s="1647"/>
      <c r="LN132" s="1647"/>
      <c r="LO132" s="1647"/>
      <c r="LP132" s="1647"/>
      <c r="LQ132" s="1647"/>
      <c r="LR132" s="1647"/>
      <c r="LS132" s="1647"/>
      <c r="LT132" s="1647"/>
      <c r="LU132" s="1647"/>
      <c r="LV132" s="1647"/>
      <c r="LW132" s="1647"/>
      <c r="LX132" s="1647"/>
      <c r="LY132" s="1647"/>
      <c r="LZ132" s="1647"/>
      <c r="MA132" s="1647"/>
      <c r="MB132" s="1647"/>
      <c r="MC132" s="1647"/>
      <c r="MD132" s="1647"/>
      <c r="ME132" s="1647"/>
      <c r="MF132" s="1647"/>
      <c r="MG132" s="1647"/>
      <c r="MH132" s="1647"/>
      <c r="MI132" s="1647"/>
      <c r="MJ132" s="1647"/>
      <c r="MK132" s="1647"/>
      <c r="ML132" s="1647"/>
      <c r="MM132" s="1647"/>
      <c r="MN132" s="1647"/>
      <c r="MO132" s="1647"/>
      <c r="MP132" s="1647"/>
      <c r="MQ132" s="1647"/>
      <c r="MR132" s="1647"/>
      <c r="MS132" s="1647"/>
      <c r="MT132" s="1647"/>
      <c r="MU132" s="1647"/>
      <c r="MV132" s="1647"/>
      <c r="MW132" s="1647"/>
      <c r="MX132" s="1647"/>
      <c r="MY132" s="1647"/>
      <c r="MZ132" s="1647"/>
      <c r="NA132" s="1647"/>
      <c r="NB132" s="1647"/>
      <c r="NC132" s="1647"/>
      <c r="ND132" s="1647"/>
    </row>
    <row r="133" spans="1:368" s="1761" customFormat="1" ht="52.5" customHeight="1" x14ac:dyDescent="0.2">
      <c r="A133" s="1709"/>
      <c r="B133" s="1710"/>
      <c r="C133" s="1711"/>
      <c r="D133" s="1710"/>
      <c r="E133" s="1710"/>
      <c r="F133" s="1711"/>
      <c r="G133" s="1709"/>
      <c r="H133" s="1710"/>
      <c r="I133" s="1711"/>
      <c r="J133" s="4169"/>
      <c r="K133" s="4172"/>
      <c r="L133" s="4169"/>
      <c r="M133" s="4169"/>
      <c r="N133" s="4169"/>
      <c r="O133" s="4169"/>
      <c r="P133" s="4169"/>
      <c r="Q133" s="4172"/>
      <c r="R133" s="4175"/>
      <c r="S133" s="4258"/>
      <c r="T133" s="4172"/>
      <c r="U133" s="4172"/>
      <c r="V133" s="1740" t="s">
        <v>1070</v>
      </c>
      <c r="W133" s="1720">
        <f>31250000+25000000</f>
        <v>56250000</v>
      </c>
      <c r="X133" s="1753">
        <v>30970000</v>
      </c>
      <c r="Y133" s="1753">
        <v>2430000</v>
      </c>
      <c r="Z133" s="4215"/>
      <c r="AA133" s="4169"/>
      <c r="AB133" s="4184"/>
      <c r="AC133" s="4184"/>
      <c r="AD133" s="4184"/>
      <c r="AE133" s="4184"/>
      <c r="AF133" s="4184"/>
      <c r="AG133" s="4184"/>
      <c r="AH133" s="4184"/>
      <c r="AI133" s="4184"/>
      <c r="AJ133" s="4184"/>
      <c r="AK133" s="4184"/>
      <c r="AL133" s="4184"/>
      <c r="AM133" s="4184"/>
      <c r="AN133" s="4184"/>
      <c r="AO133" s="4184"/>
      <c r="AP133" s="4184"/>
      <c r="AQ133" s="4184"/>
      <c r="AR133" s="4184"/>
      <c r="AS133" s="4184"/>
      <c r="AT133" s="4184"/>
      <c r="AU133" s="4184"/>
      <c r="AV133" s="4184"/>
      <c r="AW133" s="4184"/>
      <c r="AX133" s="4184"/>
      <c r="AY133" s="4184"/>
      <c r="AZ133" s="4184"/>
      <c r="BA133" s="4178"/>
      <c r="BB133" s="4178"/>
      <c r="BC133" s="4181"/>
      <c r="BD133" s="4184"/>
      <c r="BE133" s="4218"/>
      <c r="BF133" s="4163"/>
      <c r="BG133" s="4163"/>
      <c r="BH133" s="4163"/>
      <c r="BI133" s="4163"/>
      <c r="BJ133" s="4166"/>
      <c r="BK133" s="1770"/>
      <c r="BL133" s="1724"/>
      <c r="BM133" s="1724"/>
      <c r="BN133" s="1724"/>
      <c r="BO133" s="1724"/>
      <c r="BP133" s="1724"/>
      <c r="BQ133" s="1724"/>
      <c r="BR133" s="1724"/>
      <c r="BS133" s="1724"/>
      <c r="BT133" s="1724"/>
      <c r="BU133" s="1724"/>
      <c r="BV133" s="1724"/>
      <c r="BW133" s="1724"/>
      <c r="BX133" s="1724"/>
      <c r="BY133" s="1724"/>
      <c r="BZ133" s="1724"/>
      <c r="CA133" s="1724"/>
      <c r="CB133" s="1724"/>
      <c r="CC133" s="1724"/>
      <c r="CD133" s="1724"/>
      <c r="CE133" s="1724"/>
      <c r="CF133" s="1724"/>
      <c r="CG133" s="1724"/>
      <c r="CH133" s="1724"/>
      <c r="CI133" s="1724"/>
      <c r="CJ133" s="1724"/>
      <c r="CK133" s="1724"/>
      <c r="CL133" s="1724"/>
      <c r="CM133" s="1724"/>
      <c r="CN133" s="1724"/>
      <c r="CO133" s="1724"/>
      <c r="CP133" s="1724"/>
      <c r="CQ133" s="1724"/>
      <c r="CR133" s="1724"/>
      <c r="CS133" s="1724"/>
      <c r="CT133" s="1724"/>
      <c r="CU133" s="1724"/>
      <c r="CV133" s="1724"/>
      <c r="CW133" s="1724"/>
      <c r="CX133" s="1724"/>
      <c r="CY133" s="1724"/>
      <c r="CZ133" s="1724"/>
      <c r="DA133" s="1724"/>
      <c r="DB133" s="1724"/>
      <c r="DC133" s="1724"/>
      <c r="DD133" s="1724"/>
      <c r="DE133" s="1724"/>
      <c r="DF133" s="1724"/>
      <c r="DG133" s="1647"/>
      <c r="DH133" s="1647"/>
      <c r="DI133" s="1647"/>
      <c r="DJ133" s="1647"/>
      <c r="DK133" s="1647"/>
      <c r="DL133" s="1647"/>
      <c r="DM133" s="1647"/>
      <c r="DN133" s="1647"/>
      <c r="DO133" s="1647"/>
      <c r="DP133" s="1647"/>
      <c r="DQ133" s="1647"/>
      <c r="DR133" s="1647"/>
      <c r="DS133" s="1647"/>
      <c r="DT133" s="1647"/>
      <c r="DU133" s="1647"/>
      <c r="DV133" s="1647"/>
      <c r="DW133" s="1647"/>
      <c r="DX133" s="1647"/>
      <c r="DY133" s="1647"/>
      <c r="DZ133" s="1647"/>
      <c r="EA133" s="1647"/>
      <c r="EB133" s="1647"/>
      <c r="EC133" s="1647"/>
      <c r="ED133" s="1647"/>
      <c r="EE133" s="1647"/>
      <c r="EF133" s="1647"/>
      <c r="EG133" s="1647"/>
      <c r="EH133" s="1647"/>
      <c r="EI133" s="1647"/>
      <c r="EJ133" s="1647"/>
      <c r="EK133" s="1647"/>
      <c r="EL133" s="1647"/>
      <c r="EM133" s="1647"/>
      <c r="EN133" s="1647"/>
      <c r="EO133" s="1647"/>
      <c r="EP133" s="1647"/>
      <c r="EQ133" s="1647"/>
      <c r="ER133" s="1647"/>
      <c r="ES133" s="1647"/>
      <c r="ET133" s="1647"/>
      <c r="EU133" s="1647"/>
      <c r="EV133" s="1647"/>
      <c r="EW133" s="1647"/>
      <c r="EX133" s="1647"/>
      <c r="EY133" s="1647"/>
      <c r="EZ133" s="1647"/>
      <c r="FA133" s="1647"/>
      <c r="FB133" s="1647"/>
      <c r="FC133" s="1647"/>
      <c r="FD133" s="1647"/>
      <c r="FE133" s="1647"/>
      <c r="FF133" s="1647"/>
      <c r="FG133" s="1647"/>
      <c r="FH133" s="1647"/>
      <c r="FI133" s="1647"/>
      <c r="FJ133" s="1647"/>
      <c r="FK133" s="1647"/>
      <c r="FL133" s="1647"/>
      <c r="FM133" s="1647"/>
      <c r="FN133" s="1647"/>
      <c r="FO133" s="1647"/>
      <c r="FP133" s="1647"/>
      <c r="FQ133" s="1647"/>
      <c r="FR133" s="1647"/>
      <c r="FS133" s="1647"/>
      <c r="FT133" s="1647"/>
      <c r="FU133" s="1647"/>
      <c r="FV133" s="1647"/>
      <c r="FW133" s="1647"/>
      <c r="FX133" s="1647"/>
      <c r="FY133" s="1647"/>
      <c r="FZ133" s="1647"/>
      <c r="GA133" s="1647"/>
      <c r="GB133" s="1647"/>
      <c r="GC133" s="1647"/>
      <c r="GD133" s="1647"/>
      <c r="GE133" s="1647"/>
      <c r="GF133" s="1647"/>
      <c r="GG133" s="1647"/>
      <c r="GH133" s="1647"/>
      <c r="GI133" s="1647"/>
      <c r="GJ133" s="1647"/>
      <c r="GK133" s="1647"/>
      <c r="GL133" s="1647"/>
      <c r="GM133" s="1647"/>
      <c r="GN133" s="1647"/>
      <c r="GO133" s="1647"/>
      <c r="GP133" s="1647"/>
      <c r="GQ133" s="1647"/>
      <c r="GR133" s="1647"/>
      <c r="GS133" s="1647"/>
      <c r="GT133" s="1647"/>
      <c r="GU133" s="1647"/>
      <c r="GV133" s="1647"/>
      <c r="GW133" s="1647"/>
      <c r="GX133" s="1647"/>
      <c r="GY133" s="1647"/>
      <c r="GZ133" s="1647"/>
      <c r="HA133" s="1647"/>
      <c r="HB133" s="1647"/>
      <c r="HC133" s="1647"/>
      <c r="HD133" s="1647"/>
      <c r="HE133" s="1647"/>
      <c r="HF133" s="1647"/>
      <c r="HG133" s="1647"/>
      <c r="HH133" s="1647"/>
      <c r="HI133" s="1647"/>
      <c r="HJ133" s="1647"/>
      <c r="HK133" s="1647"/>
      <c r="HL133" s="1647"/>
      <c r="HM133" s="1647"/>
      <c r="HN133" s="1647"/>
      <c r="HO133" s="1647"/>
      <c r="HP133" s="1647"/>
      <c r="HQ133" s="1647"/>
      <c r="HR133" s="1647"/>
      <c r="HS133" s="1647"/>
      <c r="HT133" s="1647"/>
      <c r="HU133" s="1647"/>
      <c r="HV133" s="1647"/>
      <c r="HW133" s="1647"/>
      <c r="HX133" s="1647"/>
      <c r="HY133" s="1647"/>
      <c r="HZ133" s="1647"/>
      <c r="IA133" s="1647"/>
      <c r="IB133" s="1647"/>
      <c r="IC133" s="1647"/>
      <c r="ID133" s="1647"/>
      <c r="IE133" s="1647"/>
      <c r="IF133" s="1647"/>
      <c r="IG133" s="1647"/>
      <c r="IH133" s="1647"/>
      <c r="II133" s="1647"/>
      <c r="IJ133" s="1647"/>
      <c r="IK133" s="1647"/>
      <c r="IL133" s="1647"/>
      <c r="IM133" s="1647"/>
      <c r="IN133" s="1647"/>
      <c r="IO133" s="1647"/>
      <c r="IP133" s="1647"/>
      <c r="IQ133" s="1647"/>
      <c r="IR133" s="1647"/>
      <c r="IS133" s="1647"/>
      <c r="IT133" s="1647"/>
      <c r="IU133" s="1647"/>
      <c r="IV133" s="1647"/>
      <c r="IW133" s="1647"/>
      <c r="IX133" s="1647"/>
      <c r="IY133" s="1647"/>
      <c r="IZ133" s="1647"/>
      <c r="JA133" s="1647"/>
      <c r="JB133" s="1647"/>
      <c r="JC133" s="1647"/>
      <c r="JD133" s="1647"/>
      <c r="JE133" s="1647"/>
      <c r="JF133" s="1647"/>
      <c r="JG133" s="1647"/>
      <c r="JH133" s="1647"/>
      <c r="JI133" s="1647"/>
      <c r="JJ133" s="1647"/>
      <c r="JK133" s="1647"/>
      <c r="JL133" s="1647"/>
      <c r="JM133" s="1647"/>
      <c r="JN133" s="1647"/>
      <c r="JO133" s="1647"/>
      <c r="JP133" s="1647"/>
      <c r="JQ133" s="1647"/>
      <c r="JR133" s="1647"/>
      <c r="JS133" s="1647"/>
      <c r="JT133" s="1647"/>
      <c r="JU133" s="1647"/>
      <c r="JV133" s="1647"/>
      <c r="JW133" s="1647"/>
      <c r="JX133" s="1647"/>
      <c r="JY133" s="1647"/>
      <c r="JZ133" s="1647"/>
      <c r="KA133" s="1647"/>
      <c r="KB133" s="1647"/>
      <c r="KC133" s="1647"/>
      <c r="KD133" s="1647"/>
      <c r="KE133" s="1647"/>
      <c r="KF133" s="1647"/>
      <c r="KG133" s="1647"/>
      <c r="KH133" s="1647"/>
      <c r="KI133" s="1647"/>
      <c r="KJ133" s="1647"/>
      <c r="KK133" s="1647"/>
      <c r="KL133" s="1647"/>
      <c r="KM133" s="1647"/>
      <c r="KN133" s="1647"/>
      <c r="KO133" s="1647"/>
      <c r="KP133" s="1647"/>
      <c r="KQ133" s="1647"/>
      <c r="KR133" s="1647"/>
      <c r="KS133" s="1647"/>
      <c r="KT133" s="1647"/>
      <c r="KU133" s="1647"/>
      <c r="KV133" s="1647"/>
      <c r="KW133" s="1647"/>
      <c r="KX133" s="1647"/>
      <c r="KY133" s="1647"/>
      <c r="KZ133" s="1647"/>
      <c r="LA133" s="1647"/>
      <c r="LB133" s="1647"/>
      <c r="LC133" s="1647"/>
      <c r="LD133" s="1647"/>
      <c r="LE133" s="1647"/>
      <c r="LF133" s="1647"/>
      <c r="LG133" s="1647"/>
      <c r="LH133" s="1647"/>
      <c r="LI133" s="1647"/>
      <c r="LJ133" s="1647"/>
      <c r="LK133" s="1647"/>
      <c r="LL133" s="1647"/>
      <c r="LM133" s="1647"/>
      <c r="LN133" s="1647"/>
      <c r="LO133" s="1647"/>
      <c r="LP133" s="1647"/>
      <c r="LQ133" s="1647"/>
      <c r="LR133" s="1647"/>
      <c r="LS133" s="1647"/>
      <c r="LT133" s="1647"/>
      <c r="LU133" s="1647"/>
      <c r="LV133" s="1647"/>
      <c r="LW133" s="1647"/>
      <c r="LX133" s="1647"/>
      <c r="LY133" s="1647"/>
      <c r="LZ133" s="1647"/>
      <c r="MA133" s="1647"/>
      <c r="MB133" s="1647"/>
      <c r="MC133" s="1647"/>
      <c r="MD133" s="1647"/>
      <c r="ME133" s="1647"/>
      <c r="MF133" s="1647"/>
      <c r="MG133" s="1647"/>
      <c r="MH133" s="1647"/>
      <c r="MI133" s="1647"/>
      <c r="MJ133" s="1647"/>
      <c r="MK133" s="1647"/>
      <c r="ML133" s="1647"/>
      <c r="MM133" s="1647"/>
      <c r="MN133" s="1647"/>
      <c r="MO133" s="1647"/>
      <c r="MP133" s="1647"/>
      <c r="MQ133" s="1647"/>
      <c r="MR133" s="1647"/>
      <c r="MS133" s="1647"/>
      <c r="MT133" s="1647"/>
      <c r="MU133" s="1647"/>
      <c r="MV133" s="1647"/>
      <c r="MW133" s="1647"/>
      <c r="MX133" s="1647"/>
      <c r="MY133" s="1647"/>
      <c r="MZ133" s="1647"/>
      <c r="NA133" s="1647"/>
      <c r="NB133" s="1647"/>
      <c r="NC133" s="1647"/>
      <c r="ND133" s="1647"/>
    </row>
    <row r="134" spans="1:368" s="1761" customFormat="1" ht="57.75" customHeight="1" x14ac:dyDescent="0.2">
      <c r="A134" s="1709"/>
      <c r="B134" s="1710"/>
      <c r="C134" s="1711"/>
      <c r="D134" s="1710"/>
      <c r="E134" s="1710"/>
      <c r="F134" s="1711"/>
      <c r="G134" s="1709"/>
      <c r="H134" s="1710"/>
      <c r="I134" s="1711"/>
      <c r="J134" s="4170"/>
      <c r="K134" s="4173"/>
      <c r="L134" s="4170"/>
      <c r="M134" s="4170"/>
      <c r="N134" s="4170"/>
      <c r="O134" s="4169"/>
      <c r="P134" s="4169"/>
      <c r="Q134" s="4172"/>
      <c r="R134" s="4176"/>
      <c r="S134" s="4258"/>
      <c r="T134" s="4172"/>
      <c r="U134" s="4173"/>
      <c r="V134" s="1740" t="s">
        <v>1071</v>
      </c>
      <c r="W134" s="1720">
        <v>12500000</v>
      </c>
      <c r="X134" s="1753">
        <v>12500000</v>
      </c>
      <c r="Y134" s="1753">
        <v>2430000</v>
      </c>
      <c r="Z134" s="4215"/>
      <c r="AA134" s="4169"/>
      <c r="AB134" s="4184"/>
      <c r="AC134" s="4184"/>
      <c r="AD134" s="4184"/>
      <c r="AE134" s="4184"/>
      <c r="AF134" s="4184"/>
      <c r="AG134" s="4184"/>
      <c r="AH134" s="4184"/>
      <c r="AI134" s="4184"/>
      <c r="AJ134" s="4184"/>
      <c r="AK134" s="4184"/>
      <c r="AL134" s="4184"/>
      <c r="AM134" s="4184"/>
      <c r="AN134" s="4184"/>
      <c r="AO134" s="4184"/>
      <c r="AP134" s="4184"/>
      <c r="AQ134" s="4184"/>
      <c r="AR134" s="4184"/>
      <c r="AS134" s="4184"/>
      <c r="AT134" s="4184"/>
      <c r="AU134" s="4184"/>
      <c r="AV134" s="4184"/>
      <c r="AW134" s="4184"/>
      <c r="AX134" s="4184"/>
      <c r="AY134" s="4184"/>
      <c r="AZ134" s="4184"/>
      <c r="BA134" s="4178"/>
      <c r="BB134" s="4178"/>
      <c r="BC134" s="4181"/>
      <c r="BD134" s="4184"/>
      <c r="BE134" s="4218"/>
      <c r="BF134" s="4163"/>
      <c r="BG134" s="4163"/>
      <c r="BH134" s="4163"/>
      <c r="BI134" s="4163"/>
      <c r="BJ134" s="4166"/>
      <c r="BK134" s="1724"/>
      <c r="BL134" s="1724"/>
      <c r="BM134" s="1724"/>
      <c r="BN134" s="1724"/>
      <c r="BO134" s="1724"/>
      <c r="BP134" s="1724"/>
      <c r="BQ134" s="1724"/>
      <c r="BR134" s="1724"/>
      <c r="BS134" s="1724"/>
      <c r="BT134" s="1724"/>
      <c r="BU134" s="1724"/>
      <c r="BV134" s="1724"/>
      <c r="BW134" s="1724"/>
      <c r="BX134" s="1724"/>
      <c r="BY134" s="1724"/>
      <c r="BZ134" s="1724"/>
      <c r="CA134" s="1724"/>
      <c r="CB134" s="1724"/>
      <c r="CC134" s="1724"/>
      <c r="CD134" s="1724"/>
      <c r="CE134" s="1724"/>
      <c r="CF134" s="1724"/>
      <c r="CG134" s="1724"/>
      <c r="CH134" s="1724"/>
      <c r="CI134" s="1724"/>
      <c r="CJ134" s="1724"/>
      <c r="CK134" s="1724"/>
      <c r="CL134" s="1724"/>
      <c r="CM134" s="1724"/>
      <c r="CN134" s="1724"/>
      <c r="CO134" s="1724"/>
      <c r="CP134" s="1724"/>
      <c r="CQ134" s="1724"/>
      <c r="CR134" s="1724"/>
      <c r="CS134" s="1724"/>
      <c r="CT134" s="1724"/>
      <c r="CU134" s="1724"/>
      <c r="CV134" s="1724"/>
      <c r="CW134" s="1724"/>
      <c r="CX134" s="1724"/>
      <c r="CY134" s="1724"/>
      <c r="CZ134" s="1724"/>
      <c r="DA134" s="1724"/>
      <c r="DB134" s="1724"/>
      <c r="DC134" s="1724"/>
      <c r="DD134" s="1724"/>
      <c r="DE134" s="1724"/>
      <c r="DF134" s="1724"/>
      <c r="DG134" s="1647"/>
      <c r="DH134" s="1647"/>
      <c r="DI134" s="1647"/>
      <c r="DJ134" s="1647"/>
      <c r="DK134" s="1647"/>
      <c r="DL134" s="1647"/>
      <c r="DM134" s="1647"/>
      <c r="DN134" s="1647"/>
      <c r="DO134" s="1647"/>
      <c r="DP134" s="1647"/>
      <c r="DQ134" s="1647"/>
      <c r="DR134" s="1647"/>
      <c r="DS134" s="1647"/>
      <c r="DT134" s="1647"/>
      <c r="DU134" s="1647"/>
      <c r="DV134" s="1647"/>
      <c r="DW134" s="1647"/>
      <c r="DX134" s="1647"/>
      <c r="DY134" s="1647"/>
      <c r="DZ134" s="1647"/>
      <c r="EA134" s="1647"/>
      <c r="EB134" s="1647"/>
      <c r="EC134" s="1647"/>
      <c r="ED134" s="1647"/>
      <c r="EE134" s="1647"/>
      <c r="EF134" s="1647"/>
      <c r="EG134" s="1647"/>
      <c r="EH134" s="1647"/>
      <c r="EI134" s="1647"/>
      <c r="EJ134" s="1647"/>
      <c r="EK134" s="1647"/>
      <c r="EL134" s="1647"/>
      <c r="EM134" s="1647"/>
      <c r="EN134" s="1647"/>
      <c r="EO134" s="1647"/>
      <c r="EP134" s="1647"/>
      <c r="EQ134" s="1647"/>
      <c r="ER134" s="1647"/>
      <c r="ES134" s="1647"/>
      <c r="ET134" s="1647"/>
      <c r="EU134" s="1647"/>
      <c r="EV134" s="1647"/>
      <c r="EW134" s="1647"/>
      <c r="EX134" s="1647"/>
      <c r="EY134" s="1647"/>
      <c r="EZ134" s="1647"/>
      <c r="FA134" s="1647"/>
      <c r="FB134" s="1647"/>
      <c r="FC134" s="1647"/>
      <c r="FD134" s="1647"/>
      <c r="FE134" s="1647"/>
      <c r="FF134" s="1647"/>
      <c r="FG134" s="1647"/>
      <c r="FH134" s="1647"/>
      <c r="FI134" s="1647"/>
      <c r="FJ134" s="1647"/>
      <c r="FK134" s="1647"/>
      <c r="FL134" s="1647"/>
      <c r="FM134" s="1647"/>
      <c r="FN134" s="1647"/>
      <c r="FO134" s="1647"/>
      <c r="FP134" s="1647"/>
      <c r="FQ134" s="1647"/>
      <c r="FR134" s="1647"/>
      <c r="FS134" s="1647"/>
      <c r="FT134" s="1647"/>
      <c r="FU134" s="1647"/>
      <c r="FV134" s="1647"/>
      <c r="FW134" s="1647"/>
      <c r="FX134" s="1647"/>
      <c r="FY134" s="1647"/>
      <c r="FZ134" s="1647"/>
      <c r="GA134" s="1647"/>
      <c r="GB134" s="1647"/>
      <c r="GC134" s="1647"/>
      <c r="GD134" s="1647"/>
      <c r="GE134" s="1647"/>
      <c r="GF134" s="1647"/>
      <c r="GG134" s="1647"/>
      <c r="GH134" s="1647"/>
      <c r="GI134" s="1647"/>
      <c r="GJ134" s="1647"/>
      <c r="GK134" s="1647"/>
      <c r="GL134" s="1647"/>
      <c r="GM134" s="1647"/>
      <c r="GN134" s="1647"/>
      <c r="GO134" s="1647"/>
      <c r="GP134" s="1647"/>
      <c r="GQ134" s="1647"/>
      <c r="GR134" s="1647"/>
      <c r="GS134" s="1647"/>
      <c r="GT134" s="1647"/>
      <c r="GU134" s="1647"/>
      <c r="GV134" s="1647"/>
      <c r="GW134" s="1647"/>
      <c r="GX134" s="1647"/>
      <c r="GY134" s="1647"/>
      <c r="GZ134" s="1647"/>
      <c r="HA134" s="1647"/>
      <c r="HB134" s="1647"/>
      <c r="HC134" s="1647"/>
      <c r="HD134" s="1647"/>
      <c r="HE134" s="1647"/>
      <c r="HF134" s="1647"/>
      <c r="HG134" s="1647"/>
      <c r="HH134" s="1647"/>
      <c r="HI134" s="1647"/>
      <c r="HJ134" s="1647"/>
      <c r="HK134" s="1647"/>
      <c r="HL134" s="1647"/>
      <c r="HM134" s="1647"/>
      <c r="HN134" s="1647"/>
      <c r="HO134" s="1647"/>
      <c r="HP134" s="1647"/>
      <c r="HQ134" s="1647"/>
      <c r="HR134" s="1647"/>
      <c r="HS134" s="1647"/>
      <c r="HT134" s="1647"/>
      <c r="HU134" s="1647"/>
      <c r="HV134" s="1647"/>
      <c r="HW134" s="1647"/>
      <c r="HX134" s="1647"/>
      <c r="HY134" s="1647"/>
      <c r="HZ134" s="1647"/>
      <c r="IA134" s="1647"/>
      <c r="IB134" s="1647"/>
      <c r="IC134" s="1647"/>
      <c r="ID134" s="1647"/>
      <c r="IE134" s="1647"/>
      <c r="IF134" s="1647"/>
      <c r="IG134" s="1647"/>
      <c r="IH134" s="1647"/>
      <c r="II134" s="1647"/>
      <c r="IJ134" s="1647"/>
      <c r="IK134" s="1647"/>
      <c r="IL134" s="1647"/>
      <c r="IM134" s="1647"/>
      <c r="IN134" s="1647"/>
      <c r="IO134" s="1647"/>
      <c r="IP134" s="1647"/>
      <c r="IQ134" s="1647"/>
      <c r="IR134" s="1647"/>
      <c r="IS134" s="1647"/>
      <c r="IT134" s="1647"/>
      <c r="IU134" s="1647"/>
      <c r="IV134" s="1647"/>
      <c r="IW134" s="1647"/>
      <c r="IX134" s="1647"/>
      <c r="IY134" s="1647"/>
      <c r="IZ134" s="1647"/>
      <c r="JA134" s="1647"/>
      <c r="JB134" s="1647"/>
      <c r="JC134" s="1647"/>
      <c r="JD134" s="1647"/>
      <c r="JE134" s="1647"/>
      <c r="JF134" s="1647"/>
      <c r="JG134" s="1647"/>
      <c r="JH134" s="1647"/>
      <c r="JI134" s="1647"/>
      <c r="JJ134" s="1647"/>
      <c r="JK134" s="1647"/>
      <c r="JL134" s="1647"/>
      <c r="JM134" s="1647"/>
      <c r="JN134" s="1647"/>
      <c r="JO134" s="1647"/>
      <c r="JP134" s="1647"/>
      <c r="JQ134" s="1647"/>
      <c r="JR134" s="1647"/>
      <c r="JS134" s="1647"/>
      <c r="JT134" s="1647"/>
      <c r="JU134" s="1647"/>
      <c r="JV134" s="1647"/>
      <c r="JW134" s="1647"/>
      <c r="JX134" s="1647"/>
      <c r="JY134" s="1647"/>
      <c r="JZ134" s="1647"/>
      <c r="KA134" s="1647"/>
      <c r="KB134" s="1647"/>
      <c r="KC134" s="1647"/>
      <c r="KD134" s="1647"/>
      <c r="KE134" s="1647"/>
      <c r="KF134" s="1647"/>
      <c r="KG134" s="1647"/>
      <c r="KH134" s="1647"/>
      <c r="KI134" s="1647"/>
      <c r="KJ134" s="1647"/>
      <c r="KK134" s="1647"/>
      <c r="KL134" s="1647"/>
      <c r="KM134" s="1647"/>
      <c r="KN134" s="1647"/>
      <c r="KO134" s="1647"/>
      <c r="KP134" s="1647"/>
      <c r="KQ134" s="1647"/>
      <c r="KR134" s="1647"/>
      <c r="KS134" s="1647"/>
      <c r="KT134" s="1647"/>
      <c r="KU134" s="1647"/>
      <c r="KV134" s="1647"/>
      <c r="KW134" s="1647"/>
      <c r="KX134" s="1647"/>
      <c r="KY134" s="1647"/>
      <c r="KZ134" s="1647"/>
      <c r="LA134" s="1647"/>
      <c r="LB134" s="1647"/>
      <c r="LC134" s="1647"/>
      <c r="LD134" s="1647"/>
      <c r="LE134" s="1647"/>
      <c r="LF134" s="1647"/>
      <c r="LG134" s="1647"/>
      <c r="LH134" s="1647"/>
      <c r="LI134" s="1647"/>
      <c r="LJ134" s="1647"/>
      <c r="LK134" s="1647"/>
      <c r="LL134" s="1647"/>
      <c r="LM134" s="1647"/>
      <c r="LN134" s="1647"/>
      <c r="LO134" s="1647"/>
      <c r="LP134" s="1647"/>
      <c r="LQ134" s="1647"/>
      <c r="LR134" s="1647"/>
      <c r="LS134" s="1647"/>
      <c r="LT134" s="1647"/>
      <c r="LU134" s="1647"/>
      <c r="LV134" s="1647"/>
      <c r="LW134" s="1647"/>
      <c r="LX134" s="1647"/>
      <c r="LY134" s="1647"/>
      <c r="LZ134" s="1647"/>
      <c r="MA134" s="1647"/>
      <c r="MB134" s="1647"/>
      <c r="MC134" s="1647"/>
      <c r="MD134" s="1647"/>
      <c r="ME134" s="1647"/>
      <c r="MF134" s="1647"/>
      <c r="MG134" s="1647"/>
      <c r="MH134" s="1647"/>
      <c r="MI134" s="1647"/>
      <c r="MJ134" s="1647"/>
      <c r="MK134" s="1647"/>
      <c r="ML134" s="1647"/>
      <c r="MM134" s="1647"/>
      <c r="MN134" s="1647"/>
      <c r="MO134" s="1647"/>
      <c r="MP134" s="1647"/>
      <c r="MQ134" s="1647"/>
      <c r="MR134" s="1647"/>
      <c r="MS134" s="1647"/>
      <c r="MT134" s="1647"/>
      <c r="MU134" s="1647"/>
      <c r="MV134" s="1647"/>
      <c r="MW134" s="1647"/>
      <c r="MX134" s="1647"/>
      <c r="MY134" s="1647"/>
      <c r="MZ134" s="1647"/>
      <c r="NA134" s="1647"/>
      <c r="NB134" s="1647"/>
      <c r="NC134" s="1647"/>
      <c r="ND134" s="1647"/>
    </row>
    <row r="135" spans="1:368" s="1761" customFormat="1" ht="88.5" customHeight="1" x14ac:dyDescent="0.2">
      <c r="A135" s="1709"/>
      <c r="B135" s="1710"/>
      <c r="C135" s="1711"/>
      <c r="D135" s="1710"/>
      <c r="E135" s="1710"/>
      <c r="F135" s="1711"/>
      <c r="G135" s="1709"/>
      <c r="H135" s="1710"/>
      <c r="I135" s="1711"/>
      <c r="J135" s="4239">
        <v>162</v>
      </c>
      <c r="K135" s="4171" t="s">
        <v>1072</v>
      </c>
      <c r="L135" s="4168" t="s">
        <v>324</v>
      </c>
      <c r="M135" s="4168">
        <v>83</v>
      </c>
      <c r="N135" s="4168">
        <v>83</v>
      </c>
      <c r="O135" s="4169"/>
      <c r="P135" s="4169"/>
      <c r="Q135" s="4172"/>
      <c r="R135" s="4174">
        <f>(W135+W136+W137+W138+W139)/S132</f>
        <v>0.76145678358621149</v>
      </c>
      <c r="S135" s="4258"/>
      <c r="T135" s="4172"/>
      <c r="U135" s="4171" t="s">
        <v>1073</v>
      </c>
      <c r="V135" s="1740" t="s">
        <v>1074</v>
      </c>
      <c r="W135" s="1720">
        <f>100000000+65000000</f>
        <v>165000000</v>
      </c>
      <c r="X135" s="1753">
        <v>82535156</v>
      </c>
      <c r="Y135" s="1753">
        <v>7920000</v>
      </c>
      <c r="Z135" s="4215"/>
      <c r="AA135" s="4169"/>
      <c r="AB135" s="4184"/>
      <c r="AC135" s="4184"/>
      <c r="AD135" s="4184"/>
      <c r="AE135" s="4184"/>
      <c r="AF135" s="4184"/>
      <c r="AG135" s="4184"/>
      <c r="AH135" s="4184"/>
      <c r="AI135" s="4184"/>
      <c r="AJ135" s="4184"/>
      <c r="AK135" s="4184"/>
      <c r="AL135" s="4184"/>
      <c r="AM135" s="4184"/>
      <c r="AN135" s="4184"/>
      <c r="AO135" s="4184"/>
      <c r="AP135" s="4184"/>
      <c r="AQ135" s="4184"/>
      <c r="AR135" s="4184"/>
      <c r="AS135" s="4184"/>
      <c r="AT135" s="4184"/>
      <c r="AU135" s="4184"/>
      <c r="AV135" s="4184"/>
      <c r="AW135" s="4184"/>
      <c r="AX135" s="4184"/>
      <c r="AY135" s="4184"/>
      <c r="AZ135" s="4184"/>
      <c r="BA135" s="4178"/>
      <c r="BB135" s="4178"/>
      <c r="BC135" s="4181"/>
      <c r="BD135" s="4184"/>
      <c r="BE135" s="4218"/>
      <c r="BF135" s="4163"/>
      <c r="BG135" s="4163"/>
      <c r="BH135" s="4163"/>
      <c r="BI135" s="4163"/>
      <c r="BJ135" s="4166"/>
      <c r="BK135" s="1724"/>
      <c r="BL135" s="1724"/>
      <c r="BM135" s="1724"/>
      <c r="BN135" s="1724"/>
      <c r="BO135" s="1724"/>
      <c r="BP135" s="1724"/>
      <c r="BQ135" s="1724"/>
      <c r="BR135" s="1724"/>
      <c r="BS135" s="1724"/>
      <c r="BT135" s="1724"/>
      <c r="BU135" s="1724"/>
      <c r="BV135" s="1724"/>
      <c r="BW135" s="1724"/>
      <c r="BX135" s="1724"/>
      <c r="BY135" s="1724"/>
      <c r="BZ135" s="1724"/>
      <c r="CA135" s="1724"/>
      <c r="CB135" s="1724"/>
      <c r="CC135" s="1724"/>
      <c r="CD135" s="1724"/>
      <c r="CE135" s="1724"/>
      <c r="CF135" s="1724"/>
      <c r="CG135" s="1724"/>
      <c r="CH135" s="1724"/>
      <c r="CI135" s="1724"/>
      <c r="CJ135" s="1724"/>
      <c r="CK135" s="1724"/>
      <c r="CL135" s="1724"/>
      <c r="CM135" s="1724"/>
      <c r="CN135" s="1724"/>
      <c r="CO135" s="1724"/>
      <c r="CP135" s="1724"/>
      <c r="CQ135" s="1724"/>
      <c r="CR135" s="1724"/>
      <c r="CS135" s="1724"/>
      <c r="CT135" s="1724"/>
      <c r="CU135" s="1724"/>
      <c r="CV135" s="1724"/>
      <c r="CW135" s="1724"/>
      <c r="CX135" s="1724"/>
      <c r="CY135" s="1724"/>
      <c r="CZ135" s="1724"/>
      <c r="DA135" s="1724"/>
      <c r="DB135" s="1724"/>
      <c r="DC135" s="1724"/>
      <c r="DD135" s="1724"/>
      <c r="DE135" s="1724"/>
      <c r="DF135" s="1724"/>
      <c r="DG135" s="1647"/>
      <c r="DH135" s="1647"/>
      <c r="DI135" s="1647"/>
      <c r="DJ135" s="1647"/>
      <c r="DK135" s="1647"/>
      <c r="DL135" s="1647"/>
      <c r="DM135" s="1647"/>
      <c r="DN135" s="1647"/>
      <c r="DO135" s="1647"/>
      <c r="DP135" s="1647"/>
      <c r="DQ135" s="1647"/>
      <c r="DR135" s="1647"/>
      <c r="DS135" s="1647"/>
      <c r="DT135" s="1647"/>
      <c r="DU135" s="1647"/>
      <c r="DV135" s="1647"/>
      <c r="DW135" s="1647"/>
      <c r="DX135" s="1647"/>
      <c r="DY135" s="1647"/>
      <c r="DZ135" s="1647"/>
      <c r="EA135" s="1647"/>
      <c r="EB135" s="1647"/>
      <c r="EC135" s="1647"/>
      <c r="ED135" s="1647"/>
      <c r="EE135" s="1647"/>
      <c r="EF135" s="1647"/>
      <c r="EG135" s="1647"/>
      <c r="EH135" s="1647"/>
      <c r="EI135" s="1647"/>
      <c r="EJ135" s="1647"/>
      <c r="EK135" s="1647"/>
      <c r="EL135" s="1647"/>
      <c r="EM135" s="1647"/>
      <c r="EN135" s="1647"/>
      <c r="EO135" s="1647"/>
      <c r="EP135" s="1647"/>
      <c r="EQ135" s="1647"/>
      <c r="ER135" s="1647"/>
      <c r="ES135" s="1647"/>
      <c r="ET135" s="1647"/>
      <c r="EU135" s="1647"/>
      <c r="EV135" s="1647"/>
      <c r="EW135" s="1647"/>
      <c r="EX135" s="1647"/>
      <c r="EY135" s="1647"/>
      <c r="EZ135" s="1647"/>
      <c r="FA135" s="1647"/>
      <c r="FB135" s="1647"/>
      <c r="FC135" s="1647"/>
      <c r="FD135" s="1647"/>
      <c r="FE135" s="1647"/>
      <c r="FF135" s="1647"/>
      <c r="FG135" s="1647"/>
      <c r="FH135" s="1647"/>
      <c r="FI135" s="1647"/>
      <c r="FJ135" s="1647"/>
      <c r="FK135" s="1647"/>
      <c r="FL135" s="1647"/>
      <c r="FM135" s="1647"/>
      <c r="FN135" s="1647"/>
      <c r="FO135" s="1647"/>
      <c r="FP135" s="1647"/>
      <c r="FQ135" s="1647"/>
      <c r="FR135" s="1647"/>
      <c r="FS135" s="1647"/>
      <c r="FT135" s="1647"/>
      <c r="FU135" s="1647"/>
      <c r="FV135" s="1647"/>
      <c r="FW135" s="1647"/>
      <c r="FX135" s="1647"/>
      <c r="FY135" s="1647"/>
      <c r="FZ135" s="1647"/>
      <c r="GA135" s="1647"/>
      <c r="GB135" s="1647"/>
      <c r="GC135" s="1647"/>
      <c r="GD135" s="1647"/>
      <c r="GE135" s="1647"/>
      <c r="GF135" s="1647"/>
      <c r="GG135" s="1647"/>
      <c r="GH135" s="1647"/>
      <c r="GI135" s="1647"/>
      <c r="GJ135" s="1647"/>
      <c r="GK135" s="1647"/>
      <c r="GL135" s="1647"/>
      <c r="GM135" s="1647"/>
      <c r="GN135" s="1647"/>
      <c r="GO135" s="1647"/>
      <c r="GP135" s="1647"/>
      <c r="GQ135" s="1647"/>
      <c r="GR135" s="1647"/>
      <c r="GS135" s="1647"/>
      <c r="GT135" s="1647"/>
      <c r="GU135" s="1647"/>
      <c r="GV135" s="1647"/>
      <c r="GW135" s="1647"/>
      <c r="GX135" s="1647"/>
      <c r="GY135" s="1647"/>
      <c r="GZ135" s="1647"/>
      <c r="HA135" s="1647"/>
      <c r="HB135" s="1647"/>
      <c r="HC135" s="1647"/>
      <c r="HD135" s="1647"/>
      <c r="HE135" s="1647"/>
      <c r="HF135" s="1647"/>
      <c r="HG135" s="1647"/>
      <c r="HH135" s="1647"/>
      <c r="HI135" s="1647"/>
      <c r="HJ135" s="1647"/>
      <c r="HK135" s="1647"/>
      <c r="HL135" s="1647"/>
      <c r="HM135" s="1647"/>
      <c r="HN135" s="1647"/>
      <c r="HO135" s="1647"/>
      <c r="HP135" s="1647"/>
      <c r="HQ135" s="1647"/>
      <c r="HR135" s="1647"/>
      <c r="HS135" s="1647"/>
      <c r="HT135" s="1647"/>
      <c r="HU135" s="1647"/>
      <c r="HV135" s="1647"/>
      <c r="HW135" s="1647"/>
      <c r="HX135" s="1647"/>
      <c r="HY135" s="1647"/>
      <c r="HZ135" s="1647"/>
      <c r="IA135" s="1647"/>
      <c r="IB135" s="1647"/>
      <c r="IC135" s="1647"/>
      <c r="ID135" s="1647"/>
      <c r="IE135" s="1647"/>
      <c r="IF135" s="1647"/>
      <c r="IG135" s="1647"/>
      <c r="IH135" s="1647"/>
      <c r="II135" s="1647"/>
      <c r="IJ135" s="1647"/>
      <c r="IK135" s="1647"/>
      <c r="IL135" s="1647"/>
      <c r="IM135" s="1647"/>
      <c r="IN135" s="1647"/>
      <c r="IO135" s="1647"/>
      <c r="IP135" s="1647"/>
      <c r="IQ135" s="1647"/>
      <c r="IR135" s="1647"/>
      <c r="IS135" s="1647"/>
      <c r="IT135" s="1647"/>
      <c r="IU135" s="1647"/>
      <c r="IV135" s="1647"/>
      <c r="IW135" s="1647"/>
      <c r="IX135" s="1647"/>
      <c r="IY135" s="1647"/>
      <c r="IZ135" s="1647"/>
      <c r="JA135" s="1647"/>
      <c r="JB135" s="1647"/>
      <c r="JC135" s="1647"/>
      <c r="JD135" s="1647"/>
      <c r="JE135" s="1647"/>
      <c r="JF135" s="1647"/>
      <c r="JG135" s="1647"/>
      <c r="JH135" s="1647"/>
      <c r="JI135" s="1647"/>
      <c r="JJ135" s="1647"/>
      <c r="JK135" s="1647"/>
      <c r="JL135" s="1647"/>
      <c r="JM135" s="1647"/>
      <c r="JN135" s="1647"/>
      <c r="JO135" s="1647"/>
      <c r="JP135" s="1647"/>
      <c r="JQ135" s="1647"/>
      <c r="JR135" s="1647"/>
      <c r="JS135" s="1647"/>
      <c r="JT135" s="1647"/>
      <c r="JU135" s="1647"/>
      <c r="JV135" s="1647"/>
      <c r="JW135" s="1647"/>
      <c r="JX135" s="1647"/>
      <c r="JY135" s="1647"/>
      <c r="JZ135" s="1647"/>
      <c r="KA135" s="1647"/>
      <c r="KB135" s="1647"/>
      <c r="KC135" s="1647"/>
      <c r="KD135" s="1647"/>
      <c r="KE135" s="1647"/>
      <c r="KF135" s="1647"/>
      <c r="KG135" s="1647"/>
      <c r="KH135" s="1647"/>
      <c r="KI135" s="1647"/>
      <c r="KJ135" s="1647"/>
      <c r="KK135" s="1647"/>
      <c r="KL135" s="1647"/>
      <c r="KM135" s="1647"/>
      <c r="KN135" s="1647"/>
      <c r="KO135" s="1647"/>
      <c r="KP135" s="1647"/>
      <c r="KQ135" s="1647"/>
      <c r="KR135" s="1647"/>
      <c r="KS135" s="1647"/>
      <c r="KT135" s="1647"/>
      <c r="KU135" s="1647"/>
      <c r="KV135" s="1647"/>
      <c r="KW135" s="1647"/>
      <c r="KX135" s="1647"/>
      <c r="KY135" s="1647"/>
      <c r="KZ135" s="1647"/>
      <c r="LA135" s="1647"/>
      <c r="LB135" s="1647"/>
      <c r="LC135" s="1647"/>
      <c r="LD135" s="1647"/>
      <c r="LE135" s="1647"/>
      <c r="LF135" s="1647"/>
      <c r="LG135" s="1647"/>
      <c r="LH135" s="1647"/>
      <c r="LI135" s="1647"/>
      <c r="LJ135" s="1647"/>
      <c r="LK135" s="1647"/>
      <c r="LL135" s="1647"/>
      <c r="LM135" s="1647"/>
      <c r="LN135" s="1647"/>
      <c r="LO135" s="1647"/>
      <c r="LP135" s="1647"/>
      <c r="LQ135" s="1647"/>
      <c r="LR135" s="1647"/>
      <c r="LS135" s="1647"/>
      <c r="LT135" s="1647"/>
      <c r="LU135" s="1647"/>
      <c r="LV135" s="1647"/>
      <c r="LW135" s="1647"/>
      <c r="LX135" s="1647"/>
      <c r="LY135" s="1647"/>
      <c r="LZ135" s="1647"/>
      <c r="MA135" s="1647"/>
      <c r="MB135" s="1647"/>
      <c r="MC135" s="1647"/>
      <c r="MD135" s="1647"/>
      <c r="ME135" s="1647"/>
      <c r="MF135" s="1647"/>
      <c r="MG135" s="1647"/>
      <c r="MH135" s="1647"/>
      <c r="MI135" s="1647"/>
      <c r="MJ135" s="1647"/>
      <c r="MK135" s="1647"/>
      <c r="ML135" s="1647"/>
      <c r="MM135" s="1647"/>
      <c r="MN135" s="1647"/>
      <c r="MO135" s="1647"/>
      <c r="MP135" s="1647"/>
      <c r="MQ135" s="1647"/>
      <c r="MR135" s="1647"/>
      <c r="MS135" s="1647"/>
      <c r="MT135" s="1647"/>
      <c r="MU135" s="1647"/>
      <c r="MV135" s="1647"/>
      <c r="MW135" s="1647"/>
      <c r="MX135" s="1647"/>
      <c r="MY135" s="1647"/>
      <c r="MZ135" s="1647"/>
      <c r="NA135" s="1647"/>
      <c r="NB135" s="1647"/>
      <c r="NC135" s="1647"/>
      <c r="ND135" s="1647"/>
    </row>
    <row r="136" spans="1:368" s="1761" customFormat="1" ht="52.5" customHeight="1" x14ac:dyDescent="0.2">
      <c r="A136" s="1709"/>
      <c r="B136" s="1710"/>
      <c r="C136" s="1711"/>
      <c r="D136" s="1710"/>
      <c r="E136" s="1710"/>
      <c r="F136" s="1711"/>
      <c r="G136" s="1709"/>
      <c r="H136" s="1710"/>
      <c r="I136" s="1711"/>
      <c r="J136" s="4239"/>
      <c r="K136" s="4172"/>
      <c r="L136" s="4169"/>
      <c r="M136" s="4169"/>
      <c r="N136" s="4169"/>
      <c r="O136" s="4169"/>
      <c r="P136" s="4169"/>
      <c r="Q136" s="4172"/>
      <c r="R136" s="4175"/>
      <c r="S136" s="4258"/>
      <c r="T136" s="4172"/>
      <c r="U136" s="4172"/>
      <c r="V136" s="1740" t="s">
        <v>1075</v>
      </c>
      <c r="W136" s="1725">
        <v>50000000</v>
      </c>
      <c r="X136" s="1753">
        <v>50000000</v>
      </c>
      <c r="Y136" s="1753">
        <v>5280000</v>
      </c>
      <c r="Z136" s="4215"/>
      <c r="AA136" s="4169"/>
      <c r="AB136" s="4184"/>
      <c r="AC136" s="4184"/>
      <c r="AD136" s="4184"/>
      <c r="AE136" s="4184"/>
      <c r="AF136" s="4184"/>
      <c r="AG136" s="4184"/>
      <c r="AH136" s="4184"/>
      <c r="AI136" s="4184"/>
      <c r="AJ136" s="4184"/>
      <c r="AK136" s="4184"/>
      <c r="AL136" s="4184"/>
      <c r="AM136" s="4184"/>
      <c r="AN136" s="4184"/>
      <c r="AO136" s="4184"/>
      <c r="AP136" s="4184"/>
      <c r="AQ136" s="4184"/>
      <c r="AR136" s="4184"/>
      <c r="AS136" s="4184"/>
      <c r="AT136" s="4184"/>
      <c r="AU136" s="4184"/>
      <c r="AV136" s="4184"/>
      <c r="AW136" s="4184"/>
      <c r="AX136" s="4184"/>
      <c r="AY136" s="4184"/>
      <c r="AZ136" s="4184"/>
      <c r="BA136" s="4178"/>
      <c r="BB136" s="4178"/>
      <c r="BC136" s="4181"/>
      <c r="BD136" s="4184"/>
      <c r="BE136" s="4218"/>
      <c r="BF136" s="4163"/>
      <c r="BG136" s="4163"/>
      <c r="BH136" s="4163"/>
      <c r="BI136" s="4163"/>
      <c r="BJ136" s="4166"/>
      <c r="BK136" s="1724"/>
      <c r="BL136" s="1724"/>
      <c r="BM136" s="1724"/>
      <c r="BN136" s="1724"/>
      <c r="BO136" s="1724"/>
      <c r="BP136" s="1724"/>
      <c r="BQ136" s="1724"/>
      <c r="BR136" s="1724"/>
      <c r="BS136" s="1724"/>
      <c r="BT136" s="1724"/>
      <c r="BU136" s="1724"/>
      <c r="BV136" s="1724"/>
      <c r="BW136" s="1724"/>
      <c r="BX136" s="1724"/>
      <c r="BY136" s="1724"/>
      <c r="BZ136" s="1724"/>
      <c r="CA136" s="1724"/>
      <c r="CB136" s="1724"/>
      <c r="CC136" s="1724"/>
      <c r="CD136" s="1724"/>
      <c r="CE136" s="1724"/>
      <c r="CF136" s="1724"/>
      <c r="CG136" s="1724"/>
      <c r="CH136" s="1724"/>
      <c r="CI136" s="1724"/>
      <c r="CJ136" s="1724"/>
      <c r="CK136" s="1724"/>
      <c r="CL136" s="1724"/>
      <c r="CM136" s="1724"/>
      <c r="CN136" s="1724"/>
      <c r="CO136" s="1724"/>
      <c r="CP136" s="1724"/>
      <c r="CQ136" s="1724"/>
      <c r="CR136" s="1724"/>
      <c r="CS136" s="1724"/>
      <c r="CT136" s="1724"/>
      <c r="CU136" s="1724"/>
      <c r="CV136" s="1724"/>
      <c r="CW136" s="1724"/>
      <c r="CX136" s="1724"/>
      <c r="CY136" s="1647"/>
      <c r="CZ136" s="1647"/>
      <c r="DA136" s="1647"/>
      <c r="DB136" s="1647"/>
      <c r="DC136" s="1647"/>
      <c r="DD136" s="1647"/>
      <c r="DE136" s="1647"/>
      <c r="DF136" s="1647"/>
      <c r="DG136" s="1647"/>
      <c r="DH136" s="1647"/>
      <c r="DI136" s="1647"/>
      <c r="DJ136" s="1647"/>
      <c r="DK136" s="1647"/>
      <c r="DL136" s="1647"/>
      <c r="DM136" s="1647"/>
      <c r="DN136" s="1647"/>
      <c r="DO136" s="1647"/>
      <c r="DP136" s="1647"/>
      <c r="DQ136" s="1647"/>
      <c r="DR136" s="1647"/>
      <c r="DS136" s="1647"/>
      <c r="DT136" s="1647"/>
      <c r="DU136" s="1647"/>
      <c r="DV136" s="1647"/>
      <c r="DW136" s="1647"/>
      <c r="DX136" s="1647"/>
      <c r="DY136" s="1647"/>
      <c r="DZ136" s="1647"/>
      <c r="EA136" s="1647"/>
      <c r="EB136" s="1647"/>
      <c r="EC136" s="1647"/>
      <c r="ED136" s="1647"/>
      <c r="EE136" s="1647"/>
      <c r="EF136" s="1647"/>
      <c r="EG136" s="1647"/>
      <c r="EH136" s="1647"/>
      <c r="EI136" s="1647"/>
      <c r="EJ136" s="1647"/>
      <c r="EK136" s="1647"/>
      <c r="EL136" s="1647"/>
      <c r="EM136" s="1647"/>
      <c r="EN136" s="1647"/>
      <c r="EO136" s="1647"/>
      <c r="EP136" s="1647"/>
      <c r="EQ136" s="1647"/>
      <c r="ER136" s="1647"/>
      <c r="ES136" s="1647"/>
      <c r="ET136" s="1647"/>
      <c r="EU136" s="1647"/>
      <c r="EV136" s="1647"/>
      <c r="EW136" s="1647"/>
      <c r="EX136" s="1647"/>
      <c r="EY136" s="1647"/>
      <c r="EZ136" s="1647"/>
      <c r="FA136" s="1647"/>
      <c r="FB136" s="1647"/>
      <c r="FC136" s="1647"/>
      <c r="FD136" s="1647"/>
      <c r="FE136" s="1647"/>
      <c r="FF136" s="1647"/>
      <c r="FG136" s="1647"/>
      <c r="FH136" s="1647"/>
      <c r="FI136" s="1647"/>
      <c r="FJ136" s="1647"/>
      <c r="FK136" s="1647"/>
      <c r="FL136" s="1647"/>
      <c r="FM136" s="1647"/>
      <c r="FN136" s="1647"/>
      <c r="FO136" s="1647"/>
      <c r="FP136" s="1647"/>
      <c r="FQ136" s="1647"/>
      <c r="FR136" s="1647"/>
      <c r="FS136" s="1647"/>
      <c r="FT136" s="1647"/>
      <c r="FU136" s="1647"/>
      <c r="FV136" s="1647"/>
      <c r="FW136" s="1647"/>
      <c r="FX136" s="1647"/>
      <c r="FY136" s="1647"/>
      <c r="FZ136" s="1647"/>
      <c r="GA136" s="1647"/>
      <c r="GB136" s="1647"/>
      <c r="GC136" s="1647"/>
      <c r="GD136" s="1647"/>
      <c r="GE136" s="1647"/>
      <c r="GF136" s="1647"/>
      <c r="GG136" s="1647"/>
      <c r="GH136" s="1647"/>
      <c r="GI136" s="1647"/>
      <c r="GJ136" s="1647"/>
      <c r="GK136" s="1647"/>
      <c r="GL136" s="1647"/>
      <c r="GM136" s="1647"/>
      <c r="GN136" s="1647"/>
      <c r="GO136" s="1647"/>
      <c r="GP136" s="1647"/>
      <c r="GQ136" s="1647"/>
      <c r="GR136" s="1647"/>
      <c r="GS136" s="1647"/>
      <c r="GT136" s="1647"/>
      <c r="GU136" s="1647"/>
      <c r="GV136" s="1647"/>
      <c r="GW136" s="1647"/>
      <c r="GX136" s="1647"/>
      <c r="GY136" s="1647"/>
      <c r="GZ136" s="1647"/>
      <c r="HA136" s="1647"/>
      <c r="HB136" s="1647"/>
      <c r="HC136" s="1647"/>
      <c r="HD136" s="1647"/>
      <c r="HE136" s="1647"/>
      <c r="HF136" s="1647"/>
      <c r="HG136" s="1647"/>
      <c r="HH136" s="1647"/>
      <c r="HI136" s="1647"/>
      <c r="HJ136" s="1647"/>
      <c r="HK136" s="1647"/>
      <c r="HL136" s="1647"/>
      <c r="HM136" s="1647"/>
      <c r="HN136" s="1647"/>
      <c r="HO136" s="1647"/>
      <c r="HP136" s="1647"/>
      <c r="HQ136" s="1647"/>
      <c r="HR136" s="1647"/>
      <c r="HS136" s="1647"/>
      <c r="HT136" s="1647"/>
      <c r="HU136" s="1647"/>
      <c r="HV136" s="1647"/>
      <c r="HW136" s="1647"/>
      <c r="HX136" s="1647"/>
      <c r="HY136" s="1647"/>
      <c r="HZ136" s="1647"/>
      <c r="IA136" s="1647"/>
      <c r="IB136" s="1647"/>
      <c r="IC136" s="1647"/>
      <c r="ID136" s="1647"/>
      <c r="IE136" s="1647"/>
      <c r="IF136" s="1647"/>
      <c r="IG136" s="1647"/>
      <c r="IH136" s="1647"/>
      <c r="II136" s="1647"/>
      <c r="IJ136" s="1647"/>
      <c r="IK136" s="1647"/>
      <c r="IL136" s="1647"/>
      <c r="IM136" s="1647"/>
      <c r="IN136" s="1647"/>
      <c r="IO136" s="1647"/>
      <c r="IP136" s="1647"/>
      <c r="IQ136" s="1647"/>
      <c r="IR136" s="1647"/>
      <c r="IS136" s="1647"/>
      <c r="IT136" s="1647"/>
      <c r="IU136" s="1647"/>
      <c r="IV136" s="1647"/>
      <c r="IW136" s="1647"/>
      <c r="IX136" s="1647"/>
      <c r="IY136" s="1647"/>
      <c r="IZ136" s="1647"/>
      <c r="JA136" s="1647"/>
      <c r="JB136" s="1647"/>
      <c r="JC136" s="1647"/>
      <c r="JD136" s="1647"/>
      <c r="JE136" s="1647"/>
      <c r="JF136" s="1647"/>
      <c r="JG136" s="1647"/>
      <c r="JH136" s="1647"/>
      <c r="JI136" s="1647"/>
      <c r="JJ136" s="1647"/>
      <c r="JK136" s="1647"/>
      <c r="JL136" s="1647"/>
      <c r="JM136" s="1647"/>
      <c r="JN136" s="1647"/>
      <c r="JO136" s="1647"/>
      <c r="JP136" s="1647"/>
      <c r="JQ136" s="1647"/>
      <c r="JR136" s="1647"/>
      <c r="JS136" s="1647"/>
      <c r="JT136" s="1647"/>
      <c r="JU136" s="1647"/>
      <c r="JV136" s="1647"/>
      <c r="JW136" s="1647"/>
      <c r="JX136" s="1647"/>
      <c r="JY136" s="1647"/>
      <c r="JZ136" s="1647"/>
      <c r="KA136" s="1647"/>
      <c r="KB136" s="1647"/>
      <c r="KC136" s="1647"/>
      <c r="KD136" s="1647"/>
      <c r="KE136" s="1647"/>
      <c r="KF136" s="1647"/>
      <c r="KG136" s="1647"/>
      <c r="KH136" s="1647"/>
      <c r="KI136" s="1647"/>
      <c r="KJ136" s="1647"/>
      <c r="KK136" s="1647"/>
      <c r="KL136" s="1647"/>
      <c r="KM136" s="1647"/>
      <c r="KN136" s="1647"/>
      <c r="KO136" s="1647"/>
      <c r="KP136" s="1647"/>
      <c r="KQ136" s="1647"/>
      <c r="KR136" s="1647"/>
      <c r="KS136" s="1647"/>
      <c r="KT136" s="1647"/>
      <c r="KU136" s="1647"/>
      <c r="KV136" s="1647"/>
      <c r="KW136" s="1647"/>
      <c r="KX136" s="1647"/>
      <c r="KY136" s="1647"/>
      <c r="KZ136" s="1647"/>
      <c r="LA136" s="1647"/>
      <c r="LB136" s="1647"/>
      <c r="LC136" s="1647"/>
      <c r="LD136" s="1647"/>
      <c r="LE136" s="1647"/>
      <c r="LF136" s="1647"/>
      <c r="LG136" s="1647"/>
      <c r="LH136" s="1647"/>
      <c r="LI136" s="1647"/>
      <c r="LJ136" s="1647"/>
      <c r="LK136" s="1647"/>
      <c r="LL136" s="1647"/>
      <c r="LM136" s="1647"/>
      <c r="LN136" s="1647"/>
      <c r="LO136" s="1647"/>
      <c r="LP136" s="1647"/>
      <c r="LQ136" s="1647"/>
      <c r="LR136" s="1647"/>
      <c r="LS136" s="1647"/>
      <c r="LT136" s="1647"/>
      <c r="LU136" s="1647"/>
      <c r="LV136" s="1647"/>
      <c r="LW136" s="1647"/>
      <c r="LX136" s="1647"/>
      <c r="LY136" s="1647"/>
      <c r="LZ136" s="1647"/>
      <c r="MA136" s="1647"/>
      <c r="MB136" s="1647"/>
      <c r="MC136" s="1647"/>
      <c r="MD136" s="1647"/>
      <c r="ME136" s="1647"/>
      <c r="MF136" s="1647"/>
      <c r="MG136" s="1647"/>
      <c r="MH136" s="1647"/>
      <c r="MI136" s="1647"/>
      <c r="MJ136" s="1647"/>
      <c r="MK136" s="1647"/>
      <c r="ML136" s="1647"/>
      <c r="MM136" s="1647"/>
      <c r="MN136" s="1647"/>
      <c r="MO136" s="1647"/>
      <c r="MP136" s="1647"/>
      <c r="MQ136" s="1647"/>
      <c r="MR136" s="1647"/>
      <c r="MS136" s="1647"/>
      <c r="MT136" s="1647"/>
      <c r="MU136" s="1647"/>
      <c r="MV136" s="1647"/>
      <c r="MW136" s="1647"/>
      <c r="MX136" s="1647"/>
      <c r="MY136" s="1647"/>
      <c r="MZ136" s="1647"/>
      <c r="NA136" s="1647"/>
      <c r="NB136" s="1647"/>
      <c r="NC136" s="1647"/>
      <c r="ND136" s="1647"/>
    </row>
    <row r="137" spans="1:368" s="1761" customFormat="1" ht="66" customHeight="1" x14ac:dyDescent="0.2">
      <c r="A137" s="1709"/>
      <c r="B137" s="1710"/>
      <c r="C137" s="1711"/>
      <c r="D137" s="1710"/>
      <c r="E137" s="1710"/>
      <c r="F137" s="1711"/>
      <c r="G137" s="1709"/>
      <c r="H137" s="1710"/>
      <c r="I137" s="1711"/>
      <c r="J137" s="4239"/>
      <c r="K137" s="4172"/>
      <c r="L137" s="4169"/>
      <c r="M137" s="4169"/>
      <c r="N137" s="4169"/>
      <c r="O137" s="4169"/>
      <c r="P137" s="4169"/>
      <c r="Q137" s="4172"/>
      <c r="R137" s="4175"/>
      <c r="S137" s="4258"/>
      <c r="T137" s="4172"/>
      <c r="U137" s="4172"/>
      <c r="V137" s="1740" t="s">
        <v>1076</v>
      </c>
      <c r="W137" s="1725">
        <v>30000000</v>
      </c>
      <c r="X137" s="1753">
        <v>30000000</v>
      </c>
      <c r="Y137" s="1753">
        <v>5280000</v>
      </c>
      <c r="Z137" s="4215"/>
      <c r="AA137" s="4169"/>
      <c r="AB137" s="4184"/>
      <c r="AC137" s="4184"/>
      <c r="AD137" s="4184"/>
      <c r="AE137" s="4184"/>
      <c r="AF137" s="4184"/>
      <c r="AG137" s="4184"/>
      <c r="AH137" s="4184"/>
      <c r="AI137" s="4184"/>
      <c r="AJ137" s="4184"/>
      <c r="AK137" s="4184"/>
      <c r="AL137" s="4184"/>
      <c r="AM137" s="4184"/>
      <c r="AN137" s="4184"/>
      <c r="AO137" s="4184"/>
      <c r="AP137" s="4184"/>
      <c r="AQ137" s="4184"/>
      <c r="AR137" s="4184"/>
      <c r="AS137" s="4184"/>
      <c r="AT137" s="4184"/>
      <c r="AU137" s="4184"/>
      <c r="AV137" s="4184"/>
      <c r="AW137" s="4184"/>
      <c r="AX137" s="4184"/>
      <c r="AY137" s="4184"/>
      <c r="AZ137" s="4184"/>
      <c r="BA137" s="4178"/>
      <c r="BB137" s="4178"/>
      <c r="BC137" s="4181"/>
      <c r="BD137" s="4184"/>
      <c r="BE137" s="4218"/>
      <c r="BF137" s="4163"/>
      <c r="BG137" s="4163"/>
      <c r="BH137" s="4163"/>
      <c r="BI137" s="4163"/>
      <c r="BJ137" s="4166"/>
      <c r="BK137" s="1724"/>
      <c r="BL137" s="1724"/>
      <c r="BM137" s="1724"/>
      <c r="BN137" s="1724"/>
      <c r="BO137" s="1724"/>
      <c r="BP137" s="1724"/>
      <c r="BQ137" s="1724"/>
      <c r="BR137" s="1724"/>
      <c r="BS137" s="1724"/>
      <c r="BT137" s="1724"/>
      <c r="BU137" s="1724"/>
      <c r="BV137" s="1724"/>
      <c r="BW137" s="1724"/>
      <c r="BX137" s="1724"/>
      <c r="BY137" s="1724"/>
      <c r="BZ137" s="1724"/>
      <c r="CA137" s="1724"/>
      <c r="CB137" s="1724"/>
      <c r="CC137" s="1724"/>
      <c r="CD137" s="1724"/>
      <c r="CE137" s="1724"/>
      <c r="CF137" s="1724"/>
      <c r="CG137" s="1724"/>
      <c r="CH137" s="1724"/>
      <c r="CI137" s="1724"/>
      <c r="CJ137" s="1724"/>
      <c r="CK137" s="1724"/>
      <c r="CL137" s="1724"/>
      <c r="CM137" s="1724"/>
      <c r="CN137" s="1724"/>
      <c r="CO137" s="1724"/>
      <c r="CP137" s="1724"/>
      <c r="CQ137" s="1724"/>
      <c r="CR137" s="1724"/>
      <c r="CS137" s="1724"/>
      <c r="CT137" s="1724"/>
      <c r="CU137" s="1724"/>
      <c r="CV137" s="1724"/>
      <c r="CW137" s="1724"/>
      <c r="CX137" s="1724"/>
      <c r="CY137" s="1647"/>
      <c r="CZ137" s="1647"/>
      <c r="DA137" s="1647"/>
      <c r="DB137" s="1647"/>
      <c r="DC137" s="1647"/>
      <c r="DD137" s="1647"/>
      <c r="DE137" s="1647"/>
      <c r="DF137" s="1647"/>
      <c r="DG137" s="1647"/>
      <c r="DH137" s="1647"/>
      <c r="DI137" s="1647"/>
      <c r="DJ137" s="1647"/>
      <c r="DK137" s="1647"/>
      <c r="DL137" s="1647"/>
      <c r="DM137" s="1647"/>
      <c r="DN137" s="1647"/>
      <c r="DO137" s="1647"/>
      <c r="DP137" s="1647"/>
      <c r="DQ137" s="1647"/>
      <c r="DR137" s="1647"/>
      <c r="DS137" s="1647"/>
      <c r="DT137" s="1647"/>
      <c r="DU137" s="1647"/>
      <c r="DV137" s="1647"/>
      <c r="DW137" s="1647"/>
      <c r="DX137" s="1647"/>
      <c r="DY137" s="1647"/>
      <c r="DZ137" s="1647"/>
      <c r="EA137" s="1647"/>
      <c r="EB137" s="1647"/>
      <c r="EC137" s="1647"/>
      <c r="ED137" s="1647"/>
      <c r="EE137" s="1647"/>
      <c r="EF137" s="1647"/>
      <c r="EG137" s="1647"/>
      <c r="EH137" s="1647"/>
      <c r="EI137" s="1647"/>
      <c r="EJ137" s="1647"/>
      <c r="EK137" s="1647"/>
      <c r="EL137" s="1647"/>
      <c r="EM137" s="1647"/>
      <c r="EN137" s="1647"/>
      <c r="EO137" s="1647"/>
      <c r="EP137" s="1647"/>
      <c r="EQ137" s="1647"/>
      <c r="ER137" s="1647"/>
      <c r="ES137" s="1647"/>
      <c r="ET137" s="1647"/>
      <c r="EU137" s="1647"/>
      <c r="EV137" s="1647"/>
      <c r="EW137" s="1647"/>
      <c r="EX137" s="1647"/>
      <c r="EY137" s="1647"/>
      <c r="EZ137" s="1647"/>
      <c r="FA137" s="1647"/>
      <c r="FB137" s="1647"/>
      <c r="FC137" s="1647"/>
      <c r="FD137" s="1647"/>
      <c r="FE137" s="1647"/>
      <c r="FF137" s="1647"/>
      <c r="FG137" s="1647"/>
      <c r="FH137" s="1647"/>
      <c r="FI137" s="1647"/>
      <c r="FJ137" s="1647"/>
      <c r="FK137" s="1647"/>
      <c r="FL137" s="1647"/>
      <c r="FM137" s="1647"/>
      <c r="FN137" s="1647"/>
      <c r="FO137" s="1647"/>
      <c r="FP137" s="1647"/>
      <c r="FQ137" s="1647"/>
      <c r="FR137" s="1647"/>
      <c r="FS137" s="1647"/>
      <c r="FT137" s="1647"/>
      <c r="FU137" s="1647"/>
      <c r="FV137" s="1647"/>
      <c r="FW137" s="1647"/>
      <c r="FX137" s="1647"/>
      <c r="FY137" s="1647"/>
      <c r="FZ137" s="1647"/>
      <c r="GA137" s="1647"/>
      <c r="GB137" s="1647"/>
      <c r="GC137" s="1647"/>
      <c r="GD137" s="1647"/>
      <c r="GE137" s="1647"/>
      <c r="GF137" s="1647"/>
      <c r="GG137" s="1647"/>
      <c r="GH137" s="1647"/>
      <c r="GI137" s="1647"/>
      <c r="GJ137" s="1647"/>
      <c r="GK137" s="1647"/>
      <c r="GL137" s="1647"/>
      <c r="GM137" s="1647"/>
      <c r="GN137" s="1647"/>
      <c r="GO137" s="1647"/>
      <c r="GP137" s="1647"/>
      <c r="GQ137" s="1647"/>
      <c r="GR137" s="1647"/>
      <c r="GS137" s="1647"/>
      <c r="GT137" s="1647"/>
      <c r="GU137" s="1647"/>
      <c r="GV137" s="1647"/>
      <c r="GW137" s="1647"/>
      <c r="GX137" s="1647"/>
      <c r="GY137" s="1647"/>
      <c r="GZ137" s="1647"/>
      <c r="HA137" s="1647"/>
      <c r="HB137" s="1647"/>
      <c r="HC137" s="1647"/>
      <c r="HD137" s="1647"/>
      <c r="HE137" s="1647"/>
      <c r="HF137" s="1647"/>
      <c r="HG137" s="1647"/>
      <c r="HH137" s="1647"/>
      <c r="HI137" s="1647"/>
      <c r="HJ137" s="1647"/>
      <c r="HK137" s="1647"/>
      <c r="HL137" s="1647"/>
      <c r="HM137" s="1647"/>
      <c r="HN137" s="1647"/>
      <c r="HO137" s="1647"/>
      <c r="HP137" s="1647"/>
      <c r="HQ137" s="1647"/>
      <c r="HR137" s="1647"/>
      <c r="HS137" s="1647"/>
      <c r="HT137" s="1647"/>
      <c r="HU137" s="1647"/>
      <c r="HV137" s="1647"/>
      <c r="HW137" s="1647"/>
      <c r="HX137" s="1647"/>
      <c r="HY137" s="1647"/>
      <c r="HZ137" s="1647"/>
      <c r="IA137" s="1647"/>
      <c r="IB137" s="1647"/>
      <c r="IC137" s="1647"/>
      <c r="ID137" s="1647"/>
      <c r="IE137" s="1647"/>
      <c r="IF137" s="1647"/>
      <c r="IG137" s="1647"/>
      <c r="IH137" s="1647"/>
      <c r="II137" s="1647"/>
      <c r="IJ137" s="1647"/>
      <c r="IK137" s="1647"/>
      <c r="IL137" s="1647"/>
      <c r="IM137" s="1647"/>
      <c r="IN137" s="1647"/>
      <c r="IO137" s="1647"/>
      <c r="IP137" s="1647"/>
      <c r="IQ137" s="1647"/>
      <c r="IR137" s="1647"/>
      <c r="IS137" s="1647"/>
      <c r="IT137" s="1647"/>
      <c r="IU137" s="1647"/>
      <c r="IV137" s="1647"/>
      <c r="IW137" s="1647"/>
      <c r="IX137" s="1647"/>
      <c r="IY137" s="1647"/>
      <c r="IZ137" s="1647"/>
      <c r="JA137" s="1647"/>
      <c r="JB137" s="1647"/>
      <c r="JC137" s="1647"/>
      <c r="JD137" s="1647"/>
      <c r="JE137" s="1647"/>
      <c r="JF137" s="1647"/>
      <c r="JG137" s="1647"/>
      <c r="JH137" s="1647"/>
      <c r="JI137" s="1647"/>
      <c r="JJ137" s="1647"/>
      <c r="JK137" s="1647"/>
      <c r="JL137" s="1647"/>
      <c r="JM137" s="1647"/>
      <c r="JN137" s="1647"/>
      <c r="JO137" s="1647"/>
      <c r="JP137" s="1647"/>
      <c r="JQ137" s="1647"/>
      <c r="JR137" s="1647"/>
      <c r="JS137" s="1647"/>
      <c r="JT137" s="1647"/>
      <c r="JU137" s="1647"/>
      <c r="JV137" s="1647"/>
      <c r="JW137" s="1647"/>
      <c r="JX137" s="1647"/>
      <c r="JY137" s="1647"/>
      <c r="JZ137" s="1647"/>
      <c r="KA137" s="1647"/>
      <c r="KB137" s="1647"/>
      <c r="KC137" s="1647"/>
      <c r="KD137" s="1647"/>
      <c r="KE137" s="1647"/>
      <c r="KF137" s="1647"/>
      <c r="KG137" s="1647"/>
      <c r="KH137" s="1647"/>
      <c r="KI137" s="1647"/>
      <c r="KJ137" s="1647"/>
      <c r="KK137" s="1647"/>
      <c r="KL137" s="1647"/>
      <c r="KM137" s="1647"/>
      <c r="KN137" s="1647"/>
      <c r="KO137" s="1647"/>
      <c r="KP137" s="1647"/>
      <c r="KQ137" s="1647"/>
      <c r="KR137" s="1647"/>
      <c r="KS137" s="1647"/>
      <c r="KT137" s="1647"/>
      <c r="KU137" s="1647"/>
      <c r="KV137" s="1647"/>
      <c r="KW137" s="1647"/>
      <c r="KX137" s="1647"/>
      <c r="KY137" s="1647"/>
      <c r="KZ137" s="1647"/>
      <c r="LA137" s="1647"/>
      <c r="LB137" s="1647"/>
      <c r="LC137" s="1647"/>
      <c r="LD137" s="1647"/>
      <c r="LE137" s="1647"/>
      <c r="LF137" s="1647"/>
      <c r="LG137" s="1647"/>
      <c r="LH137" s="1647"/>
      <c r="LI137" s="1647"/>
      <c r="LJ137" s="1647"/>
      <c r="LK137" s="1647"/>
      <c r="LL137" s="1647"/>
      <c r="LM137" s="1647"/>
      <c r="LN137" s="1647"/>
      <c r="LO137" s="1647"/>
      <c r="LP137" s="1647"/>
      <c r="LQ137" s="1647"/>
      <c r="LR137" s="1647"/>
      <c r="LS137" s="1647"/>
      <c r="LT137" s="1647"/>
      <c r="LU137" s="1647"/>
      <c r="LV137" s="1647"/>
      <c r="LW137" s="1647"/>
      <c r="LX137" s="1647"/>
      <c r="LY137" s="1647"/>
      <c r="LZ137" s="1647"/>
      <c r="MA137" s="1647"/>
      <c r="MB137" s="1647"/>
      <c r="MC137" s="1647"/>
      <c r="MD137" s="1647"/>
      <c r="ME137" s="1647"/>
      <c r="MF137" s="1647"/>
      <c r="MG137" s="1647"/>
      <c r="MH137" s="1647"/>
      <c r="MI137" s="1647"/>
      <c r="MJ137" s="1647"/>
      <c r="MK137" s="1647"/>
      <c r="ML137" s="1647"/>
      <c r="MM137" s="1647"/>
      <c r="MN137" s="1647"/>
      <c r="MO137" s="1647"/>
      <c r="MP137" s="1647"/>
      <c r="MQ137" s="1647"/>
      <c r="MR137" s="1647"/>
      <c r="MS137" s="1647"/>
      <c r="MT137" s="1647"/>
      <c r="MU137" s="1647"/>
      <c r="MV137" s="1647"/>
      <c r="MW137" s="1647"/>
      <c r="MX137" s="1647"/>
      <c r="MY137" s="1647"/>
      <c r="MZ137" s="1647"/>
      <c r="NA137" s="1647"/>
      <c r="NB137" s="1647"/>
      <c r="NC137" s="1647"/>
      <c r="ND137" s="1647"/>
    </row>
    <row r="138" spans="1:368" s="1761" customFormat="1" ht="62.25" customHeight="1" x14ac:dyDescent="0.2">
      <c r="A138" s="1709"/>
      <c r="B138" s="1710"/>
      <c r="C138" s="1711"/>
      <c r="D138" s="1710"/>
      <c r="E138" s="1710"/>
      <c r="F138" s="1711"/>
      <c r="G138" s="1709"/>
      <c r="H138" s="1710"/>
      <c r="I138" s="1711"/>
      <c r="J138" s="4239"/>
      <c r="K138" s="4172"/>
      <c r="L138" s="4169"/>
      <c r="M138" s="4169"/>
      <c r="N138" s="4169"/>
      <c r="O138" s="4169"/>
      <c r="P138" s="4169"/>
      <c r="Q138" s="4172"/>
      <c r="R138" s="4175"/>
      <c r="S138" s="4258"/>
      <c r="T138" s="4172"/>
      <c r="U138" s="4172"/>
      <c r="V138" s="1740" t="s">
        <v>1077</v>
      </c>
      <c r="W138" s="1725">
        <v>7309844</v>
      </c>
      <c r="X138" s="1753">
        <v>7309844</v>
      </c>
      <c r="Y138" s="1753">
        <v>640000</v>
      </c>
      <c r="Z138" s="4215"/>
      <c r="AA138" s="4169"/>
      <c r="AB138" s="4184"/>
      <c r="AC138" s="4184"/>
      <c r="AD138" s="4184"/>
      <c r="AE138" s="4184"/>
      <c r="AF138" s="4184"/>
      <c r="AG138" s="4184"/>
      <c r="AH138" s="4184"/>
      <c r="AI138" s="4184"/>
      <c r="AJ138" s="4184"/>
      <c r="AK138" s="4184"/>
      <c r="AL138" s="4184"/>
      <c r="AM138" s="4184"/>
      <c r="AN138" s="4184"/>
      <c r="AO138" s="4184"/>
      <c r="AP138" s="4184"/>
      <c r="AQ138" s="4184"/>
      <c r="AR138" s="4184"/>
      <c r="AS138" s="4184"/>
      <c r="AT138" s="4184"/>
      <c r="AU138" s="4184"/>
      <c r="AV138" s="4184"/>
      <c r="AW138" s="4184"/>
      <c r="AX138" s="4184"/>
      <c r="AY138" s="4184"/>
      <c r="AZ138" s="4184"/>
      <c r="BA138" s="4178"/>
      <c r="BB138" s="4178"/>
      <c r="BC138" s="4181"/>
      <c r="BD138" s="4184"/>
      <c r="BE138" s="4218"/>
      <c r="BF138" s="4163"/>
      <c r="BG138" s="4163"/>
      <c r="BH138" s="4163"/>
      <c r="BI138" s="4163"/>
      <c r="BJ138" s="4166"/>
      <c r="BK138" s="1724"/>
      <c r="BL138" s="1724"/>
      <c r="BM138" s="1724"/>
      <c r="BN138" s="1724"/>
      <c r="BO138" s="1724"/>
      <c r="BP138" s="1724"/>
      <c r="BQ138" s="1724"/>
      <c r="BR138" s="1724"/>
      <c r="BS138" s="1724"/>
      <c r="BT138" s="1724"/>
      <c r="BU138" s="1724"/>
      <c r="BV138" s="1724"/>
      <c r="BW138" s="1724"/>
      <c r="BX138" s="1724"/>
      <c r="BY138" s="1724"/>
      <c r="BZ138" s="1724"/>
      <c r="CA138" s="1724"/>
      <c r="CB138" s="1724"/>
      <c r="CC138" s="1724"/>
      <c r="CD138" s="1724"/>
      <c r="CE138" s="1724"/>
      <c r="CF138" s="1724"/>
      <c r="CG138" s="1724"/>
      <c r="CH138" s="1724"/>
      <c r="CI138" s="1724"/>
      <c r="CJ138" s="1724"/>
      <c r="CK138" s="1724"/>
      <c r="CL138" s="1724"/>
      <c r="CM138" s="1724"/>
      <c r="CN138" s="1724"/>
      <c r="CO138" s="1724"/>
      <c r="CP138" s="1724"/>
      <c r="CQ138" s="1724"/>
      <c r="CR138" s="1724"/>
      <c r="CS138" s="1724"/>
      <c r="CT138" s="1724"/>
      <c r="CU138" s="1724"/>
      <c r="CV138" s="1724"/>
      <c r="CW138" s="1724"/>
      <c r="CX138" s="1724"/>
      <c r="CY138" s="1647"/>
      <c r="CZ138" s="1647"/>
      <c r="DA138" s="1647"/>
      <c r="DB138" s="1647"/>
      <c r="DC138" s="1647"/>
      <c r="DD138" s="1647"/>
      <c r="DE138" s="1647"/>
      <c r="DF138" s="1647"/>
      <c r="DG138" s="1647"/>
      <c r="DH138" s="1647"/>
      <c r="DI138" s="1647"/>
      <c r="DJ138" s="1647"/>
      <c r="DK138" s="1647"/>
      <c r="DL138" s="1647"/>
      <c r="DM138" s="1647"/>
      <c r="DN138" s="1647"/>
      <c r="DO138" s="1647"/>
      <c r="DP138" s="1647"/>
      <c r="DQ138" s="1647"/>
      <c r="DR138" s="1647"/>
      <c r="DS138" s="1647"/>
      <c r="DT138" s="1647"/>
      <c r="DU138" s="1647"/>
      <c r="DV138" s="1647"/>
      <c r="DW138" s="1647"/>
      <c r="DX138" s="1647"/>
      <c r="DY138" s="1647"/>
      <c r="DZ138" s="1647"/>
      <c r="EA138" s="1647"/>
      <c r="EB138" s="1647"/>
      <c r="EC138" s="1647"/>
      <c r="ED138" s="1647"/>
      <c r="EE138" s="1647"/>
      <c r="EF138" s="1647"/>
      <c r="EG138" s="1647"/>
      <c r="EH138" s="1647"/>
      <c r="EI138" s="1647"/>
      <c r="EJ138" s="1647"/>
      <c r="EK138" s="1647"/>
      <c r="EL138" s="1647"/>
      <c r="EM138" s="1647"/>
      <c r="EN138" s="1647"/>
      <c r="EO138" s="1647"/>
      <c r="EP138" s="1647"/>
      <c r="EQ138" s="1647"/>
      <c r="ER138" s="1647"/>
      <c r="ES138" s="1647"/>
      <c r="ET138" s="1647"/>
      <c r="EU138" s="1647"/>
      <c r="EV138" s="1647"/>
      <c r="EW138" s="1647"/>
      <c r="EX138" s="1647"/>
      <c r="EY138" s="1647"/>
      <c r="EZ138" s="1647"/>
      <c r="FA138" s="1647"/>
      <c r="FB138" s="1647"/>
      <c r="FC138" s="1647"/>
      <c r="FD138" s="1647"/>
      <c r="FE138" s="1647"/>
      <c r="FF138" s="1647"/>
      <c r="FG138" s="1647"/>
      <c r="FH138" s="1647"/>
      <c r="FI138" s="1647"/>
      <c r="FJ138" s="1647"/>
      <c r="FK138" s="1647"/>
      <c r="FL138" s="1647"/>
      <c r="FM138" s="1647"/>
      <c r="FN138" s="1647"/>
      <c r="FO138" s="1647"/>
      <c r="FP138" s="1647"/>
      <c r="FQ138" s="1647"/>
      <c r="FR138" s="1647"/>
      <c r="FS138" s="1647"/>
      <c r="FT138" s="1647"/>
      <c r="FU138" s="1647"/>
      <c r="FV138" s="1647"/>
      <c r="FW138" s="1647"/>
      <c r="FX138" s="1647"/>
      <c r="FY138" s="1647"/>
      <c r="FZ138" s="1647"/>
      <c r="GA138" s="1647"/>
      <c r="GB138" s="1647"/>
      <c r="GC138" s="1647"/>
      <c r="GD138" s="1647"/>
      <c r="GE138" s="1647"/>
      <c r="GF138" s="1647"/>
      <c r="GG138" s="1647"/>
      <c r="GH138" s="1647"/>
      <c r="GI138" s="1647"/>
      <c r="GJ138" s="1647"/>
      <c r="GK138" s="1647"/>
      <c r="GL138" s="1647"/>
      <c r="GM138" s="1647"/>
      <c r="GN138" s="1647"/>
      <c r="GO138" s="1647"/>
      <c r="GP138" s="1647"/>
      <c r="GQ138" s="1647"/>
      <c r="GR138" s="1647"/>
      <c r="GS138" s="1647"/>
      <c r="GT138" s="1647"/>
      <c r="GU138" s="1647"/>
      <c r="GV138" s="1647"/>
      <c r="GW138" s="1647"/>
      <c r="GX138" s="1647"/>
      <c r="GY138" s="1647"/>
      <c r="GZ138" s="1647"/>
      <c r="HA138" s="1647"/>
      <c r="HB138" s="1647"/>
      <c r="HC138" s="1647"/>
      <c r="HD138" s="1647"/>
      <c r="HE138" s="1647"/>
      <c r="HF138" s="1647"/>
      <c r="HG138" s="1647"/>
      <c r="HH138" s="1647"/>
      <c r="HI138" s="1647"/>
      <c r="HJ138" s="1647"/>
      <c r="HK138" s="1647"/>
      <c r="HL138" s="1647"/>
      <c r="HM138" s="1647"/>
      <c r="HN138" s="1647"/>
      <c r="HO138" s="1647"/>
      <c r="HP138" s="1647"/>
      <c r="HQ138" s="1647"/>
      <c r="HR138" s="1647"/>
      <c r="HS138" s="1647"/>
      <c r="HT138" s="1647"/>
      <c r="HU138" s="1647"/>
      <c r="HV138" s="1647"/>
      <c r="HW138" s="1647"/>
      <c r="HX138" s="1647"/>
      <c r="HY138" s="1647"/>
      <c r="HZ138" s="1647"/>
      <c r="IA138" s="1647"/>
      <c r="IB138" s="1647"/>
      <c r="IC138" s="1647"/>
      <c r="ID138" s="1647"/>
      <c r="IE138" s="1647"/>
      <c r="IF138" s="1647"/>
      <c r="IG138" s="1647"/>
      <c r="IH138" s="1647"/>
      <c r="II138" s="1647"/>
      <c r="IJ138" s="1647"/>
      <c r="IK138" s="1647"/>
      <c r="IL138" s="1647"/>
      <c r="IM138" s="1647"/>
      <c r="IN138" s="1647"/>
      <c r="IO138" s="1647"/>
      <c r="IP138" s="1647"/>
      <c r="IQ138" s="1647"/>
      <c r="IR138" s="1647"/>
      <c r="IS138" s="1647"/>
      <c r="IT138" s="1647"/>
      <c r="IU138" s="1647"/>
      <c r="IV138" s="1647"/>
      <c r="IW138" s="1647"/>
      <c r="IX138" s="1647"/>
      <c r="IY138" s="1647"/>
      <c r="IZ138" s="1647"/>
      <c r="JA138" s="1647"/>
      <c r="JB138" s="1647"/>
      <c r="JC138" s="1647"/>
      <c r="JD138" s="1647"/>
      <c r="JE138" s="1647"/>
      <c r="JF138" s="1647"/>
      <c r="JG138" s="1647"/>
      <c r="JH138" s="1647"/>
      <c r="JI138" s="1647"/>
      <c r="JJ138" s="1647"/>
      <c r="JK138" s="1647"/>
      <c r="JL138" s="1647"/>
      <c r="JM138" s="1647"/>
      <c r="JN138" s="1647"/>
      <c r="JO138" s="1647"/>
      <c r="JP138" s="1647"/>
      <c r="JQ138" s="1647"/>
      <c r="JR138" s="1647"/>
      <c r="JS138" s="1647"/>
      <c r="JT138" s="1647"/>
      <c r="JU138" s="1647"/>
      <c r="JV138" s="1647"/>
      <c r="JW138" s="1647"/>
      <c r="JX138" s="1647"/>
      <c r="JY138" s="1647"/>
      <c r="JZ138" s="1647"/>
      <c r="KA138" s="1647"/>
      <c r="KB138" s="1647"/>
      <c r="KC138" s="1647"/>
      <c r="KD138" s="1647"/>
      <c r="KE138" s="1647"/>
      <c r="KF138" s="1647"/>
      <c r="KG138" s="1647"/>
      <c r="KH138" s="1647"/>
      <c r="KI138" s="1647"/>
      <c r="KJ138" s="1647"/>
      <c r="KK138" s="1647"/>
      <c r="KL138" s="1647"/>
      <c r="KM138" s="1647"/>
      <c r="KN138" s="1647"/>
      <c r="KO138" s="1647"/>
      <c r="KP138" s="1647"/>
      <c r="KQ138" s="1647"/>
      <c r="KR138" s="1647"/>
      <c r="KS138" s="1647"/>
      <c r="KT138" s="1647"/>
      <c r="KU138" s="1647"/>
      <c r="KV138" s="1647"/>
      <c r="KW138" s="1647"/>
      <c r="KX138" s="1647"/>
      <c r="KY138" s="1647"/>
      <c r="KZ138" s="1647"/>
      <c r="LA138" s="1647"/>
      <c r="LB138" s="1647"/>
      <c r="LC138" s="1647"/>
      <c r="LD138" s="1647"/>
      <c r="LE138" s="1647"/>
      <c r="LF138" s="1647"/>
      <c r="LG138" s="1647"/>
      <c r="LH138" s="1647"/>
      <c r="LI138" s="1647"/>
      <c r="LJ138" s="1647"/>
      <c r="LK138" s="1647"/>
      <c r="LL138" s="1647"/>
      <c r="LM138" s="1647"/>
      <c r="LN138" s="1647"/>
      <c r="LO138" s="1647"/>
      <c r="LP138" s="1647"/>
      <c r="LQ138" s="1647"/>
      <c r="LR138" s="1647"/>
      <c r="LS138" s="1647"/>
      <c r="LT138" s="1647"/>
      <c r="LU138" s="1647"/>
      <c r="LV138" s="1647"/>
      <c r="LW138" s="1647"/>
      <c r="LX138" s="1647"/>
      <c r="LY138" s="1647"/>
      <c r="LZ138" s="1647"/>
      <c r="MA138" s="1647"/>
      <c r="MB138" s="1647"/>
      <c r="MC138" s="1647"/>
      <c r="MD138" s="1647"/>
      <c r="ME138" s="1647"/>
      <c r="MF138" s="1647"/>
      <c r="MG138" s="1647"/>
      <c r="MH138" s="1647"/>
      <c r="MI138" s="1647"/>
      <c r="MJ138" s="1647"/>
      <c r="MK138" s="1647"/>
      <c r="ML138" s="1647"/>
      <c r="MM138" s="1647"/>
      <c r="MN138" s="1647"/>
      <c r="MO138" s="1647"/>
      <c r="MP138" s="1647"/>
      <c r="MQ138" s="1647"/>
      <c r="MR138" s="1647"/>
      <c r="MS138" s="1647"/>
      <c r="MT138" s="1647"/>
      <c r="MU138" s="1647"/>
      <c r="MV138" s="1647"/>
      <c r="MW138" s="1647"/>
      <c r="MX138" s="1647"/>
      <c r="MY138" s="1647"/>
      <c r="MZ138" s="1647"/>
      <c r="NA138" s="1647"/>
      <c r="NB138" s="1647"/>
      <c r="NC138" s="1647"/>
      <c r="ND138" s="1647"/>
    </row>
    <row r="139" spans="1:368" s="1761" customFormat="1" ht="125.25" customHeight="1" x14ac:dyDescent="0.2">
      <c r="A139" s="1709"/>
      <c r="B139" s="1710"/>
      <c r="C139" s="1711"/>
      <c r="D139" s="1727"/>
      <c r="E139" s="1727"/>
      <c r="F139" s="1728"/>
      <c r="G139" s="1729"/>
      <c r="H139" s="1727"/>
      <c r="I139" s="1728"/>
      <c r="J139" s="4239"/>
      <c r="K139" s="4172"/>
      <c r="L139" s="4169"/>
      <c r="M139" s="4169"/>
      <c r="N139" s="4169"/>
      <c r="O139" s="4169"/>
      <c r="P139" s="4169"/>
      <c r="Q139" s="4172"/>
      <c r="R139" s="4175"/>
      <c r="S139" s="4258"/>
      <c r="T139" s="4172"/>
      <c r="U139" s="4172"/>
      <c r="V139" s="1740" t="s">
        <v>1078</v>
      </c>
      <c r="W139" s="1725">
        <v>27000000</v>
      </c>
      <c r="X139" s="1753">
        <v>27000000</v>
      </c>
      <c r="Y139" s="1753">
        <v>2640000</v>
      </c>
      <c r="Z139" s="4215"/>
      <c r="AA139" s="4169"/>
      <c r="AB139" s="4184"/>
      <c r="AC139" s="4184"/>
      <c r="AD139" s="4184"/>
      <c r="AE139" s="4184"/>
      <c r="AF139" s="4184"/>
      <c r="AG139" s="4184"/>
      <c r="AH139" s="4184"/>
      <c r="AI139" s="4184"/>
      <c r="AJ139" s="4184"/>
      <c r="AK139" s="4184"/>
      <c r="AL139" s="4184"/>
      <c r="AM139" s="4184"/>
      <c r="AN139" s="4184"/>
      <c r="AO139" s="4184"/>
      <c r="AP139" s="4184"/>
      <c r="AQ139" s="4184"/>
      <c r="AR139" s="4184"/>
      <c r="AS139" s="4184"/>
      <c r="AT139" s="4184"/>
      <c r="AU139" s="4184"/>
      <c r="AV139" s="4184"/>
      <c r="AW139" s="4184"/>
      <c r="AX139" s="4184"/>
      <c r="AY139" s="4184"/>
      <c r="AZ139" s="4184"/>
      <c r="BA139" s="4178"/>
      <c r="BB139" s="4178"/>
      <c r="BC139" s="4181"/>
      <c r="BD139" s="4184"/>
      <c r="BE139" s="4218"/>
      <c r="BF139" s="4163"/>
      <c r="BG139" s="4163"/>
      <c r="BH139" s="4163"/>
      <c r="BI139" s="4163"/>
      <c r="BJ139" s="4166"/>
      <c r="BK139" s="1724"/>
      <c r="BL139" s="1724"/>
      <c r="BM139" s="1724"/>
      <c r="BN139" s="1724"/>
      <c r="BO139" s="1724"/>
      <c r="BP139" s="1724"/>
      <c r="BQ139" s="1724"/>
      <c r="BR139" s="1724"/>
      <c r="BS139" s="1724"/>
      <c r="BT139" s="1724"/>
      <c r="BU139" s="1724"/>
      <c r="BV139" s="1724"/>
      <c r="BW139" s="1724"/>
      <c r="BX139" s="1724"/>
      <c r="BY139" s="1724"/>
      <c r="BZ139" s="1724"/>
      <c r="CA139" s="1724"/>
      <c r="CB139" s="1724"/>
      <c r="CC139" s="1724"/>
      <c r="CD139" s="1724"/>
      <c r="CE139" s="1724"/>
      <c r="CF139" s="1724"/>
      <c r="CG139" s="1724"/>
      <c r="CH139" s="1724"/>
      <c r="CI139" s="1724"/>
      <c r="CJ139" s="1724"/>
      <c r="CK139" s="1724"/>
      <c r="CL139" s="1724"/>
      <c r="CM139" s="1724"/>
      <c r="CN139" s="1724"/>
      <c r="CO139" s="1724"/>
      <c r="CP139" s="1724"/>
      <c r="CQ139" s="1724"/>
      <c r="CR139" s="1724"/>
      <c r="CS139" s="1724"/>
      <c r="CT139" s="1724"/>
      <c r="CU139" s="1724"/>
      <c r="CV139" s="1724"/>
      <c r="CW139" s="1724"/>
      <c r="CX139" s="1724"/>
      <c r="CY139" s="1647"/>
      <c r="CZ139" s="1647"/>
      <c r="DA139" s="1647"/>
      <c r="DB139" s="1647"/>
      <c r="DC139" s="1647"/>
      <c r="DD139" s="1647"/>
      <c r="DE139" s="1647"/>
      <c r="DF139" s="1647"/>
      <c r="DG139" s="1647"/>
      <c r="DH139" s="1647"/>
      <c r="DI139" s="1647"/>
      <c r="DJ139" s="1647"/>
      <c r="DK139" s="1647"/>
      <c r="DL139" s="1647"/>
      <c r="DM139" s="1647"/>
      <c r="DN139" s="1647"/>
      <c r="DO139" s="1647"/>
      <c r="DP139" s="1647"/>
      <c r="DQ139" s="1647"/>
      <c r="DR139" s="1647"/>
      <c r="DS139" s="1647"/>
      <c r="DT139" s="1647"/>
      <c r="DU139" s="1647"/>
      <c r="DV139" s="1647"/>
      <c r="DW139" s="1647"/>
      <c r="DX139" s="1647"/>
      <c r="DY139" s="1647"/>
      <c r="DZ139" s="1647"/>
      <c r="EA139" s="1647"/>
      <c r="EB139" s="1647"/>
      <c r="EC139" s="1647"/>
      <c r="ED139" s="1647"/>
      <c r="EE139" s="1647"/>
      <c r="EF139" s="1647"/>
      <c r="EG139" s="1647"/>
      <c r="EH139" s="1647"/>
      <c r="EI139" s="1647"/>
      <c r="EJ139" s="1647"/>
      <c r="EK139" s="1647"/>
      <c r="EL139" s="1647"/>
      <c r="EM139" s="1647"/>
      <c r="EN139" s="1647"/>
      <c r="EO139" s="1647"/>
      <c r="EP139" s="1647"/>
      <c r="EQ139" s="1647"/>
      <c r="ER139" s="1647"/>
      <c r="ES139" s="1647"/>
      <c r="ET139" s="1647"/>
      <c r="EU139" s="1647"/>
      <c r="EV139" s="1647"/>
      <c r="EW139" s="1647"/>
      <c r="EX139" s="1647"/>
      <c r="EY139" s="1647"/>
      <c r="EZ139" s="1647"/>
      <c r="FA139" s="1647"/>
      <c r="FB139" s="1647"/>
      <c r="FC139" s="1647"/>
      <c r="FD139" s="1647"/>
      <c r="FE139" s="1647"/>
      <c r="FF139" s="1647"/>
      <c r="FG139" s="1647"/>
      <c r="FH139" s="1647"/>
      <c r="FI139" s="1647"/>
      <c r="FJ139" s="1647"/>
      <c r="FK139" s="1647"/>
      <c r="FL139" s="1647"/>
      <c r="FM139" s="1647"/>
      <c r="FN139" s="1647"/>
      <c r="FO139" s="1647"/>
      <c r="FP139" s="1647"/>
      <c r="FQ139" s="1647"/>
      <c r="FR139" s="1647"/>
      <c r="FS139" s="1647"/>
      <c r="FT139" s="1647"/>
      <c r="FU139" s="1647"/>
      <c r="FV139" s="1647"/>
      <c r="FW139" s="1647"/>
      <c r="FX139" s="1647"/>
      <c r="FY139" s="1647"/>
      <c r="FZ139" s="1647"/>
      <c r="GA139" s="1647"/>
      <c r="GB139" s="1647"/>
      <c r="GC139" s="1647"/>
      <c r="GD139" s="1647"/>
      <c r="GE139" s="1647"/>
      <c r="GF139" s="1647"/>
      <c r="GG139" s="1647"/>
      <c r="GH139" s="1647"/>
      <c r="GI139" s="1647"/>
      <c r="GJ139" s="1647"/>
      <c r="GK139" s="1647"/>
      <c r="GL139" s="1647"/>
      <c r="GM139" s="1647"/>
      <c r="GN139" s="1647"/>
      <c r="GO139" s="1647"/>
      <c r="GP139" s="1647"/>
      <c r="GQ139" s="1647"/>
      <c r="GR139" s="1647"/>
      <c r="GS139" s="1647"/>
      <c r="GT139" s="1647"/>
      <c r="GU139" s="1647"/>
      <c r="GV139" s="1647"/>
      <c r="GW139" s="1647"/>
      <c r="GX139" s="1647"/>
      <c r="GY139" s="1647"/>
      <c r="GZ139" s="1647"/>
      <c r="HA139" s="1647"/>
      <c r="HB139" s="1647"/>
      <c r="HC139" s="1647"/>
      <c r="HD139" s="1647"/>
      <c r="HE139" s="1647"/>
      <c r="HF139" s="1647"/>
      <c r="HG139" s="1647"/>
      <c r="HH139" s="1647"/>
      <c r="HI139" s="1647"/>
      <c r="HJ139" s="1647"/>
      <c r="HK139" s="1647"/>
      <c r="HL139" s="1647"/>
      <c r="HM139" s="1647"/>
      <c r="HN139" s="1647"/>
      <c r="HO139" s="1647"/>
      <c r="HP139" s="1647"/>
      <c r="HQ139" s="1647"/>
      <c r="HR139" s="1647"/>
      <c r="HS139" s="1647"/>
      <c r="HT139" s="1647"/>
      <c r="HU139" s="1647"/>
      <c r="HV139" s="1647"/>
      <c r="HW139" s="1647"/>
      <c r="HX139" s="1647"/>
      <c r="HY139" s="1647"/>
      <c r="HZ139" s="1647"/>
      <c r="IA139" s="1647"/>
      <c r="IB139" s="1647"/>
      <c r="IC139" s="1647"/>
      <c r="ID139" s="1647"/>
      <c r="IE139" s="1647"/>
      <c r="IF139" s="1647"/>
      <c r="IG139" s="1647"/>
      <c r="IH139" s="1647"/>
      <c r="II139" s="1647"/>
      <c r="IJ139" s="1647"/>
      <c r="IK139" s="1647"/>
      <c r="IL139" s="1647"/>
      <c r="IM139" s="1647"/>
      <c r="IN139" s="1647"/>
      <c r="IO139" s="1647"/>
      <c r="IP139" s="1647"/>
      <c r="IQ139" s="1647"/>
      <c r="IR139" s="1647"/>
      <c r="IS139" s="1647"/>
      <c r="IT139" s="1647"/>
      <c r="IU139" s="1647"/>
      <c r="IV139" s="1647"/>
      <c r="IW139" s="1647"/>
      <c r="IX139" s="1647"/>
      <c r="IY139" s="1647"/>
      <c r="IZ139" s="1647"/>
      <c r="JA139" s="1647"/>
      <c r="JB139" s="1647"/>
      <c r="JC139" s="1647"/>
      <c r="JD139" s="1647"/>
      <c r="JE139" s="1647"/>
      <c r="JF139" s="1647"/>
      <c r="JG139" s="1647"/>
      <c r="JH139" s="1647"/>
      <c r="JI139" s="1647"/>
      <c r="JJ139" s="1647"/>
      <c r="JK139" s="1647"/>
      <c r="JL139" s="1647"/>
      <c r="JM139" s="1647"/>
      <c r="JN139" s="1647"/>
      <c r="JO139" s="1647"/>
      <c r="JP139" s="1647"/>
      <c r="JQ139" s="1647"/>
      <c r="JR139" s="1647"/>
      <c r="JS139" s="1647"/>
      <c r="JT139" s="1647"/>
      <c r="JU139" s="1647"/>
      <c r="JV139" s="1647"/>
      <c r="JW139" s="1647"/>
      <c r="JX139" s="1647"/>
      <c r="JY139" s="1647"/>
      <c r="JZ139" s="1647"/>
      <c r="KA139" s="1647"/>
      <c r="KB139" s="1647"/>
      <c r="KC139" s="1647"/>
      <c r="KD139" s="1647"/>
      <c r="KE139" s="1647"/>
      <c r="KF139" s="1647"/>
      <c r="KG139" s="1647"/>
      <c r="KH139" s="1647"/>
      <c r="KI139" s="1647"/>
      <c r="KJ139" s="1647"/>
      <c r="KK139" s="1647"/>
      <c r="KL139" s="1647"/>
      <c r="KM139" s="1647"/>
      <c r="KN139" s="1647"/>
      <c r="KO139" s="1647"/>
      <c r="KP139" s="1647"/>
      <c r="KQ139" s="1647"/>
      <c r="KR139" s="1647"/>
      <c r="KS139" s="1647"/>
      <c r="KT139" s="1647"/>
      <c r="KU139" s="1647"/>
      <c r="KV139" s="1647"/>
      <c r="KW139" s="1647"/>
      <c r="KX139" s="1647"/>
      <c r="KY139" s="1647"/>
      <c r="KZ139" s="1647"/>
      <c r="LA139" s="1647"/>
      <c r="LB139" s="1647"/>
      <c r="LC139" s="1647"/>
      <c r="LD139" s="1647"/>
      <c r="LE139" s="1647"/>
      <c r="LF139" s="1647"/>
      <c r="LG139" s="1647"/>
      <c r="LH139" s="1647"/>
      <c r="LI139" s="1647"/>
      <c r="LJ139" s="1647"/>
      <c r="LK139" s="1647"/>
      <c r="LL139" s="1647"/>
      <c r="LM139" s="1647"/>
      <c r="LN139" s="1647"/>
      <c r="LO139" s="1647"/>
      <c r="LP139" s="1647"/>
      <c r="LQ139" s="1647"/>
      <c r="LR139" s="1647"/>
      <c r="LS139" s="1647"/>
      <c r="LT139" s="1647"/>
      <c r="LU139" s="1647"/>
      <c r="LV139" s="1647"/>
      <c r="LW139" s="1647"/>
      <c r="LX139" s="1647"/>
      <c r="LY139" s="1647"/>
      <c r="LZ139" s="1647"/>
      <c r="MA139" s="1647"/>
      <c r="MB139" s="1647"/>
      <c r="MC139" s="1647"/>
      <c r="MD139" s="1647"/>
      <c r="ME139" s="1647"/>
      <c r="MF139" s="1647"/>
      <c r="MG139" s="1647"/>
      <c r="MH139" s="1647"/>
      <c r="MI139" s="1647"/>
      <c r="MJ139" s="1647"/>
      <c r="MK139" s="1647"/>
      <c r="ML139" s="1647"/>
      <c r="MM139" s="1647"/>
      <c r="MN139" s="1647"/>
      <c r="MO139" s="1647"/>
      <c r="MP139" s="1647"/>
      <c r="MQ139" s="1647"/>
      <c r="MR139" s="1647"/>
      <c r="MS139" s="1647"/>
      <c r="MT139" s="1647"/>
      <c r="MU139" s="1647"/>
      <c r="MV139" s="1647"/>
      <c r="MW139" s="1647"/>
      <c r="MX139" s="1647"/>
      <c r="MY139" s="1647"/>
      <c r="MZ139" s="1647"/>
      <c r="NA139" s="1647"/>
      <c r="NB139" s="1647"/>
      <c r="NC139" s="1647"/>
      <c r="ND139" s="1647"/>
    </row>
    <row r="140" spans="1:368" s="1688" customFormat="1" ht="15" x14ac:dyDescent="0.2">
      <c r="A140" s="1697"/>
      <c r="C140" s="1730"/>
      <c r="D140" s="1804">
        <v>13</v>
      </c>
      <c r="E140" s="1805" t="s">
        <v>1079</v>
      </c>
      <c r="F140" s="1805"/>
      <c r="G140" s="1806"/>
      <c r="H140" s="1806"/>
      <c r="I140" s="1806"/>
      <c r="J140" s="1806"/>
      <c r="K140" s="1807"/>
      <c r="L140" s="1806"/>
      <c r="M140" s="1806"/>
      <c r="N140" s="1806"/>
      <c r="O140" s="1808"/>
      <c r="P140" s="1806"/>
      <c r="Q140" s="1807"/>
      <c r="R140" s="1806"/>
      <c r="S140" s="1806"/>
      <c r="T140" s="1806"/>
      <c r="U140" s="1807"/>
      <c r="V140" s="1807"/>
      <c r="W140" s="1809"/>
      <c r="X140" s="1809"/>
      <c r="Y140" s="1809"/>
      <c r="Z140" s="1810"/>
      <c r="AA140" s="1808"/>
      <c r="AB140" s="1808"/>
      <c r="AC140" s="1808"/>
      <c r="AD140" s="1808"/>
      <c r="AE140" s="1808"/>
      <c r="AF140" s="1808"/>
      <c r="AG140" s="1808"/>
      <c r="AH140" s="1808"/>
      <c r="AI140" s="1808"/>
      <c r="AJ140" s="1808"/>
      <c r="AK140" s="1808"/>
      <c r="AL140" s="1808"/>
      <c r="AM140" s="1808"/>
      <c r="AN140" s="1808"/>
      <c r="AO140" s="1808"/>
      <c r="AP140" s="1808"/>
      <c r="AQ140" s="1808"/>
      <c r="AR140" s="1808"/>
      <c r="AS140" s="1808"/>
      <c r="AT140" s="1808"/>
      <c r="AU140" s="1808"/>
      <c r="AV140" s="1808"/>
      <c r="AW140" s="1808"/>
      <c r="AX140" s="1808"/>
      <c r="AY140" s="1808"/>
      <c r="AZ140" s="1808"/>
      <c r="BA140" s="1808"/>
      <c r="BB140" s="1808"/>
      <c r="BC140" s="1808"/>
      <c r="BD140" s="1808"/>
      <c r="BE140" s="1808"/>
      <c r="BF140" s="1806"/>
      <c r="BG140" s="1806"/>
      <c r="BH140" s="1806"/>
      <c r="BI140" s="1806"/>
      <c r="BJ140" s="1811"/>
      <c r="BK140" s="1687"/>
      <c r="BL140" s="1687"/>
      <c r="BM140" s="1687"/>
      <c r="BN140" s="1687"/>
      <c r="BO140" s="1687"/>
      <c r="BP140" s="1687"/>
    </row>
    <row r="141" spans="1:368" s="1688" customFormat="1" ht="15" x14ac:dyDescent="0.2">
      <c r="A141" s="1697"/>
      <c r="B141" s="1698"/>
      <c r="C141" s="1699"/>
      <c r="D141" s="4249"/>
      <c r="E141" s="4249"/>
      <c r="F141" s="4250"/>
      <c r="G141" s="1737">
        <v>47</v>
      </c>
      <c r="H141" s="1703" t="s">
        <v>1080</v>
      </c>
      <c r="I141" s="1703"/>
      <c r="J141" s="1703"/>
      <c r="K141" s="1704"/>
      <c r="L141" s="1703"/>
      <c r="M141" s="1703"/>
      <c r="N141" s="1703"/>
      <c r="O141" s="1705"/>
      <c r="P141" s="1703"/>
      <c r="Q141" s="1704"/>
      <c r="R141" s="1703"/>
      <c r="S141" s="1703"/>
      <c r="T141" s="1703"/>
      <c r="U141" s="1704"/>
      <c r="V141" s="1704"/>
      <c r="W141" s="1706"/>
      <c r="X141" s="1706"/>
      <c r="Y141" s="1706"/>
      <c r="Z141" s="1738"/>
      <c r="AA141" s="1705"/>
      <c r="AB141" s="1705"/>
      <c r="AC141" s="1705"/>
      <c r="AD141" s="1705"/>
      <c r="AE141" s="1705"/>
      <c r="AF141" s="1705"/>
      <c r="AG141" s="1705"/>
      <c r="AH141" s="1705"/>
      <c r="AI141" s="1705"/>
      <c r="AJ141" s="1705"/>
      <c r="AK141" s="1705"/>
      <c r="AL141" s="1705"/>
      <c r="AM141" s="1705"/>
      <c r="AN141" s="1705"/>
      <c r="AO141" s="1705"/>
      <c r="AP141" s="1705"/>
      <c r="AQ141" s="1705"/>
      <c r="AR141" s="1705"/>
      <c r="AS141" s="1705"/>
      <c r="AT141" s="1705"/>
      <c r="AU141" s="1705"/>
      <c r="AV141" s="1705"/>
      <c r="AW141" s="1705"/>
      <c r="AX141" s="1705"/>
      <c r="AY141" s="1705"/>
      <c r="AZ141" s="1705"/>
      <c r="BA141" s="1705"/>
      <c r="BB141" s="1705"/>
      <c r="BC141" s="1705"/>
      <c r="BD141" s="1705"/>
      <c r="BE141" s="1705"/>
      <c r="BF141" s="1703"/>
      <c r="BG141" s="1703"/>
      <c r="BH141" s="1703"/>
      <c r="BI141" s="1703"/>
      <c r="BJ141" s="1739"/>
      <c r="BK141" s="1687"/>
      <c r="BL141" s="1687"/>
      <c r="BM141" s="1687"/>
      <c r="BN141" s="1687"/>
      <c r="BO141" s="1687"/>
      <c r="BP141" s="1687"/>
    </row>
    <row r="142" spans="1:368" ht="99" customHeight="1" x14ac:dyDescent="0.2">
      <c r="A142" s="1697"/>
      <c r="B142" s="1698"/>
      <c r="C142" s="1699"/>
      <c r="D142" s="4251"/>
      <c r="E142" s="4251"/>
      <c r="F142" s="4252"/>
      <c r="G142" s="1812"/>
      <c r="H142" s="1813"/>
      <c r="I142" s="1814"/>
      <c r="J142" s="1815">
        <v>163</v>
      </c>
      <c r="K142" s="1716" t="s">
        <v>1081</v>
      </c>
      <c r="L142" s="1757" t="s">
        <v>324</v>
      </c>
      <c r="M142" s="1816">
        <v>12</v>
      </c>
      <c r="N142" s="1816">
        <v>0</v>
      </c>
      <c r="O142" s="1715" t="s">
        <v>1082</v>
      </c>
      <c r="P142" s="4168">
        <v>153</v>
      </c>
      <c r="Q142" s="4240" t="s">
        <v>1083</v>
      </c>
      <c r="R142" s="1817">
        <f>W142/S142</f>
        <v>1.8274773108713273E-3</v>
      </c>
      <c r="S142" s="4255">
        <v>15894041380</v>
      </c>
      <c r="T142" s="4240" t="s">
        <v>1084</v>
      </c>
      <c r="U142" s="1818" t="s">
        <v>1085</v>
      </c>
      <c r="V142" s="1819" t="s">
        <v>1086</v>
      </c>
      <c r="W142" s="1725">
        <v>29046000</v>
      </c>
      <c r="X142" s="1820">
        <v>0</v>
      </c>
      <c r="Y142" s="1820">
        <v>0</v>
      </c>
      <c r="Z142" s="1821">
        <v>72</v>
      </c>
      <c r="AA142" s="1822" t="s">
        <v>1087</v>
      </c>
      <c r="AB142" s="4246">
        <v>64149</v>
      </c>
      <c r="AC142" s="4246">
        <f>SUM(AB142*0.98)</f>
        <v>62866.02</v>
      </c>
      <c r="AD142" s="4246">
        <v>72224</v>
      </c>
      <c r="AE142" s="4246">
        <f>SUM(AD142*0.98)</f>
        <v>70779.520000000004</v>
      </c>
      <c r="AF142" s="4246">
        <v>27477</v>
      </c>
      <c r="AG142" s="4246">
        <f>SUM(AF142*0.98)</f>
        <v>26927.46</v>
      </c>
      <c r="AH142" s="4246">
        <v>86843</v>
      </c>
      <c r="AI142" s="4246">
        <f>SUM(AH142*0.98)</f>
        <v>85106.14</v>
      </c>
      <c r="AJ142" s="4246">
        <v>236429</v>
      </c>
      <c r="AK142" s="4246">
        <f>SUM(AJ142*0.98)</f>
        <v>231700.41999999998</v>
      </c>
      <c r="AL142" s="4246">
        <v>81384</v>
      </c>
      <c r="AM142" s="4246">
        <f>SUM(AL142*0.98)</f>
        <v>79756.319999999992</v>
      </c>
      <c r="AN142" s="4246">
        <v>13208</v>
      </c>
      <c r="AO142" s="4246">
        <f>SUM(AN142*0.98)</f>
        <v>12943.84</v>
      </c>
      <c r="AP142" s="4246">
        <v>2145</v>
      </c>
      <c r="AQ142" s="4246">
        <f>SUM(AP142*0.98)</f>
        <v>2102.1</v>
      </c>
      <c r="AR142" s="4246">
        <v>413</v>
      </c>
      <c r="AS142" s="4246">
        <f>SUM(AR142*0.98)</f>
        <v>404.74</v>
      </c>
      <c r="AT142" s="4246">
        <v>520</v>
      </c>
      <c r="AU142" s="4246">
        <f>SUM(AT142*0.98)</f>
        <v>509.59999999999997</v>
      </c>
      <c r="AV142" s="4246">
        <v>16897</v>
      </c>
      <c r="AW142" s="4246">
        <f>SUM(AV142*0.98)</f>
        <v>16559.060000000001</v>
      </c>
      <c r="AX142" s="4246">
        <v>75612</v>
      </c>
      <c r="AY142" s="4246">
        <f>SUM(AX142*0.98)</f>
        <v>74099.759999999995</v>
      </c>
      <c r="AZ142" s="4246">
        <v>13</v>
      </c>
      <c r="BA142" s="4243">
        <v>15505056560</v>
      </c>
      <c r="BB142" s="4243">
        <v>3876264892</v>
      </c>
      <c r="BC142" s="4174">
        <f>+BB142/BA142</f>
        <v>0.25000004850030677</v>
      </c>
      <c r="BD142" s="4246" t="s">
        <v>1088</v>
      </c>
      <c r="BE142" s="4246" t="s">
        <v>1089</v>
      </c>
      <c r="BF142" s="4223">
        <v>42948</v>
      </c>
      <c r="BG142" s="4162">
        <v>42736</v>
      </c>
      <c r="BH142" s="4223">
        <v>43100</v>
      </c>
      <c r="BI142" s="4162">
        <v>43100</v>
      </c>
      <c r="BJ142" s="4186" t="s">
        <v>880</v>
      </c>
    </row>
    <row r="143" spans="1:368" s="1743" customFormat="1" ht="35.1" customHeight="1" x14ac:dyDescent="0.2">
      <c r="A143" s="1697"/>
      <c r="B143" s="1698"/>
      <c r="C143" s="1699"/>
      <c r="D143" s="4251"/>
      <c r="E143" s="4251"/>
      <c r="F143" s="4252"/>
      <c r="G143" s="1737">
        <v>48</v>
      </c>
      <c r="H143" s="1703" t="s">
        <v>1090</v>
      </c>
      <c r="I143" s="1703"/>
      <c r="J143" s="1703"/>
      <c r="K143" s="1704"/>
      <c r="L143" s="1703"/>
      <c r="M143" s="1703"/>
      <c r="N143" s="1703"/>
      <c r="O143" s="1705"/>
      <c r="P143" s="4169"/>
      <c r="Q143" s="4240"/>
      <c r="R143" s="1703"/>
      <c r="S143" s="4255"/>
      <c r="T143" s="4240"/>
      <c r="U143" s="1704"/>
      <c r="V143" s="1704"/>
      <c r="W143" s="1706"/>
      <c r="X143" s="1706"/>
      <c r="Y143" s="1706"/>
      <c r="Z143" s="1706"/>
      <c r="AA143" s="1705"/>
      <c r="AB143" s="4247"/>
      <c r="AC143" s="4247"/>
      <c r="AD143" s="4247"/>
      <c r="AE143" s="4247"/>
      <c r="AF143" s="4247"/>
      <c r="AG143" s="4247"/>
      <c r="AH143" s="4247"/>
      <c r="AI143" s="4247"/>
      <c r="AJ143" s="4247"/>
      <c r="AK143" s="4247"/>
      <c r="AL143" s="4247"/>
      <c r="AM143" s="4247"/>
      <c r="AN143" s="4247"/>
      <c r="AO143" s="4247"/>
      <c r="AP143" s="4247"/>
      <c r="AQ143" s="4247"/>
      <c r="AR143" s="4247"/>
      <c r="AS143" s="4247"/>
      <c r="AT143" s="4247"/>
      <c r="AU143" s="4247"/>
      <c r="AV143" s="4247"/>
      <c r="AW143" s="4247"/>
      <c r="AX143" s="4247"/>
      <c r="AY143" s="4247"/>
      <c r="AZ143" s="4247"/>
      <c r="BA143" s="4244"/>
      <c r="BB143" s="4244"/>
      <c r="BC143" s="4175"/>
      <c r="BD143" s="4247"/>
      <c r="BE143" s="4247"/>
      <c r="BF143" s="4223"/>
      <c r="BG143" s="4163"/>
      <c r="BH143" s="4223"/>
      <c r="BI143" s="4163"/>
      <c r="BJ143" s="4186"/>
      <c r="BK143" s="1687"/>
      <c r="BL143" s="1687"/>
      <c r="BM143" s="1687"/>
      <c r="BN143" s="1687"/>
      <c r="BO143" s="1687"/>
      <c r="BP143" s="1687"/>
    </row>
    <row r="144" spans="1:368" ht="32.25" customHeight="1" x14ac:dyDescent="0.2">
      <c r="A144" s="1697"/>
      <c r="B144" s="1698"/>
      <c r="C144" s="1699"/>
      <c r="D144" s="4251"/>
      <c r="E144" s="4251"/>
      <c r="F144" s="4252"/>
      <c r="G144" s="1712"/>
      <c r="H144" s="1713"/>
      <c r="I144" s="1714"/>
      <c r="J144" s="4239">
        <v>164</v>
      </c>
      <c r="K144" s="4240" t="s">
        <v>1091</v>
      </c>
      <c r="L144" s="4239" t="s">
        <v>324</v>
      </c>
      <c r="M144" s="4239">
        <v>12</v>
      </c>
      <c r="N144" s="4168">
        <v>12</v>
      </c>
      <c r="O144" s="1717" t="s">
        <v>1092</v>
      </c>
      <c r="P144" s="4169"/>
      <c r="Q144" s="4240"/>
      <c r="R144" s="4241">
        <f>W144/S142</f>
        <v>0.99685673902530136</v>
      </c>
      <c r="S144" s="4255"/>
      <c r="T144" s="4240"/>
      <c r="U144" s="4240" t="s">
        <v>1093</v>
      </c>
      <c r="V144" s="4240" t="s">
        <v>1210</v>
      </c>
      <c r="W144" s="4256">
        <v>15844082260</v>
      </c>
      <c r="X144" s="4228">
        <v>15505056560</v>
      </c>
      <c r="Y144" s="4228">
        <v>3876264892</v>
      </c>
      <c r="Z144" s="1823">
        <v>64</v>
      </c>
      <c r="AA144" s="1717" t="s">
        <v>1094</v>
      </c>
      <c r="AB144" s="4247"/>
      <c r="AC144" s="4247"/>
      <c r="AD144" s="4247"/>
      <c r="AE144" s="4247"/>
      <c r="AF144" s="4247"/>
      <c r="AG144" s="4247"/>
      <c r="AH144" s="4247"/>
      <c r="AI144" s="4247"/>
      <c r="AJ144" s="4247"/>
      <c r="AK144" s="4247"/>
      <c r="AL144" s="4247"/>
      <c r="AM144" s="4247"/>
      <c r="AN144" s="4247"/>
      <c r="AO144" s="4247"/>
      <c r="AP144" s="4247"/>
      <c r="AQ144" s="4247"/>
      <c r="AR144" s="4247"/>
      <c r="AS144" s="4247"/>
      <c r="AT144" s="4247"/>
      <c r="AU144" s="4247"/>
      <c r="AV144" s="4247"/>
      <c r="AW144" s="4247"/>
      <c r="AX144" s="4247"/>
      <c r="AY144" s="4247"/>
      <c r="AZ144" s="4247"/>
      <c r="BA144" s="4244"/>
      <c r="BB144" s="4244"/>
      <c r="BC144" s="4175"/>
      <c r="BD144" s="4247"/>
      <c r="BE144" s="4247"/>
      <c r="BF144" s="4223"/>
      <c r="BG144" s="4163"/>
      <c r="BH144" s="4223"/>
      <c r="BI144" s="4163"/>
      <c r="BJ144" s="4186"/>
    </row>
    <row r="145" spans="1:239" ht="57.75" customHeight="1" x14ac:dyDescent="0.2">
      <c r="A145" s="1697"/>
      <c r="B145" s="1698"/>
      <c r="C145" s="1699"/>
      <c r="D145" s="4251"/>
      <c r="E145" s="4251"/>
      <c r="F145" s="4252"/>
      <c r="G145" s="1729"/>
      <c r="H145" s="1727"/>
      <c r="I145" s="1728"/>
      <c r="J145" s="4239"/>
      <c r="K145" s="4240"/>
      <c r="L145" s="4239"/>
      <c r="M145" s="4239"/>
      <c r="N145" s="4170"/>
      <c r="O145" s="1757" t="s">
        <v>1095</v>
      </c>
      <c r="P145" s="4169"/>
      <c r="Q145" s="4240"/>
      <c r="R145" s="4242"/>
      <c r="S145" s="4255"/>
      <c r="T145" s="4240"/>
      <c r="U145" s="4240"/>
      <c r="V145" s="4240"/>
      <c r="W145" s="4256"/>
      <c r="X145" s="4229"/>
      <c r="Y145" s="4229"/>
      <c r="Z145" s="1824">
        <v>71</v>
      </c>
      <c r="AA145" s="1757" t="s">
        <v>1096</v>
      </c>
      <c r="AB145" s="4247"/>
      <c r="AC145" s="4247"/>
      <c r="AD145" s="4247"/>
      <c r="AE145" s="4247"/>
      <c r="AF145" s="4247"/>
      <c r="AG145" s="4247"/>
      <c r="AH145" s="4247"/>
      <c r="AI145" s="4247"/>
      <c r="AJ145" s="4247"/>
      <c r="AK145" s="4247"/>
      <c r="AL145" s="4247"/>
      <c r="AM145" s="4247"/>
      <c r="AN145" s="4247"/>
      <c r="AO145" s="4247"/>
      <c r="AP145" s="4247"/>
      <c r="AQ145" s="4247"/>
      <c r="AR145" s="4247"/>
      <c r="AS145" s="4247"/>
      <c r="AT145" s="4247"/>
      <c r="AU145" s="4247"/>
      <c r="AV145" s="4247"/>
      <c r="AW145" s="4247"/>
      <c r="AX145" s="4247"/>
      <c r="AY145" s="4247"/>
      <c r="AZ145" s="4247"/>
      <c r="BA145" s="4244"/>
      <c r="BB145" s="4244"/>
      <c r="BC145" s="4175"/>
      <c r="BD145" s="4247"/>
      <c r="BE145" s="4247"/>
      <c r="BF145" s="4223"/>
      <c r="BG145" s="4163"/>
      <c r="BH145" s="4223"/>
      <c r="BI145" s="4163"/>
      <c r="BJ145" s="4186"/>
      <c r="BL145" s="1723"/>
    </row>
    <row r="146" spans="1:239" s="1743" customFormat="1" ht="35.1" customHeight="1" x14ac:dyDescent="0.2">
      <c r="A146" s="1697"/>
      <c r="B146" s="1698"/>
      <c r="C146" s="1699"/>
      <c r="D146" s="4251"/>
      <c r="E146" s="4251"/>
      <c r="F146" s="4252"/>
      <c r="G146" s="1737">
        <v>49</v>
      </c>
      <c r="H146" s="1703" t="s">
        <v>1097</v>
      </c>
      <c r="I146" s="1703"/>
      <c r="J146" s="1703"/>
      <c r="K146" s="1704"/>
      <c r="L146" s="1703"/>
      <c r="M146" s="1703"/>
      <c r="N146" s="1703"/>
      <c r="O146" s="1705"/>
      <c r="P146" s="4169"/>
      <c r="Q146" s="4240"/>
      <c r="R146" s="1703"/>
      <c r="S146" s="4255"/>
      <c r="T146" s="4240"/>
      <c r="U146" s="1704"/>
      <c r="V146" s="1704"/>
      <c r="W146" s="1706"/>
      <c r="X146" s="1706"/>
      <c r="Y146" s="1706"/>
      <c r="Z146" s="1706"/>
      <c r="AA146" s="1705"/>
      <c r="AB146" s="4247"/>
      <c r="AC146" s="4247"/>
      <c r="AD146" s="4247"/>
      <c r="AE146" s="4247"/>
      <c r="AF146" s="4247"/>
      <c r="AG146" s="4247"/>
      <c r="AH146" s="4247"/>
      <c r="AI146" s="4247"/>
      <c r="AJ146" s="4247"/>
      <c r="AK146" s="4247"/>
      <c r="AL146" s="4247"/>
      <c r="AM146" s="4247"/>
      <c r="AN146" s="4247"/>
      <c r="AO146" s="4247"/>
      <c r="AP146" s="4247"/>
      <c r="AQ146" s="4247"/>
      <c r="AR146" s="4247"/>
      <c r="AS146" s="4247"/>
      <c r="AT146" s="4247"/>
      <c r="AU146" s="4247"/>
      <c r="AV146" s="4247"/>
      <c r="AW146" s="4247"/>
      <c r="AX146" s="4247"/>
      <c r="AY146" s="4247"/>
      <c r="AZ146" s="4247"/>
      <c r="BA146" s="4244"/>
      <c r="BB146" s="4244"/>
      <c r="BC146" s="4175"/>
      <c r="BD146" s="4247"/>
      <c r="BE146" s="4247"/>
      <c r="BF146" s="4223"/>
      <c r="BG146" s="4163"/>
      <c r="BH146" s="4223"/>
      <c r="BI146" s="4163"/>
      <c r="BJ146" s="4186"/>
      <c r="BK146" s="1687"/>
      <c r="BL146" s="1687"/>
      <c r="BM146" s="1687"/>
      <c r="BN146" s="1687"/>
      <c r="BO146" s="1687"/>
      <c r="BP146" s="1687"/>
    </row>
    <row r="147" spans="1:239" ht="85.5" customHeight="1" x14ac:dyDescent="0.2">
      <c r="A147" s="1697"/>
      <c r="B147" s="1698"/>
      <c r="C147" s="1699"/>
      <c r="D147" s="4253"/>
      <c r="E147" s="4253"/>
      <c r="F147" s="4254"/>
      <c r="G147" s="1812"/>
      <c r="H147" s="1813"/>
      <c r="I147" s="1814"/>
      <c r="J147" s="1815">
        <v>165</v>
      </c>
      <c r="K147" s="1716" t="s">
        <v>1098</v>
      </c>
      <c r="L147" s="1757" t="s">
        <v>324</v>
      </c>
      <c r="M147" s="1816">
        <v>12</v>
      </c>
      <c r="N147" s="1816">
        <v>0</v>
      </c>
      <c r="O147" s="1715" t="s">
        <v>1099</v>
      </c>
      <c r="P147" s="4170"/>
      <c r="Q147" s="4240"/>
      <c r="R147" s="1817">
        <f>W147/S142</f>
        <v>1.3157836638273556E-3</v>
      </c>
      <c r="S147" s="4255"/>
      <c r="T147" s="4240"/>
      <c r="U147" s="1818" t="s">
        <v>1100</v>
      </c>
      <c r="V147" s="1818" t="s">
        <v>1101</v>
      </c>
      <c r="W147" s="1725">
        <v>20913120</v>
      </c>
      <c r="X147" s="1820">
        <v>0</v>
      </c>
      <c r="Y147" s="1820">
        <v>0</v>
      </c>
      <c r="Z147" s="1821">
        <v>72</v>
      </c>
      <c r="AA147" s="1822" t="s">
        <v>1087</v>
      </c>
      <c r="AB147" s="4248"/>
      <c r="AC147" s="4248"/>
      <c r="AD147" s="4248"/>
      <c r="AE147" s="4248"/>
      <c r="AF147" s="4248"/>
      <c r="AG147" s="4248"/>
      <c r="AH147" s="4248"/>
      <c r="AI147" s="4248"/>
      <c r="AJ147" s="4248"/>
      <c r="AK147" s="4248"/>
      <c r="AL147" s="4248"/>
      <c r="AM147" s="4248"/>
      <c r="AN147" s="4248"/>
      <c r="AO147" s="4248"/>
      <c r="AP147" s="4248"/>
      <c r="AQ147" s="4248"/>
      <c r="AR147" s="4248"/>
      <c r="AS147" s="4248"/>
      <c r="AT147" s="4248"/>
      <c r="AU147" s="4248"/>
      <c r="AV147" s="4248"/>
      <c r="AW147" s="4248"/>
      <c r="AX147" s="4248"/>
      <c r="AY147" s="4248"/>
      <c r="AZ147" s="4248"/>
      <c r="BA147" s="4245"/>
      <c r="BB147" s="4245"/>
      <c r="BC147" s="4176"/>
      <c r="BD147" s="4248"/>
      <c r="BE147" s="4248"/>
      <c r="BF147" s="4223"/>
      <c r="BG147" s="4164"/>
      <c r="BH147" s="4223"/>
      <c r="BI147" s="4164"/>
      <c r="BJ147" s="4186"/>
    </row>
    <row r="148" spans="1:239" s="1688" customFormat="1" ht="36" customHeight="1" x14ac:dyDescent="0.2">
      <c r="A148" s="1697"/>
      <c r="C148" s="1730"/>
      <c r="D148" s="1825">
        <v>14</v>
      </c>
      <c r="E148" s="1690" t="s">
        <v>1102</v>
      </c>
      <c r="F148" s="1690"/>
      <c r="G148" s="1691"/>
      <c r="H148" s="1691"/>
      <c r="I148" s="1691"/>
      <c r="J148" s="1691"/>
      <c r="K148" s="1692"/>
      <c r="L148" s="1691"/>
      <c r="M148" s="1691"/>
      <c r="N148" s="1691"/>
      <c r="O148" s="1693"/>
      <c r="P148" s="1691"/>
      <c r="Q148" s="1692"/>
      <c r="R148" s="1691"/>
      <c r="S148" s="1691"/>
      <c r="T148" s="1691"/>
      <c r="U148" s="1692"/>
      <c r="V148" s="1692"/>
      <c r="W148" s="1733"/>
      <c r="X148" s="1733"/>
      <c r="Y148" s="1733"/>
      <c r="Z148" s="1735"/>
      <c r="AA148" s="1693"/>
      <c r="AB148" s="1693"/>
      <c r="AC148" s="1693"/>
      <c r="AD148" s="1693"/>
      <c r="AE148" s="1693"/>
      <c r="AF148" s="1693"/>
      <c r="AG148" s="1693"/>
      <c r="AH148" s="1693"/>
      <c r="AI148" s="1693"/>
      <c r="AJ148" s="1693"/>
      <c r="AK148" s="1693"/>
      <c r="AL148" s="1693"/>
      <c r="AM148" s="1693"/>
      <c r="AN148" s="1693"/>
      <c r="AO148" s="1693"/>
      <c r="AP148" s="1693"/>
      <c r="AQ148" s="1693"/>
      <c r="AR148" s="1693"/>
      <c r="AS148" s="1693"/>
      <c r="AT148" s="1693"/>
      <c r="AU148" s="1693"/>
      <c r="AV148" s="1693"/>
      <c r="AW148" s="1693"/>
      <c r="AX148" s="1693"/>
      <c r="AY148" s="1693"/>
      <c r="AZ148" s="1693"/>
      <c r="BA148" s="1693"/>
      <c r="BB148" s="1693"/>
      <c r="BC148" s="1693"/>
      <c r="BD148" s="1693"/>
      <c r="BE148" s="1693"/>
      <c r="BF148" s="1691"/>
      <c r="BG148" s="1691"/>
      <c r="BH148" s="1691"/>
      <c r="BI148" s="1691"/>
      <c r="BJ148" s="1736"/>
      <c r="BK148" s="1687"/>
      <c r="BL148" s="1687"/>
      <c r="BM148" s="1687"/>
      <c r="BN148" s="1687"/>
      <c r="BO148" s="1687"/>
      <c r="BP148" s="1687"/>
    </row>
    <row r="149" spans="1:239" s="1688" customFormat="1" ht="36" customHeight="1" x14ac:dyDescent="0.2">
      <c r="A149" s="1697"/>
      <c r="B149" s="1698"/>
      <c r="C149" s="1699"/>
      <c r="D149" s="1700"/>
      <c r="E149" s="1700"/>
      <c r="F149" s="1701"/>
      <c r="G149" s="1826">
        <v>50</v>
      </c>
      <c r="H149" s="1827" t="s">
        <v>1103</v>
      </c>
      <c r="I149" s="1827"/>
      <c r="J149" s="1827"/>
      <c r="K149" s="1828"/>
      <c r="L149" s="1827"/>
      <c r="M149" s="1827"/>
      <c r="N149" s="1827"/>
      <c r="O149" s="1829"/>
      <c r="P149" s="1827"/>
      <c r="Q149" s="1828"/>
      <c r="R149" s="1827"/>
      <c r="S149" s="1827"/>
      <c r="T149" s="1827"/>
      <c r="U149" s="1828"/>
      <c r="V149" s="1828"/>
      <c r="W149" s="1830"/>
      <c r="X149" s="1830"/>
      <c r="Y149" s="1830"/>
      <c r="Z149" s="1831"/>
      <c r="AA149" s="1829"/>
      <c r="AB149" s="1829"/>
      <c r="AC149" s="1829"/>
      <c r="AD149" s="1829"/>
      <c r="AE149" s="1829"/>
      <c r="AF149" s="1829"/>
      <c r="AG149" s="1829"/>
      <c r="AH149" s="1829"/>
      <c r="AI149" s="1829"/>
      <c r="AJ149" s="1829"/>
      <c r="AK149" s="1829"/>
      <c r="AL149" s="1829"/>
      <c r="AM149" s="1829"/>
      <c r="AN149" s="1829"/>
      <c r="AO149" s="1829"/>
      <c r="AP149" s="1829"/>
      <c r="AQ149" s="1829"/>
      <c r="AR149" s="1829"/>
      <c r="AS149" s="1829"/>
      <c r="AT149" s="1829"/>
      <c r="AU149" s="1829"/>
      <c r="AV149" s="1829"/>
      <c r="AW149" s="1829"/>
      <c r="AX149" s="1829"/>
      <c r="AY149" s="1829"/>
      <c r="AZ149" s="1829"/>
      <c r="BA149" s="1829"/>
      <c r="BB149" s="1829"/>
      <c r="BC149" s="1829"/>
      <c r="BD149" s="1829"/>
      <c r="BE149" s="1829"/>
      <c r="BF149" s="1827"/>
      <c r="BG149" s="1827"/>
      <c r="BH149" s="1827"/>
      <c r="BI149" s="1827"/>
      <c r="BJ149" s="1832"/>
      <c r="BK149" s="1687"/>
      <c r="BL149" s="1687"/>
      <c r="BM149" s="1687"/>
      <c r="BN149" s="1687"/>
      <c r="BO149" s="1687"/>
      <c r="BP149" s="1687"/>
    </row>
    <row r="150" spans="1:239" s="1833" customFormat="1" ht="61.5" customHeight="1" x14ac:dyDescent="0.2">
      <c r="A150" s="1697"/>
      <c r="B150" s="1698"/>
      <c r="C150" s="1699"/>
      <c r="D150" s="1698"/>
      <c r="E150" s="1698"/>
      <c r="F150" s="1699"/>
      <c r="G150" s="1700"/>
      <c r="H150" s="1700"/>
      <c r="I150" s="1701"/>
      <c r="J150" s="4168">
        <v>166</v>
      </c>
      <c r="K150" s="4171" t="s">
        <v>1104</v>
      </c>
      <c r="L150" s="4168" t="s">
        <v>324</v>
      </c>
      <c r="M150" s="4232">
        <v>1</v>
      </c>
      <c r="N150" s="4234">
        <v>0.25</v>
      </c>
      <c r="O150" s="1717" t="s">
        <v>1105</v>
      </c>
      <c r="P150" s="4234">
        <v>154</v>
      </c>
      <c r="Q150" s="4171" t="s">
        <v>1106</v>
      </c>
      <c r="R150" s="4174">
        <v>0</v>
      </c>
      <c r="S150" s="4237">
        <f>+W150+W152+W153</f>
        <v>19974190244</v>
      </c>
      <c r="T150" s="4171" t="s">
        <v>1107</v>
      </c>
      <c r="U150" s="4159" t="s">
        <v>1108</v>
      </c>
      <c r="V150" s="4227" t="s">
        <v>1109</v>
      </c>
      <c r="W150" s="4228">
        <v>0</v>
      </c>
      <c r="X150" s="4230">
        <v>0</v>
      </c>
      <c r="Y150" s="4230">
        <v>0</v>
      </c>
      <c r="Z150" s="1823">
        <v>110</v>
      </c>
      <c r="AA150" s="1717" t="s">
        <v>1110</v>
      </c>
      <c r="AB150" s="4183">
        <v>64149</v>
      </c>
      <c r="AC150" s="4183">
        <f>SUM(AB150*0.36)</f>
        <v>23093.64</v>
      </c>
      <c r="AD150" s="4183">
        <v>72224</v>
      </c>
      <c r="AE150" s="4183">
        <f>SUM(AD150*0.36)</f>
        <v>26000.639999999999</v>
      </c>
      <c r="AF150" s="4183">
        <v>27477</v>
      </c>
      <c r="AG150" s="4183">
        <f>SUM(AF150*0.36)</f>
        <v>9891.7199999999993</v>
      </c>
      <c r="AH150" s="4183">
        <v>86843</v>
      </c>
      <c r="AI150" s="4183">
        <f>SUM(AH150*0.36)</f>
        <v>31263.48</v>
      </c>
      <c r="AJ150" s="4183">
        <v>236429</v>
      </c>
      <c r="AK150" s="4183">
        <f>SUM(AJ150*0.36)</f>
        <v>85114.44</v>
      </c>
      <c r="AL150" s="4183">
        <v>81384</v>
      </c>
      <c r="AM150" s="4183">
        <f>SUM(AL150*0.36)</f>
        <v>29298.239999999998</v>
      </c>
      <c r="AN150" s="4183">
        <v>13208</v>
      </c>
      <c r="AO150" s="4183">
        <f>SUM(AN150*0.36)</f>
        <v>4754.88</v>
      </c>
      <c r="AP150" s="4197">
        <v>2145</v>
      </c>
      <c r="AQ150" s="4183">
        <f>SUM(AP150*0.36)</f>
        <v>772.19999999999993</v>
      </c>
      <c r="AR150" s="4197">
        <v>413</v>
      </c>
      <c r="AS150" s="4183">
        <f>SUM(AR150*0.36)</f>
        <v>148.68</v>
      </c>
      <c r="AT150" s="4197">
        <v>520</v>
      </c>
      <c r="AU150" s="4183">
        <f>SUM(AT150*0.36)</f>
        <v>187.2</v>
      </c>
      <c r="AV150" s="4197">
        <v>16897</v>
      </c>
      <c r="AW150" s="4183">
        <f>SUM(AV150*0.36)</f>
        <v>6082.92</v>
      </c>
      <c r="AX150" s="4197">
        <v>75612</v>
      </c>
      <c r="AY150" s="4183">
        <f>SUM(AX150*0.36)</f>
        <v>27220.32</v>
      </c>
      <c r="AZ150" s="4183">
        <v>28</v>
      </c>
      <c r="BA150" s="4177">
        <v>4163644240</v>
      </c>
      <c r="BB150" s="4177">
        <v>2326454983</v>
      </c>
      <c r="BC150" s="4180">
        <f>+BB150/BA150</f>
        <v>0.55875450660501191</v>
      </c>
      <c r="BD150" s="4183" t="s">
        <v>1111</v>
      </c>
      <c r="BE150" s="4183" t="s">
        <v>1089</v>
      </c>
      <c r="BF150" s="4162">
        <v>42948</v>
      </c>
      <c r="BG150" s="4162">
        <v>42810</v>
      </c>
      <c r="BH150" s="4162">
        <v>43100</v>
      </c>
      <c r="BI150" s="4162">
        <v>43091</v>
      </c>
      <c r="BJ150" s="4165" t="s">
        <v>880</v>
      </c>
      <c r="BK150" s="1647"/>
      <c r="BL150" s="1724"/>
      <c r="BM150" s="1647"/>
      <c r="BN150" s="1647"/>
      <c r="BO150" s="1647"/>
      <c r="BP150" s="1647"/>
      <c r="BQ150" s="1647"/>
      <c r="BR150" s="1647"/>
      <c r="BS150" s="1647"/>
      <c r="BT150" s="1647"/>
      <c r="BU150" s="1647"/>
      <c r="BV150" s="1647"/>
      <c r="BW150" s="1647"/>
      <c r="BX150" s="1647"/>
      <c r="BY150" s="1647"/>
      <c r="BZ150" s="1647"/>
      <c r="CA150" s="1647"/>
      <c r="CB150" s="1647"/>
      <c r="CC150" s="1647"/>
      <c r="CD150" s="1647"/>
      <c r="CE150" s="1647"/>
      <c r="CF150" s="1647"/>
      <c r="CG150" s="1647"/>
      <c r="CH150" s="1647"/>
      <c r="CI150" s="1647"/>
      <c r="CJ150" s="1647"/>
      <c r="CK150" s="1647"/>
      <c r="CL150" s="1647"/>
      <c r="CM150" s="1647"/>
      <c r="CN150" s="1647"/>
      <c r="CO150" s="1647"/>
      <c r="CP150" s="1647"/>
      <c r="CQ150" s="1647"/>
      <c r="CR150" s="1647"/>
      <c r="CS150" s="1647"/>
      <c r="CT150" s="1647"/>
      <c r="CU150" s="1647"/>
      <c r="CV150" s="1647"/>
      <c r="CW150" s="1647"/>
      <c r="CX150" s="1647"/>
      <c r="CY150" s="1647"/>
      <c r="CZ150" s="1647"/>
      <c r="DA150" s="1647"/>
      <c r="DB150" s="1647"/>
      <c r="DC150" s="1647"/>
      <c r="DD150" s="1647"/>
      <c r="DE150" s="1647"/>
      <c r="DF150" s="1647"/>
      <c r="DG150" s="1647"/>
      <c r="DH150" s="1647"/>
      <c r="DI150" s="1647"/>
      <c r="DJ150" s="1647"/>
      <c r="DK150" s="1647"/>
      <c r="DL150" s="1647"/>
      <c r="DM150" s="1647"/>
      <c r="DN150" s="1647"/>
      <c r="DO150" s="1647"/>
      <c r="DP150" s="1647"/>
      <c r="DQ150" s="1647"/>
      <c r="DR150" s="1647"/>
      <c r="DS150" s="1647"/>
      <c r="DT150" s="1647"/>
      <c r="DU150" s="1647"/>
      <c r="DV150" s="1647"/>
      <c r="DW150" s="1647"/>
      <c r="DX150" s="1647"/>
      <c r="DY150" s="1647"/>
      <c r="DZ150" s="1647"/>
      <c r="EA150" s="1647"/>
      <c r="EB150" s="1647"/>
      <c r="EC150" s="1647"/>
      <c r="ED150" s="1647"/>
      <c r="EE150" s="1647"/>
      <c r="EF150" s="1647"/>
      <c r="EG150" s="1647"/>
      <c r="EH150" s="1647"/>
      <c r="EI150" s="1647"/>
      <c r="EJ150" s="1647"/>
      <c r="EK150" s="1647"/>
      <c r="EL150" s="1647"/>
      <c r="EM150" s="1647"/>
      <c r="EN150" s="1647"/>
      <c r="EO150" s="1647"/>
      <c r="EP150" s="1647"/>
      <c r="EQ150" s="1647"/>
      <c r="ER150" s="1647"/>
      <c r="ES150" s="1647"/>
      <c r="ET150" s="1647"/>
      <c r="EU150" s="1647"/>
      <c r="EV150" s="1647"/>
      <c r="EW150" s="1647"/>
      <c r="EX150" s="1647"/>
      <c r="EY150" s="1647"/>
      <c r="EZ150" s="1647"/>
      <c r="FA150" s="1647"/>
      <c r="FB150" s="1647"/>
      <c r="FC150" s="1647"/>
      <c r="FD150" s="1647"/>
      <c r="FE150" s="1647"/>
      <c r="FF150" s="1647"/>
      <c r="FG150" s="1647"/>
      <c r="FH150" s="1647"/>
      <c r="FI150" s="1647"/>
      <c r="FJ150" s="1647"/>
      <c r="FK150" s="1647"/>
      <c r="FL150" s="1647"/>
      <c r="FM150" s="1647"/>
      <c r="FN150" s="1647"/>
      <c r="FO150" s="1647"/>
      <c r="FP150" s="1647"/>
      <c r="FQ150" s="1647"/>
      <c r="FR150" s="1647"/>
      <c r="FS150" s="1647"/>
      <c r="FT150" s="1647"/>
      <c r="FU150" s="1647"/>
      <c r="FV150" s="1647"/>
      <c r="FW150" s="1647"/>
      <c r="FX150" s="1647"/>
      <c r="FY150" s="1647"/>
      <c r="FZ150" s="1647"/>
      <c r="GA150" s="1647"/>
      <c r="GB150" s="1647"/>
      <c r="GC150" s="1647"/>
      <c r="GD150" s="1647"/>
      <c r="GE150" s="1647"/>
      <c r="GF150" s="1647"/>
      <c r="GG150" s="1647"/>
      <c r="GH150" s="1647"/>
      <c r="GI150" s="1647"/>
      <c r="GJ150" s="1647"/>
      <c r="GK150" s="1647"/>
      <c r="GL150" s="1647"/>
      <c r="GM150" s="1647"/>
      <c r="GN150" s="1647"/>
      <c r="GO150" s="1647"/>
      <c r="GP150" s="1647"/>
      <c r="GQ150" s="1647"/>
      <c r="GR150" s="1647"/>
      <c r="GS150" s="1647"/>
      <c r="GT150" s="1647"/>
      <c r="GU150" s="1647"/>
      <c r="GV150" s="1647"/>
      <c r="GW150" s="1647"/>
      <c r="GX150" s="1647"/>
      <c r="GY150" s="1647"/>
      <c r="GZ150" s="1647"/>
      <c r="HA150" s="1647"/>
      <c r="HB150" s="1647"/>
      <c r="HC150" s="1647"/>
      <c r="HD150" s="1647"/>
      <c r="HE150" s="1647"/>
      <c r="HF150" s="1647"/>
      <c r="HG150" s="1647"/>
      <c r="HH150" s="1647"/>
      <c r="HI150" s="1647"/>
      <c r="HJ150" s="1647"/>
      <c r="HK150" s="1647"/>
      <c r="HL150" s="1647"/>
      <c r="HM150" s="1647"/>
      <c r="HN150" s="1647"/>
      <c r="HO150" s="1647"/>
      <c r="HP150" s="1647"/>
      <c r="HQ150" s="1647"/>
      <c r="HR150" s="1647"/>
      <c r="HS150" s="1647"/>
      <c r="HT150" s="1647"/>
      <c r="HU150" s="1647"/>
      <c r="HV150" s="1647"/>
      <c r="HW150" s="1647"/>
      <c r="HX150" s="1647"/>
      <c r="HY150" s="1647"/>
      <c r="HZ150" s="1647"/>
      <c r="IA150" s="1647"/>
      <c r="IB150" s="1647"/>
      <c r="IC150" s="1647"/>
      <c r="ID150" s="1647"/>
      <c r="IE150" s="1647"/>
    </row>
    <row r="151" spans="1:239" s="1835" customFormat="1" ht="46.5" customHeight="1" x14ac:dyDescent="0.2">
      <c r="A151" s="1697"/>
      <c r="B151" s="1698"/>
      <c r="C151" s="1699"/>
      <c r="D151" s="1698"/>
      <c r="E151" s="1698"/>
      <c r="F151" s="1699"/>
      <c r="G151" s="1698"/>
      <c r="H151" s="1698"/>
      <c r="I151" s="1699"/>
      <c r="J151" s="4170"/>
      <c r="K151" s="4173"/>
      <c r="L151" s="4170"/>
      <c r="M151" s="4233"/>
      <c r="N151" s="4235"/>
      <c r="O151" s="1791" t="s">
        <v>1112</v>
      </c>
      <c r="P151" s="4236"/>
      <c r="Q151" s="4172"/>
      <c r="R151" s="4176"/>
      <c r="S151" s="4238"/>
      <c r="T151" s="4172"/>
      <c r="U151" s="4159"/>
      <c r="V151" s="4227"/>
      <c r="W151" s="4229"/>
      <c r="X151" s="4231"/>
      <c r="Y151" s="4231"/>
      <c r="Z151" s="1834">
        <v>58</v>
      </c>
      <c r="AA151" s="1791" t="s">
        <v>1113</v>
      </c>
      <c r="AB151" s="4184"/>
      <c r="AC151" s="4184"/>
      <c r="AD151" s="4184"/>
      <c r="AE151" s="4184"/>
      <c r="AF151" s="4184"/>
      <c r="AG151" s="4184"/>
      <c r="AH151" s="4184"/>
      <c r="AI151" s="4184"/>
      <c r="AJ151" s="4184"/>
      <c r="AK151" s="4184"/>
      <c r="AL151" s="4184"/>
      <c r="AM151" s="4184"/>
      <c r="AN151" s="4184"/>
      <c r="AO151" s="4184"/>
      <c r="AP151" s="4197"/>
      <c r="AQ151" s="4184"/>
      <c r="AR151" s="4197"/>
      <c r="AS151" s="4184"/>
      <c r="AT151" s="4197"/>
      <c r="AU151" s="4184"/>
      <c r="AV151" s="4197"/>
      <c r="AW151" s="4184"/>
      <c r="AX151" s="4197"/>
      <c r="AY151" s="4184"/>
      <c r="AZ151" s="4184"/>
      <c r="BA151" s="4178"/>
      <c r="BB151" s="4178"/>
      <c r="BC151" s="4181"/>
      <c r="BD151" s="4184"/>
      <c r="BE151" s="4184"/>
      <c r="BF151" s="4163"/>
      <c r="BG151" s="4163"/>
      <c r="BH151" s="4163"/>
      <c r="BI151" s="4163"/>
      <c r="BJ151" s="4166"/>
      <c r="BK151" s="1647"/>
      <c r="BL151" s="1723"/>
      <c r="BM151" s="1647"/>
      <c r="BN151" s="1647"/>
      <c r="BO151" s="1647"/>
      <c r="BP151" s="1647"/>
      <c r="BQ151" s="1647"/>
      <c r="BR151" s="1647"/>
      <c r="BS151" s="1647"/>
      <c r="BT151" s="1647"/>
      <c r="BU151" s="1647"/>
      <c r="BV151" s="1647"/>
      <c r="BW151" s="1647"/>
      <c r="BX151" s="1647"/>
      <c r="BY151" s="1647"/>
      <c r="BZ151" s="1647"/>
      <c r="CA151" s="1647"/>
      <c r="CB151" s="1647"/>
      <c r="CC151" s="1647"/>
      <c r="CD151" s="1647"/>
      <c r="CE151" s="1647"/>
      <c r="CF151" s="1647"/>
      <c r="CG151" s="1647"/>
      <c r="CH151" s="1647"/>
      <c r="CI151" s="1647"/>
      <c r="CJ151" s="1647"/>
      <c r="CK151" s="1647"/>
      <c r="CL151" s="1647"/>
      <c r="CM151" s="1647"/>
      <c r="CN151" s="1647"/>
      <c r="CO151" s="1647"/>
      <c r="CP151" s="1647"/>
      <c r="CQ151" s="1647"/>
      <c r="CR151" s="1647"/>
      <c r="CS151" s="1647"/>
      <c r="CT151" s="1647"/>
      <c r="CU151" s="1647"/>
      <c r="CV151" s="1647"/>
      <c r="CW151" s="1647"/>
      <c r="CX151" s="1647"/>
      <c r="CY151" s="1647"/>
      <c r="CZ151" s="1647"/>
      <c r="DA151" s="1647"/>
      <c r="DB151" s="1647"/>
      <c r="DC151" s="1647"/>
      <c r="DD151" s="1647"/>
      <c r="DE151" s="1647"/>
      <c r="DF151" s="1647"/>
      <c r="DG151" s="1647"/>
      <c r="DH151" s="1647"/>
      <c r="DI151" s="1647"/>
      <c r="DJ151" s="1647"/>
      <c r="DK151" s="1647"/>
      <c r="DL151" s="1647"/>
      <c r="DM151" s="1647"/>
      <c r="DN151" s="1647"/>
      <c r="DO151" s="1647"/>
      <c r="DP151" s="1647"/>
      <c r="DQ151" s="1647"/>
      <c r="DR151" s="1647"/>
      <c r="DS151" s="1647"/>
      <c r="DT151" s="1647"/>
      <c r="DU151" s="1647"/>
      <c r="DV151" s="1647"/>
      <c r="DW151" s="1647"/>
      <c r="DX151" s="1647"/>
      <c r="DY151" s="1647"/>
      <c r="DZ151" s="1647"/>
      <c r="EA151" s="1647"/>
      <c r="EB151" s="1647"/>
      <c r="EC151" s="1647"/>
      <c r="ED151" s="1647"/>
      <c r="EE151" s="1647"/>
      <c r="EF151" s="1647"/>
      <c r="EG151" s="1647"/>
      <c r="EH151" s="1647"/>
      <c r="EI151" s="1647"/>
      <c r="EJ151" s="1647"/>
      <c r="EK151" s="1647"/>
      <c r="EL151" s="1647"/>
      <c r="EM151" s="1647"/>
      <c r="EN151" s="1647"/>
      <c r="EO151" s="1647"/>
      <c r="EP151" s="1647"/>
      <c r="EQ151" s="1647"/>
      <c r="ER151" s="1647"/>
      <c r="ES151" s="1647"/>
      <c r="ET151" s="1647"/>
      <c r="EU151" s="1647"/>
      <c r="EV151" s="1647"/>
      <c r="EW151" s="1647"/>
      <c r="EX151" s="1647"/>
      <c r="EY151" s="1647"/>
      <c r="EZ151" s="1647"/>
      <c r="FA151" s="1647"/>
      <c r="FB151" s="1647"/>
      <c r="FC151" s="1647"/>
      <c r="FD151" s="1647"/>
      <c r="FE151" s="1647"/>
      <c r="FF151" s="1647"/>
      <c r="FG151" s="1647"/>
      <c r="FH151" s="1647"/>
      <c r="FI151" s="1647"/>
      <c r="FJ151" s="1647"/>
      <c r="FK151" s="1647"/>
      <c r="FL151" s="1647"/>
      <c r="FM151" s="1647"/>
      <c r="FN151" s="1647"/>
      <c r="FO151" s="1647"/>
      <c r="FP151" s="1647"/>
      <c r="FQ151" s="1647"/>
      <c r="FR151" s="1647"/>
      <c r="FS151" s="1647"/>
      <c r="FT151" s="1647"/>
      <c r="FU151" s="1647"/>
      <c r="FV151" s="1647"/>
      <c r="FW151" s="1647"/>
      <c r="FX151" s="1647"/>
      <c r="FY151" s="1647"/>
      <c r="FZ151" s="1647"/>
      <c r="GA151" s="1647"/>
      <c r="GB151" s="1647"/>
      <c r="GC151" s="1647"/>
      <c r="GD151" s="1647"/>
      <c r="GE151" s="1647"/>
      <c r="GF151" s="1647"/>
      <c r="GG151" s="1647"/>
      <c r="GH151" s="1647"/>
      <c r="GI151" s="1647"/>
      <c r="GJ151" s="1647"/>
      <c r="GK151" s="1647"/>
      <c r="GL151" s="1647"/>
      <c r="GM151" s="1647"/>
      <c r="GN151" s="1647"/>
      <c r="GO151" s="1647"/>
      <c r="GP151" s="1647"/>
      <c r="GQ151" s="1647"/>
      <c r="GR151" s="1647"/>
      <c r="GS151" s="1647"/>
      <c r="GT151" s="1647"/>
      <c r="GU151" s="1647"/>
      <c r="GV151" s="1647"/>
      <c r="GW151" s="1647"/>
      <c r="GX151" s="1647"/>
      <c r="GY151" s="1647"/>
      <c r="GZ151" s="1647"/>
      <c r="HA151" s="1647"/>
      <c r="HB151" s="1647"/>
      <c r="HC151" s="1647"/>
      <c r="HD151" s="1647"/>
      <c r="HE151" s="1647"/>
      <c r="HF151" s="1647"/>
      <c r="HG151" s="1647"/>
      <c r="HH151" s="1647"/>
      <c r="HI151" s="1647"/>
      <c r="HJ151" s="1647"/>
      <c r="HK151" s="1647"/>
      <c r="HL151" s="1647"/>
      <c r="HM151" s="1647"/>
      <c r="HN151" s="1647"/>
      <c r="HO151" s="1647"/>
      <c r="HP151" s="1647"/>
      <c r="HQ151" s="1647"/>
      <c r="HR151" s="1647"/>
      <c r="HS151" s="1647"/>
      <c r="HT151" s="1647"/>
      <c r="HU151" s="1647"/>
      <c r="HV151" s="1647"/>
      <c r="HW151" s="1647"/>
      <c r="HX151" s="1647"/>
      <c r="HY151" s="1647"/>
      <c r="HZ151" s="1647"/>
      <c r="IA151" s="1647"/>
      <c r="IB151" s="1647"/>
      <c r="IC151" s="1647"/>
      <c r="ID151" s="1647"/>
      <c r="IE151" s="1647"/>
    </row>
    <row r="152" spans="1:239" s="1835" customFormat="1" ht="62.25" customHeight="1" x14ac:dyDescent="0.2">
      <c r="A152" s="1697"/>
      <c r="B152" s="1698"/>
      <c r="C152" s="1699"/>
      <c r="D152" s="1698"/>
      <c r="E152" s="1698"/>
      <c r="F152" s="1699"/>
      <c r="G152" s="1698"/>
      <c r="H152" s="1698"/>
      <c r="I152" s="1699"/>
      <c r="J152" s="1717">
        <v>167</v>
      </c>
      <c r="K152" s="1781" t="s">
        <v>1114</v>
      </c>
      <c r="L152" s="1717" t="s">
        <v>324</v>
      </c>
      <c r="M152" s="1836">
        <v>15</v>
      </c>
      <c r="N152" s="1837">
        <v>15</v>
      </c>
      <c r="O152" s="1791" t="s">
        <v>1115</v>
      </c>
      <c r="P152" s="4236"/>
      <c r="Q152" s="4172"/>
      <c r="R152" s="1718">
        <v>1</v>
      </c>
      <c r="S152" s="4238"/>
      <c r="T152" s="4172"/>
      <c r="U152" s="1800" t="s">
        <v>1116</v>
      </c>
      <c r="V152" s="1838" t="s">
        <v>1117</v>
      </c>
      <c r="W152" s="1839">
        <f>11595195274+8378994970</f>
        <v>19974190244</v>
      </c>
      <c r="X152" s="1840">
        <v>4163644240</v>
      </c>
      <c r="Y152" s="1840">
        <v>2326454983</v>
      </c>
      <c r="Z152" s="1834">
        <v>59</v>
      </c>
      <c r="AA152" s="1791" t="s">
        <v>1118</v>
      </c>
      <c r="AB152" s="4184"/>
      <c r="AC152" s="4184"/>
      <c r="AD152" s="4184"/>
      <c r="AE152" s="4184"/>
      <c r="AF152" s="4184"/>
      <c r="AG152" s="4184"/>
      <c r="AH152" s="4184"/>
      <c r="AI152" s="4184"/>
      <c r="AJ152" s="4184"/>
      <c r="AK152" s="4184"/>
      <c r="AL152" s="4184"/>
      <c r="AM152" s="4184"/>
      <c r="AN152" s="4184"/>
      <c r="AO152" s="4184"/>
      <c r="AP152" s="4197"/>
      <c r="AQ152" s="4184"/>
      <c r="AR152" s="4197"/>
      <c r="AS152" s="4184"/>
      <c r="AT152" s="4197"/>
      <c r="AU152" s="4184"/>
      <c r="AV152" s="4197"/>
      <c r="AW152" s="4184"/>
      <c r="AX152" s="4197"/>
      <c r="AY152" s="4184"/>
      <c r="AZ152" s="4184"/>
      <c r="BA152" s="4178"/>
      <c r="BB152" s="4178"/>
      <c r="BC152" s="4181"/>
      <c r="BD152" s="4184"/>
      <c r="BE152" s="4184"/>
      <c r="BF152" s="4163"/>
      <c r="BG152" s="4163"/>
      <c r="BH152" s="4163"/>
      <c r="BI152" s="4163"/>
      <c r="BJ152" s="4166"/>
      <c r="BK152" s="1647"/>
      <c r="BL152" s="1723"/>
      <c r="BM152" s="1647"/>
      <c r="BN152" s="1647"/>
      <c r="BO152" s="1647"/>
      <c r="BP152" s="1647"/>
      <c r="BQ152" s="1647"/>
      <c r="BR152" s="1647"/>
      <c r="BS152" s="1647"/>
      <c r="BT152" s="1647"/>
      <c r="BU152" s="1647"/>
      <c r="BV152" s="1647"/>
      <c r="BW152" s="1647"/>
      <c r="BX152" s="1647"/>
      <c r="BY152" s="1647"/>
      <c r="BZ152" s="1647"/>
      <c r="CA152" s="1647"/>
      <c r="CB152" s="1647"/>
      <c r="CC152" s="1647"/>
      <c r="CD152" s="1647"/>
      <c r="CE152" s="1647"/>
      <c r="CF152" s="1647"/>
      <c r="CG152" s="1647"/>
      <c r="CH152" s="1647"/>
      <c r="CI152" s="1647"/>
      <c r="CJ152" s="1647"/>
      <c r="CK152" s="1647"/>
      <c r="CL152" s="1647"/>
      <c r="CM152" s="1647"/>
      <c r="CN152" s="1647"/>
      <c r="CO152" s="1647"/>
      <c r="CP152" s="1647"/>
      <c r="CQ152" s="1647"/>
      <c r="CR152" s="1647"/>
      <c r="CS152" s="1647"/>
      <c r="CT152" s="1647"/>
      <c r="CU152" s="1647"/>
      <c r="CV152" s="1647"/>
      <c r="CW152" s="1647"/>
      <c r="CX152" s="1647"/>
      <c r="CY152" s="1647"/>
      <c r="CZ152" s="1647"/>
      <c r="DA152" s="1647"/>
      <c r="DB152" s="1647"/>
      <c r="DC152" s="1647"/>
      <c r="DD152" s="1647"/>
      <c r="DE152" s="1647"/>
      <c r="DF152" s="1647"/>
      <c r="DG152" s="1647"/>
      <c r="DH152" s="1647"/>
      <c r="DI152" s="1647"/>
      <c r="DJ152" s="1647"/>
      <c r="DK152" s="1647"/>
      <c r="DL152" s="1647"/>
      <c r="DM152" s="1647"/>
      <c r="DN152" s="1647"/>
      <c r="DO152" s="1647"/>
      <c r="DP152" s="1647"/>
      <c r="DQ152" s="1647"/>
      <c r="DR152" s="1647"/>
      <c r="DS152" s="1647"/>
      <c r="DT152" s="1647"/>
      <c r="DU152" s="1647"/>
      <c r="DV152" s="1647"/>
      <c r="DW152" s="1647"/>
      <c r="DX152" s="1647"/>
      <c r="DY152" s="1647"/>
      <c r="DZ152" s="1647"/>
      <c r="EA152" s="1647"/>
      <c r="EB152" s="1647"/>
      <c r="EC152" s="1647"/>
      <c r="ED152" s="1647"/>
      <c r="EE152" s="1647"/>
      <c r="EF152" s="1647"/>
      <c r="EG152" s="1647"/>
      <c r="EH152" s="1647"/>
      <c r="EI152" s="1647"/>
      <c r="EJ152" s="1647"/>
      <c r="EK152" s="1647"/>
      <c r="EL152" s="1647"/>
      <c r="EM152" s="1647"/>
      <c r="EN152" s="1647"/>
      <c r="EO152" s="1647"/>
      <c r="EP152" s="1647"/>
      <c r="EQ152" s="1647"/>
      <c r="ER152" s="1647"/>
      <c r="ES152" s="1647"/>
      <c r="ET152" s="1647"/>
      <c r="EU152" s="1647"/>
      <c r="EV152" s="1647"/>
      <c r="EW152" s="1647"/>
      <c r="EX152" s="1647"/>
      <c r="EY152" s="1647"/>
      <c r="EZ152" s="1647"/>
      <c r="FA152" s="1647"/>
      <c r="FB152" s="1647"/>
      <c r="FC152" s="1647"/>
      <c r="FD152" s="1647"/>
      <c r="FE152" s="1647"/>
      <c r="FF152" s="1647"/>
      <c r="FG152" s="1647"/>
      <c r="FH152" s="1647"/>
      <c r="FI152" s="1647"/>
      <c r="FJ152" s="1647"/>
      <c r="FK152" s="1647"/>
      <c r="FL152" s="1647"/>
      <c r="FM152" s="1647"/>
      <c r="FN152" s="1647"/>
      <c r="FO152" s="1647"/>
      <c r="FP152" s="1647"/>
      <c r="FQ152" s="1647"/>
      <c r="FR152" s="1647"/>
      <c r="FS152" s="1647"/>
      <c r="FT152" s="1647"/>
      <c r="FU152" s="1647"/>
      <c r="FV152" s="1647"/>
      <c r="FW152" s="1647"/>
      <c r="FX152" s="1647"/>
      <c r="FY152" s="1647"/>
      <c r="FZ152" s="1647"/>
      <c r="GA152" s="1647"/>
      <c r="GB152" s="1647"/>
      <c r="GC152" s="1647"/>
      <c r="GD152" s="1647"/>
      <c r="GE152" s="1647"/>
      <c r="GF152" s="1647"/>
      <c r="GG152" s="1647"/>
      <c r="GH152" s="1647"/>
      <c r="GI152" s="1647"/>
      <c r="GJ152" s="1647"/>
      <c r="GK152" s="1647"/>
      <c r="GL152" s="1647"/>
      <c r="GM152" s="1647"/>
      <c r="GN152" s="1647"/>
      <c r="GO152" s="1647"/>
      <c r="GP152" s="1647"/>
      <c r="GQ152" s="1647"/>
      <c r="GR152" s="1647"/>
      <c r="GS152" s="1647"/>
      <c r="GT152" s="1647"/>
      <c r="GU152" s="1647"/>
      <c r="GV152" s="1647"/>
      <c r="GW152" s="1647"/>
      <c r="GX152" s="1647"/>
      <c r="GY152" s="1647"/>
      <c r="GZ152" s="1647"/>
      <c r="HA152" s="1647"/>
      <c r="HB152" s="1647"/>
      <c r="HC152" s="1647"/>
      <c r="HD152" s="1647"/>
      <c r="HE152" s="1647"/>
      <c r="HF152" s="1647"/>
      <c r="HG152" s="1647"/>
      <c r="HH152" s="1647"/>
      <c r="HI152" s="1647"/>
      <c r="HJ152" s="1647"/>
      <c r="HK152" s="1647"/>
      <c r="HL152" s="1647"/>
      <c r="HM152" s="1647"/>
      <c r="HN152" s="1647"/>
      <c r="HO152" s="1647"/>
      <c r="HP152" s="1647"/>
      <c r="HQ152" s="1647"/>
      <c r="HR152" s="1647"/>
      <c r="HS152" s="1647"/>
      <c r="HT152" s="1647"/>
      <c r="HU152" s="1647"/>
      <c r="HV152" s="1647"/>
      <c r="HW152" s="1647"/>
      <c r="HX152" s="1647"/>
      <c r="HY152" s="1647"/>
      <c r="HZ152" s="1647"/>
      <c r="IA152" s="1647"/>
      <c r="IB152" s="1647"/>
      <c r="IC152" s="1647"/>
      <c r="ID152" s="1647"/>
      <c r="IE152" s="1647"/>
    </row>
    <row r="153" spans="1:239" ht="48.75" customHeight="1" x14ac:dyDescent="0.2">
      <c r="A153" s="1697"/>
      <c r="B153" s="1698"/>
      <c r="C153" s="1699"/>
      <c r="D153" s="1698"/>
      <c r="E153" s="1698"/>
      <c r="F153" s="1699"/>
      <c r="G153" s="1698"/>
      <c r="H153" s="1698"/>
      <c r="I153" s="1699"/>
      <c r="J153" s="4168">
        <v>168</v>
      </c>
      <c r="K153" s="4171" t="s">
        <v>1119</v>
      </c>
      <c r="L153" s="4168" t="s">
        <v>324</v>
      </c>
      <c r="M153" s="4168">
        <v>14</v>
      </c>
      <c r="N153" s="4168">
        <v>4</v>
      </c>
      <c r="O153" s="1791" t="s">
        <v>1120</v>
      </c>
      <c r="P153" s="4236"/>
      <c r="Q153" s="4172"/>
      <c r="R153" s="4174">
        <v>0</v>
      </c>
      <c r="S153" s="4238"/>
      <c r="T153" s="4172"/>
      <c r="U153" s="4190" t="s">
        <v>1121</v>
      </c>
      <c r="V153" s="4227" t="s">
        <v>1122</v>
      </c>
      <c r="W153" s="4228">
        <v>0</v>
      </c>
      <c r="X153" s="4230">
        <v>0</v>
      </c>
      <c r="Y153" s="4230">
        <v>0</v>
      </c>
      <c r="Z153" s="1834">
        <v>60</v>
      </c>
      <c r="AA153" s="1791" t="s">
        <v>1123</v>
      </c>
      <c r="AB153" s="4184"/>
      <c r="AC153" s="4184"/>
      <c r="AD153" s="4184"/>
      <c r="AE153" s="4184"/>
      <c r="AF153" s="4184"/>
      <c r="AG153" s="4184"/>
      <c r="AH153" s="4184"/>
      <c r="AI153" s="4184"/>
      <c r="AJ153" s="4184"/>
      <c r="AK153" s="4184"/>
      <c r="AL153" s="4184"/>
      <c r="AM153" s="4184"/>
      <c r="AN153" s="4184"/>
      <c r="AO153" s="4184"/>
      <c r="AP153" s="4197"/>
      <c r="AQ153" s="4184"/>
      <c r="AR153" s="4197"/>
      <c r="AS153" s="4184"/>
      <c r="AT153" s="4197"/>
      <c r="AU153" s="4184"/>
      <c r="AV153" s="4197"/>
      <c r="AW153" s="4184"/>
      <c r="AX153" s="4197"/>
      <c r="AY153" s="4184"/>
      <c r="AZ153" s="4184"/>
      <c r="BA153" s="4178"/>
      <c r="BB153" s="4178"/>
      <c r="BC153" s="4181"/>
      <c r="BD153" s="4184"/>
      <c r="BE153" s="4184"/>
      <c r="BF153" s="4163"/>
      <c r="BG153" s="4163"/>
      <c r="BH153" s="4163"/>
      <c r="BI153" s="4163"/>
      <c r="BJ153" s="4166"/>
      <c r="BL153" s="1723"/>
    </row>
    <row r="154" spans="1:239" ht="49.5" customHeight="1" x14ac:dyDescent="0.2">
      <c r="A154" s="1697"/>
      <c r="B154" s="1698"/>
      <c r="C154" s="1699"/>
      <c r="D154" s="1698"/>
      <c r="E154" s="1698"/>
      <c r="F154" s="1699"/>
      <c r="G154" s="1841"/>
      <c r="H154" s="1841"/>
      <c r="I154" s="1842"/>
      <c r="J154" s="4170"/>
      <c r="K154" s="4173"/>
      <c r="L154" s="4169"/>
      <c r="M154" s="4169"/>
      <c r="N154" s="4169"/>
      <c r="O154" s="1791" t="s">
        <v>1124</v>
      </c>
      <c r="P154" s="4236"/>
      <c r="Q154" s="4172"/>
      <c r="R154" s="4176"/>
      <c r="S154" s="4238"/>
      <c r="T154" s="4172"/>
      <c r="U154" s="4192"/>
      <c r="V154" s="4227"/>
      <c r="W154" s="4229"/>
      <c r="X154" s="4231"/>
      <c r="Y154" s="4231"/>
      <c r="Z154" s="1834">
        <v>35</v>
      </c>
      <c r="AA154" s="1757" t="s">
        <v>1125</v>
      </c>
      <c r="AB154" s="4185"/>
      <c r="AC154" s="4185"/>
      <c r="AD154" s="4185"/>
      <c r="AE154" s="4185"/>
      <c r="AF154" s="4185"/>
      <c r="AG154" s="4185"/>
      <c r="AH154" s="4185"/>
      <c r="AI154" s="4185"/>
      <c r="AJ154" s="4185"/>
      <c r="AK154" s="4185"/>
      <c r="AL154" s="4185"/>
      <c r="AM154" s="4185"/>
      <c r="AN154" s="4185"/>
      <c r="AO154" s="4185"/>
      <c r="AP154" s="4183"/>
      <c r="AQ154" s="4185"/>
      <c r="AR154" s="4183"/>
      <c r="AS154" s="4185"/>
      <c r="AT154" s="4183"/>
      <c r="AU154" s="4185"/>
      <c r="AV154" s="4183"/>
      <c r="AW154" s="4185"/>
      <c r="AX154" s="4183"/>
      <c r="AY154" s="4185"/>
      <c r="AZ154" s="4185"/>
      <c r="BA154" s="4179"/>
      <c r="BB154" s="4179"/>
      <c r="BC154" s="4182"/>
      <c r="BD154" s="4185"/>
      <c r="BE154" s="4185"/>
      <c r="BF154" s="4163"/>
      <c r="BG154" s="4164"/>
      <c r="BH154" s="4163"/>
      <c r="BI154" s="4164"/>
      <c r="BJ154" s="4166"/>
      <c r="BL154" s="1724"/>
    </row>
    <row r="155" spans="1:239" s="1743" customFormat="1" ht="36" customHeight="1" x14ac:dyDescent="0.2">
      <c r="A155" s="1697"/>
      <c r="B155" s="1698"/>
      <c r="C155" s="1699"/>
      <c r="D155" s="1698"/>
      <c r="E155" s="1698"/>
      <c r="F155" s="1699"/>
      <c r="G155" s="1843">
        <v>51</v>
      </c>
      <c r="H155" s="1844" t="s">
        <v>1126</v>
      </c>
      <c r="I155" s="1844"/>
      <c r="J155" s="1845"/>
      <c r="K155" s="1846"/>
      <c r="L155" s="1703"/>
      <c r="M155" s="1703"/>
      <c r="N155" s="1703"/>
      <c r="O155" s="1705"/>
      <c r="P155" s="1703"/>
      <c r="Q155" s="1704"/>
      <c r="R155" s="1703"/>
      <c r="S155" s="1703"/>
      <c r="T155" s="1703"/>
      <c r="U155" s="1704"/>
      <c r="V155" s="1704"/>
      <c r="W155" s="1706"/>
      <c r="X155" s="1742"/>
      <c r="Y155" s="1742"/>
      <c r="Z155" s="1738"/>
      <c r="AA155" s="1705"/>
      <c r="AB155" s="4225"/>
      <c r="AC155" s="4225"/>
      <c r="AD155" s="4225"/>
      <c r="AE155" s="4225"/>
      <c r="AF155" s="4225"/>
      <c r="AG155" s="4225"/>
      <c r="AH155" s="4225"/>
      <c r="AI155" s="4225"/>
      <c r="AJ155" s="4225"/>
      <c r="AK155" s="4225"/>
      <c r="AL155" s="4225"/>
      <c r="AM155" s="4225"/>
      <c r="AN155" s="4225"/>
      <c r="AO155" s="4225"/>
      <c r="AP155" s="4225"/>
      <c r="AQ155" s="4225"/>
      <c r="AR155" s="4225"/>
      <c r="AS155" s="4225"/>
      <c r="AT155" s="4225"/>
      <c r="AU155" s="4225"/>
      <c r="AV155" s="4225"/>
      <c r="AW155" s="4225"/>
      <c r="AX155" s="4225"/>
      <c r="AY155" s="1847"/>
      <c r="AZ155" s="1847"/>
      <c r="BA155" s="1847"/>
      <c r="BB155" s="1847"/>
      <c r="BC155" s="1847"/>
      <c r="BD155" s="1847"/>
      <c r="BE155" s="1847"/>
      <c r="BF155" s="1703"/>
      <c r="BG155" s="1703"/>
      <c r="BH155" s="1703"/>
      <c r="BI155" s="1703"/>
      <c r="BJ155" s="1739"/>
      <c r="BK155" s="1687"/>
      <c r="BL155" s="1687"/>
      <c r="BM155" s="1687"/>
      <c r="BN155" s="1687"/>
      <c r="BO155" s="1687"/>
      <c r="BP155" s="1687"/>
    </row>
    <row r="156" spans="1:239" ht="85.5" customHeight="1" x14ac:dyDescent="0.2">
      <c r="A156" s="1848"/>
      <c r="B156" s="1726"/>
      <c r="C156" s="1849"/>
      <c r="D156" s="1726"/>
      <c r="E156" s="1726"/>
      <c r="F156" s="1849"/>
      <c r="G156" s="1850"/>
      <c r="H156" s="1850"/>
      <c r="I156" s="1851"/>
      <c r="J156" s="4168">
        <v>169</v>
      </c>
      <c r="K156" s="4171" t="s">
        <v>1127</v>
      </c>
      <c r="L156" s="4168" t="s">
        <v>324</v>
      </c>
      <c r="M156" s="4168">
        <v>12</v>
      </c>
      <c r="N156" s="4168">
        <v>12</v>
      </c>
      <c r="O156" s="4168" t="s">
        <v>1128</v>
      </c>
      <c r="P156" s="4168">
        <v>155</v>
      </c>
      <c r="Q156" s="4171" t="s">
        <v>1129</v>
      </c>
      <c r="R156" s="4174">
        <v>1</v>
      </c>
      <c r="S156" s="4187">
        <v>44149920</v>
      </c>
      <c r="T156" s="4171" t="s">
        <v>1130</v>
      </c>
      <c r="U156" s="1716" t="s">
        <v>1131</v>
      </c>
      <c r="V156" s="1716" t="s">
        <v>1132</v>
      </c>
      <c r="W156" s="1753">
        <v>14716640</v>
      </c>
      <c r="X156" s="1753">
        <v>14520000</v>
      </c>
      <c r="Y156" s="1753">
        <v>3520000</v>
      </c>
      <c r="Z156" s="4214">
        <v>72</v>
      </c>
      <c r="AA156" s="4168" t="s">
        <v>1087</v>
      </c>
      <c r="AB156" s="4183">
        <v>64149</v>
      </c>
      <c r="AC156" s="4211">
        <f>SUM(AB156*0.99)</f>
        <v>63507.51</v>
      </c>
      <c r="AD156" s="4183">
        <v>72224</v>
      </c>
      <c r="AE156" s="4211">
        <f>SUM(AD156*0.99)</f>
        <v>71501.759999999995</v>
      </c>
      <c r="AF156" s="4183">
        <v>27477</v>
      </c>
      <c r="AG156" s="4211">
        <f>SUM(AF156*0.99)</f>
        <v>27202.23</v>
      </c>
      <c r="AH156" s="4183">
        <v>86843</v>
      </c>
      <c r="AI156" s="4211">
        <f>SUM(AH156*0.99)</f>
        <v>85974.569999999992</v>
      </c>
      <c r="AJ156" s="4183">
        <v>236429</v>
      </c>
      <c r="AK156" s="4211">
        <f>SUM(AJ156*0.99)</f>
        <v>234064.71</v>
      </c>
      <c r="AL156" s="4183">
        <v>81384</v>
      </c>
      <c r="AM156" s="4211">
        <f>SUM(AL156*0.99)</f>
        <v>80570.16</v>
      </c>
      <c r="AN156" s="4183">
        <v>13208</v>
      </c>
      <c r="AO156" s="4211">
        <f>SUM(AN156*0.99)</f>
        <v>13075.92</v>
      </c>
      <c r="AP156" s="4183">
        <v>2145</v>
      </c>
      <c r="AQ156" s="4211">
        <f>SUM(AP156*0.99)</f>
        <v>2123.5500000000002</v>
      </c>
      <c r="AR156" s="4183">
        <v>413</v>
      </c>
      <c r="AS156" s="4211">
        <f>SUM(AR156*0.99)</f>
        <v>408.87</v>
      </c>
      <c r="AT156" s="4183">
        <v>520</v>
      </c>
      <c r="AU156" s="4211">
        <f>SUM(AT156*0.99)</f>
        <v>514.79999999999995</v>
      </c>
      <c r="AV156" s="4183">
        <v>16897</v>
      </c>
      <c r="AW156" s="4211">
        <f>SUM(AV156*0.99)</f>
        <v>16728.03</v>
      </c>
      <c r="AX156" s="4183">
        <v>75612</v>
      </c>
      <c r="AY156" s="4211">
        <f>SUM(AX156*0.99)</f>
        <v>74855.88</v>
      </c>
      <c r="AZ156" s="4183">
        <v>2</v>
      </c>
      <c r="BA156" s="4177">
        <v>43560000</v>
      </c>
      <c r="BB156" s="4177">
        <v>10560000</v>
      </c>
      <c r="BC156" s="4180">
        <f>+BB156/BA156</f>
        <v>0.24242424242424243</v>
      </c>
      <c r="BD156" s="4183">
        <v>72</v>
      </c>
      <c r="BE156" s="4183" t="s">
        <v>1089</v>
      </c>
      <c r="BF156" s="4223">
        <v>42948</v>
      </c>
      <c r="BG156" s="4162">
        <v>42759</v>
      </c>
      <c r="BH156" s="4223">
        <v>43100</v>
      </c>
      <c r="BI156" s="4162">
        <v>43091</v>
      </c>
      <c r="BJ156" s="4186" t="s">
        <v>880</v>
      </c>
    </row>
    <row r="157" spans="1:239" ht="85.5" customHeight="1" x14ac:dyDescent="0.2">
      <c r="A157" s="1848"/>
      <c r="B157" s="1726"/>
      <c r="C157" s="1849"/>
      <c r="D157" s="1726"/>
      <c r="E157" s="1726"/>
      <c r="F157" s="1849"/>
      <c r="G157" s="1726"/>
      <c r="H157" s="1726"/>
      <c r="I157" s="1849"/>
      <c r="J157" s="4169"/>
      <c r="K157" s="4172"/>
      <c r="L157" s="4169"/>
      <c r="M157" s="4169"/>
      <c r="N157" s="4169"/>
      <c r="O157" s="4169"/>
      <c r="P157" s="4169"/>
      <c r="Q157" s="4172"/>
      <c r="R157" s="4175"/>
      <c r="S157" s="4188"/>
      <c r="T157" s="4172"/>
      <c r="U157" s="1716" t="s">
        <v>1133</v>
      </c>
      <c r="V157" s="1716" t="s">
        <v>1134</v>
      </c>
      <c r="W157" s="1753">
        <v>14716640</v>
      </c>
      <c r="X157" s="1753">
        <v>14520000</v>
      </c>
      <c r="Y157" s="1753">
        <v>3520000</v>
      </c>
      <c r="Z157" s="4215"/>
      <c r="AA157" s="4169"/>
      <c r="AB157" s="4184"/>
      <c r="AC157" s="4212"/>
      <c r="AD157" s="4184"/>
      <c r="AE157" s="4212"/>
      <c r="AF157" s="4184"/>
      <c r="AG157" s="4212"/>
      <c r="AH157" s="4184"/>
      <c r="AI157" s="4212"/>
      <c r="AJ157" s="4184"/>
      <c r="AK157" s="4212"/>
      <c r="AL157" s="4184"/>
      <c r="AM157" s="4212"/>
      <c r="AN157" s="4184"/>
      <c r="AO157" s="4212"/>
      <c r="AP157" s="4184"/>
      <c r="AQ157" s="4212"/>
      <c r="AR157" s="4184"/>
      <c r="AS157" s="4212"/>
      <c r="AT157" s="4184"/>
      <c r="AU157" s="4212"/>
      <c r="AV157" s="4184"/>
      <c r="AW157" s="4212"/>
      <c r="AX157" s="4184"/>
      <c r="AY157" s="4212"/>
      <c r="AZ157" s="4184"/>
      <c r="BA157" s="4178"/>
      <c r="BB157" s="4178"/>
      <c r="BC157" s="4181"/>
      <c r="BD157" s="4184"/>
      <c r="BE157" s="4184"/>
      <c r="BF157" s="4223"/>
      <c r="BG157" s="4163"/>
      <c r="BH157" s="4223"/>
      <c r="BI157" s="4163"/>
      <c r="BJ157" s="4186"/>
    </row>
    <row r="158" spans="1:239" ht="75.75" customHeight="1" x14ac:dyDescent="0.2">
      <c r="A158" s="1709"/>
      <c r="B158" s="1710"/>
      <c r="C158" s="1711"/>
      <c r="D158" s="1710"/>
      <c r="E158" s="1710"/>
      <c r="F158" s="1711"/>
      <c r="G158" s="1727"/>
      <c r="H158" s="1727"/>
      <c r="I158" s="1728"/>
      <c r="J158" s="4170"/>
      <c r="K158" s="4173"/>
      <c r="L158" s="4170"/>
      <c r="M158" s="4170"/>
      <c r="N158" s="4170"/>
      <c r="O158" s="4170"/>
      <c r="P158" s="4170"/>
      <c r="Q158" s="4173"/>
      <c r="R158" s="4176"/>
      <c r="S158" s="4189"/>
      <c r="T158" s="4173"/>
      <c r="U158" s="1716" t="s">
        <v>1119</v>
      </c>
      <c r="V158" s="1716" t="s">
        <v>1135</v>
      </c>
      <c r="W158" s="1753">
        <v>14716640</v>
      </c>
      <c r="X158" s="1753">
        <v>14520000</v>
      </c>
      <c r="Y158" s="1753">
        <v>3520000</v>
      </c>
      <c r="Z158" s="4216"/>
      <c r="AA158" s="4170"/>
      <c r="AB158" s="4184"/>
      <c r="AC158" s="4213"/>
      <c r="AD158" s="4184"/>
      <c r="AE158" s="4213"/>
      <c r="AF158" s="4184"/>
      <c r="AG158" s="4213"/>
      <c r="AH158" s="4184"/>
      <c r="AI158" s="4213"/>
      <c r="AJ158" s="4184"/>
      <c r="AK158" s="4213"/>
      <c r="AL158" s="4184"/>
      <c r="AM158" s="4213"/>
      <c r="AN158" s="4184"/>
      <c r="AO158" s="4213"/>
      <c r="AP158" s="4184"/>
      <c r="AQ158" s="4213"/>
      <c r="AR158" s="4184"/>
      <c r="AS158" s="4213"/>
      <c r="AT158" s="4184"/>
      <c r="AU158" s="4213"/>
      <c r="AV158" s="4184"/>
      <c r="AW158" s="4213"/>
      <c r="AX158" s="4184"/>
      <c r="AY158" s="4213"/>
      <c r="AZ158" s="4185"/>
      <c r="BA158" s="4179"/>
      <c r="BB158" s="4179"/>
      <c r="BC158" s="4182"/>
      <c r="BD158" s="4185"/>
      <c r="BE158" s="4185"/>
      <c r="BF158" s="4223"/>
      <c r="BG158" s="4164"/>
      <c r="BH158" s="4223"/>
      <c r="BI158" s="4164"/>
      <c r="BJ158" s="4186"/>
    </row>
    <row r="159" spans="1:239" s="1743" customFormat="1" ht="36" customHeight="1" x14ac:dyDescent="0.2">
      <c r="A159" s="1697"/>
      <c r="B159" s="1698"/>
      <c r="C159" s="1699"/>
      <c r="D159" s="1698"/>
      <c r="E159" s="1698"/>
      <c r="F159" s="1699"/>
      <c r="G159" s="1737">
        <v>52</v>
      </c>
      <c r="H159" s="1703" t="s">
        <v>1136</v>
      </c>
      <c r="I159" s="1703"/>
      <c r="J159" s="1703"/>
      <c r="K159" s="1704"/>
      <c r="L159" s="1703"/>
      <c r="M159" s="1703"/>
      <c r="N159" s="1703"/>
      <c r="O159" s="1705"/>
      <c r="P159" s="1703"/>
      <c r="Q159" s="1704"/>
      <c r="R159" s="1703"/>
      <c r="S159" s="1703"/>
      <c r="T159" s="1703"/>
      <c r="U159" s="1704"/>
      <c r="V159" s="1704"/>
      <c r="W159" s="1706"/>
      <c r="X159" s="1763"/>
      <c r="Y159" s="1763"/>
      <c r="Z159" s="1738"/>
      <c r="AA159" s="1705"/>
      <c r="AB159" s="4224"/>
      <c r="AC159" s="4225"/>
      <c r="AD159" s="4225"/>
      <c r="AE159" s="4225"/>
      <c r="AF159" s="4225"/>
      <c r="AG159" s="4225"/>
      <c r="AH159" s="4225"/>
      <c r="AI159" s="4225"/>
      <c r="AJ159" s="4225"/>
      <c r="AK159" s="4225"/>
      <c r="AL159" s="4225"/>
      <c r="AM159" s="4225"/>
      <c r="AN159" s="4225"/>
      <c r="AO159" s="4225"/>
      <c r="AP159" s="4225"/>
      <c r="AQ159" s="4225"/>
      <c r="AR159" s="4225"/>
      <c r="AS159" s="4225"/>
      <c r="AT159" s="4225"/>
      <c r="AU159" s="4225"/>
      <c r="AV159" s="4225"/>
      <c r="AW159" s="4225"/>
      <c r="AX159" s="4226"/>
      <c r="AY159" s="1847"/>
      <c r="AZ159" s="1847"/>
      <c r="BA159" s="1847"/>
      <c r="BB159" s="1847"/>
      <c r="BC159" s="1847"/>
      <c r="BD159" s="1847"/>
      <c r="BE159" s="1847"/>
      <c r="BF159" s="1703"/>
      <c r="BG159" s="1703"/>
      <c r="BH159" s="1703"/>
      <c r="BI159" s="1703"/>
      <c r="BJ159" s="1739"/>
      <c r="BK159" s="1687"/>
      <c r="BL159" s="1687"/>
      <c r="BM159" s="1687"/>
      <c r="BN159" s="1687"/>
      <c r="BO159" s="1687"/>
      <c r="BP159" s="1687"/>
    </row>
    <row r="160" spans="1:239" ht="75" customHeight="1" x14ac:dyDescent="0.2">
      <c r="A160" s="1744"/>
      <c r="B160" s="1745"/>
      <c r="C160" s="1746"/>
      <c r="D160" s="1745"/>
      <c r="E160" s="1745"/>
      <c r="F160" s="1746"/>
      <c r="G160" s="1748"/>
      <c r="H160" s="1748"/>
      <c r="I160" s="1749"/>
      <c r="J160" s="4168">
        <v>170</v>
      </c>
      <c r="K160" s="4171" t="s">
        <v>1137</v>
      </c>
      <c r="L160" s="4168" t="s">
        <v>324</v>
      </c>
      <c r="M160" s="4168">
        <v>14</v>
      </c>
      <c r="N160" s="4168">
        <v>0.5</v>
      </c>
      <c r="O160" s="4168" t="s">
        <v>1138</v>
      </c>
      <c r="P160" s="4168">
        <v>156</v>
      </c>
      <c r="Q160" s="4171" t="s">
        <v>1139</v>
      </c>
      <c r="R160" s="4174">
        <f>(W160+W161)/S160</f>
        <v>0.28571428157935846</v>
      </c>
      <c r="S160" s="4187">
        <v>138195556</v>
      </c>
      <c r="T160" s="4171" t="s">
        <v>1140</v>
      </c>
      <c r="U160" s="4171" t="s">
        <v>1141</v>
      </c>
      <c r="V160" s="1852" t="s">
        <v>1142</v>
      </c>
      <c r="W160" s="1853">
        <v>25000000</v>
      </c>
      <c r="X160" s="1854">
        <v>0</v>
      </c>
      <c r="Y160" s="1854">
        <v>0</v>
      </c>
      <c r="Z160" s="4220">
        <v>72</v>
      </c>
      <c r="AA160" s="4168" t="s">
        <v>1087</v>
      </c>
      <c r="AB160" s="4183">
        <v>64149</v>
      </c>
      <c r="AC160" s="4183">
        <v>0</v>
      </c>
      <c r="AD160" s="4183">
        <v>72224</v>
      </c>
      <c r="AE160" s="4183">
        <v>0</v>
      </c>
      <c r="AF160" s="4183">
        <v>27477</v>
      </c>
      <c r="AG160" s="4183">
        <v>0</v>
      </c>
      <c r="AH160" s="4183">
        <v>86843</v>
      </c>
      <c r="AI160" s="4183">
        <v>0</v>
      </c>
      <c r="AJ160" s="4183">
        <v>236429</v>
      </c>
      <c r="AK160" s="4183">
        <v>0</v>
      </c>
      <c r="AL160" s="4183">
        <v>81384</v>
      </c>
      <c r="AM160" s="4183">
        <v>0</v>
      </c>
      <c r="AN160" s="4183">
        <v>13208</v>
      </c>
      <c r="AO160" s="4183">
        <v>0</v>
      </c>
      <c r="AP160" s="4183">
        <v>2145</v>
      </c>
      <c r="AQ160" s="4183">
        <v>0</v>
      </c>
      <c r="AR160" s="4183">
        <v>413</v>
      </c>
      <c r="AS160" s="4183">
        <v>0</v>
      </c>
      <c r="AT160" s="4183">
        <v>520</v>
      </c>
      <c r="AU160" s="4183">
        <v>0</v>
      </c>
      <c r="AV160" s="4183">
        <v>16897</v>
      </c>
      <c r="AW160" s="4183">
        <v>0</v>
      </c>
      <c r="AX160" s="4183">
        <v>75612</v>
      </c>
      <c r="AY160" s="4183">
        <v>0</v>
      </c>
      <c r="AZ160" s="4183">
        <v>0</v>
      </c>
      <c r="BA160" s="4211">
        <v>0</v>
      </c>
      <c r="BB160" s="4211">
        <v>0</v>
      </c>
      <c r="BC160" s="4180">
        <v>0</v>
      </c>
      <c r="BD160" s="4183">
        <v>72</v>
      </c>
      <c r="BE160" s="4217" t="s">
        <v>1089</v>
      </c>
      <c r="BF160" s="4162">
        <v>42948</v>
      </c>
      <c r="BG160" s="4162" t="s">
        <v>154</v>
      </c>
      <c r="BH160" s="4162">
        <v>43100</v>
      </c>
      <c r="BI160" s="4162" t="s">
        <v>154</v>
      </c>
      <c r="BJ160" s="4165" t="s">
        <v>880</v>
      </c>
    </row>
    <row r="161" spans="1:68" ht="52.5" customHeight="1" x14ac:dyDescent="0.2">
      <c r="A161" s="1744"/>
      <c r="B161" s="1745"/>
      <c r="C161" s="1746"/>
      <c r="D161" s="1745"/>
      <c r="E161" s="1745"/>
      <c r="F161" s="1746"/>
      <c r="G161" s="1745"/>
      <c r="H161" s="1745"/>
      <c r="I161" s="1746"/>
      <c r="J161" s="4170"/>
      <c r="K161" s="4173"/>
      <c r="L161" s="4170"/>
      <c r="M161" s="4170"/>
      <c r="N161" s="4170"/>
      <c r="O161" s="4169"/>
      <c r="P161" s="4169"/>
      <c r="Q161" s="4172"/>
      <c r="R161" s="4176"/>
      <c r="S161" s="4188"/>
      <c r="T161" s="4172"/>
      <c r="U161" s="4173"/>
      <c r="V161" s="1852" t="s">
        <v>1143</v>
      </c>
      <c r="W161" s="1855">
        <v>14484444</v>
      </c>
      <c r="X161" s="1856">
        <v>0</v>
      </c>
      <c r="Y161" s="1856">
        <v>0</v>
      </c>
      <c r="Z161" s="4221"/>
      <c r="AA161" s="4169"/>
      <c r="AB161" s="4184"/>
      <c r="AC161" s="4184"/>
      <c r="AD161" s="4184"/>
      <c r="AE161" s="4184"/>
      <c r="AF161" s="4184"/>
      <c r="AG161" s="4184"/>
      <c r="AH161" s="4184"/>
      <c r="AI161" s="4184"/>
      <c r="AJ161" s="4184"/>
      <c r="AK161" s="4184"/>
      <c r="AL161" s="4184"/>
      <c r="AM161" s="4184"/>
      <c r="AN161" s="4184"/>
      <c r="AO161" s="4184"/>
      <c r="AP161" s="4184"/>
      <c r="AQ161" s="4184"/>
      <c r="AR161" s="4184"/>
      <c r="AS161" s="4184"/>
      <c r="AT161" s="4184"/>
      <c r="AU161" s="4184"/>
      <c r="AV161" s="4184"/>
      <c r="AW161" s="4184"/>
      <c r="AX161" s="4184"/>
      <c r="AY161" s="4184"/>
      <c r="AZ161" s="4184"/>
      <c r="BA161" s="4212"/>
      <c r="BB161" s="4212"/>
      <c r="BC161" s="4181"/>
      <c r="BD161" s="4184"/>
      <c r="BE161" s="4218"/>
      <c r="BF161" s="4163"/>
      <c r="BG161" s="4163"/>
      <c r="BH161" s="4163"/>
      <c r="BI161" s="4163"/>
      <c r="BJ161" s="4166"/>
    </row>
    <row r="162" spans="1:68" ht="74.25" customHeight="1" x14ac:dyDescent="0.2">
      <c r="A162" s="1744"/>
      <c r="B162" s="1745"/>
      <c r="C162" s="1746"/>
      <c r="D162" s="1745"/>
      <c r="E162" s="1745"/>
      <c r="F162" s="1746"/>
      <c r="G162" s="1745"/>
      <c r="H162" s="1745"/>
      <c r="I162" s="1746"/>
      <c r="J162" s="1715">
        <v>171</v>
      </c>
      <c r="K162" s="1716" t="s">
        <v>1144</v>
      </c>
      <c r="L162" s="1757" t="s">
        <v>324</v>
      </c>
      <c r="M162" s="1715">
        <v>1</v>
      </c>
      <c r="N162" s="1715">
        <v>0.2</v>
      </c>
      <c r="O162" s="4170"/>
      <c r="P162" s="4170"/>
      <c r="Q162" s="4173"/>
      <c r="R162" s="1718">
        <f>W162/S160</f>
        <v>0.71428571118451889</v>
      </c>
      <c r="S162" s="4189"/>
      <c r="T162" s="4173"/>
      <c r="U162" s="1716" t="s">
        <v>1145</v>
      </c>
      <c r="V162" s="1852" t="s">
        <v>1146</v>
      </c>
      <c r="W162" s="1855">
        <v>98711111</v>
      </c>
      <c r="X162" s="1856">
        <v>0</v>
      </c>
      <c r="Y162" s="1856">
        <v>0</v>
      </c>
      <c r="Z162" s="4222"/>
      <c r="AA162" s="4170"/>
      <c r="AB162" s="4184"/>
      <c r="AC162" s="4185"/>
      <c r="AD162" s="4184"/>
      <c r="AE162" s="4185"/>
      <c r="AF162" s="4184"/>
      <c r="AG162" s="4185"/>
      <c r="AH162" s="4184"/>
      <c r="AI162" s="4185"/>
      <c r="AJ162" s="4184"/>
      <c r="AK162" s="4185"/>
      <c r="AL162" s="4184"/>
      <c r="AM162" s="4185"/>
      <c r="AN162" s="4184"/>
      <c r="AO162" s="4185"/>
      <c r="AP162" s="4184"/>
      <c r="AQ162" s="4185"/>
      <c r="AR162" s="4184"/>
      <c r="AS162" s="4185"/>
      <c r="AT162" s="4184"/>
      <c r="AU162" s="4185"/>
      <c r="AV162" s="4184"/>
      <c r="AW162" s="4185"/>
      <c r="AX162" s="4184"/>
      <c r="AY162" s="4185"/>
      <c r="AZ162" s="4185"/>
      <c r="BA162" s="4213"/>
      <c r="BB162" s="4213"/>
      <c r="BC162" s="4182"/>
      <c r="BD162" s="4185"/>
      <c r="BE162" s="4219"/>
      <c r="BF162" s="4164"/>
      <c r="BG162" s="4164"/>
      <c r="BH162" s="4164"/>
      <c r="BI162" s="4164"/>
      <c r="BJ162" s="4167"/>
    </row>
    <row r="163" spans="1:68" ht="78.599999999999994" customHeight="1" x14ac:dyDescent="0.2">
      <c r="A163" s="1744"/>
      <c r="B163" s="1745"/>
      <c r="C163" s="1746"/>
      <c r="D163" s="1745"/>
      <c r="E163" s="1745"/>
      <c r="F163" s="1746"/>
      <c r="G163" s="1745"/>
      <c r="H163" s="1745"/>
      <c r="I163" s="1746"/>
      <c r="J163" s="4168">
        <v>172</v>
      </c>
      <c r="K163" s="4171" t="s">
        <v>1147</v>
      </c>
      <c r="L163" s="4168" t="s">
        <v>324</v>
      </c>
      <c r="M163" s="4168">
        <v>12</v>
      </c>
      <c r="N163" s="4168">
        <v>12</v>
      </c>
      <c r="O163" s="1717"/>
      <c r="P163" s="4168">
        <v>157</v>
      </c>
      <c r="Q163" s="4171" t="s">
        <v>1148</v>
      </c>
      <c r="R163" s="4174">
        <v>1</v>
      </c>
      <c r="S163" s="4187">
        <v>706004444</v>
      </c>
      <c r="T163" s="4171" t="s">
        <v>1149</v>
      </c>
      <c r="U163" s="4171" t="s">
        <v>1150</v>
      </c>
      <c r="V163" s="1857" t="s">
        <v>1151</v>
      </c>
      <c r="W163" s="1855">
        <v>42000000</v>
      </c>
      <c r="X163" s="1858">
        <v>0</v>
      </c>
      <c r="Y163" s="1858">
        <v>0</v>
      </c>
      <c r="Z163" s="1795"/>
      <c r="AA163" s="1859"/>
      <c r="AB163" s="4183">
        <v>64149</v>
      </c>
      <c r="AC163" s="4183">
        <v>0</v>
      </c>
      <c r="AD163" s="4183">
        <v>72224</v>
      </c>
      <c r="AE163" s="4183">
        <v>0</v>
      </c>
      <c r="AF163" s="4183">
        <v>27477</v>
      </c>
      <c r="AG163" s="4183">
        <v>0</v>
      </c>
      <c r="AH163" s="4183">
        <v>86843</v>
      </c>
      <c r="AI163" s="4183">
        <v>0</v>
      </c>
      <c r="AJ163" s="4183">
        <v>236429</v>
      </c>
      <c r="AK163" s="4183">
        <v>0</v>
      </c>
      <c r="AL163" s="4183">
        <v>81384</v>
      </c>
      <c r="AM163" s="4183">
        <v>0</v>
      </c>
      <c r="AN163" s="4183">
        <v>13208</v>
      </c>
      <c r="AO163" s="4183">
        <v>0</v>
      </c>
      <c r="AP163" s="4183">
        <v>2145</v>
      </c>
      <c r="AQ163" s="4183">
        <v>0</v>
      </c>
      <c r="AR163" s="4183">
        <v>413</v>
      </c>
      <c r="AS163" s="4183">
        <v>0</v>
      </c>
      <c r="AT163" s="4183">
        <v>520</v>
      </c>
      <c r="AU163" s="4183">
        <v>0</v>
      </c>
      <c r="AV163" s="4183">
        <v>16897</v>
      </c>
      <c r="AW163" s="4183">
        <v>0</v>
      </c>
      <c r="AX163" s="4183">
        <v>75612</v>
      </c>
      <c r="AY163" s="4183">
        <v>0</v>
      </c>
      <c r="AZ163" s="4183">
        <v>0</v>
      </c>
      <c r="BA163" s="4211">
        <v>0</v>
      </c>
      <c r="BB163" s="4211">
        <v>0</v>
      </c>
      <c r="BC163" s="4180">
        <v>0</v>
      </c>
      <c r="BD163" s="4183" t="s">
        <v>1152</v>
      </c>
      <c r="BE163" s="4183" t="s">
        <v>1089</v>
      </c>
      <c r="BF163" s="4162">
        <v>42948</v>
      </c>
      <c r="BG163" s="4162" t="s">
        <v>154</v>
      </c>
      <c r="BH163" s="4162">
        <v>43100</v>
      </c>
      <c r="BI163" s="4162" t="s">
        <v>154</v>
      </c>
      <c r="BJ163" s="4165" t="s">
        <v>880</v>
      </c>
    </row>
    <row r="164" spans="1:68" ht="78.599999999999994" customHeight="1" x14ac:dyDescent="0.2">
      <c r="A164" s="1744"/>
      <c r="B164" s="1745"/>
      <c r="C164" s="1746"/>
      <c r="D164" s="1745"/>
      <c r="E164" s="1745"/>
      <c r="F164" s="1746"/>
      <c r="G164" s="1745"/>
      <c r="H164" s="1745"/>
      <c r="I164" s="1746"/>
      <c r="J164" s="4169"/>
      <c r="K164" s="4172"/>
      <c r="L164" s="4169"/>
      <c r="M164" s="4169"/>
      <c r="N164" s="4169"/>
      <c r="O164" s="1791" t="s">
        <v>1153</v>
      </c>
      <c r="P164" s="4169"/>
      <c r="Q164" s="4172"/>
      <c r="R164" s="4175"/>
      <c r="S164" s="4188"/>
      <c r="T164" s="4172"/>
      <c r="U164" s="4172"/>
      <c r="V164" s="1857" t="s">
        <v>1154</v>
      </c>
      <c r="W164" s="1855">
        <v>199004444</v>
      </c>
      <c r="X164" s="1858">
        <v>0</v>
      </c>
      <c r="Y164" s="1858">
        <v>0</v>
      </c>
      <c r="Z164" s="1793">
        <v>72</v>
      </c>
      <c r="AA164" s="1860" t="s">
        <v>1087</v>
      </c>
      <c r="AB164" s="4184"/>
      <c r="AC164" s="4184"/>
      <c r="AD164" s="4184"/>
      <c r="AE164" s="4184"/>
      <c r="AF164" s="4184"/>
      <c r="AG164" s="4184"/>
      <c r="AH164" s="4184"/>
      <c r="AI164" s="4184"/>
      <c r="AJ164" s="4184"/>
      <c r="AK164" s="4184"/>
      <c r="AL164" s="4184"/>
      <c r="AM164" s="4184"/>
      <c r="AN164" s="4184"/>
      <c r="AO164" s="4184"/>
      <c r="AP164" s="4184"/>
      <c r="AQ164" s="4184"/>
      <c r="AR164" s="4184"/>
      <c r="AS164" s="4184"/>
      <c r="AT164" s="4184"/>
      <c r="AU164" s="4184"/>
      <c r="AV164" s="4184"/>
      <c r="AW164" s="4184"/>
      <c r="AX164" s="4184"/>
      <c r="AY164" s="4184"/>
      <c r="AZ164" s="4184"/>
      <c r="BA164" s="4212"/>
      <c r="BB164" s="4212"/>
      <c r="BC164" s="4181"/>
      <c r="BD164" s="4184"/>
      <c r="BE164" s="4184"/>
      <c r="BF164" s="4163"/>
      <c r="BG164" s="4163"/>
      <c r="BH164" s="4163"/>
      <c r="BI164" s="4163"/>
      <c r="BJ164" s="4166"/>
      <c r="BL164" s="1723"/>
    </row>
    <row r="165" spans="1:68" ht="78.599999999999994" customHeight="1" x14ac:dyDescent="0.2">
      <c r="A165" s="1744"/>
      <c r="B165" s="1745"/>
      <c r="C165" s="1746"/>
      <c r="D165" s="1745"/>
      <c r="E165" s="1745"/>
      <c r="F165" s="1746"/>
      <c r="G165" s="1745"/>
      <c r="H165" s="1745"/>
      <c r="I165" s="1746"/>
      <c r="J165" s="4169"/>
      <c r="K165" s="4172"/>
      <c r="L165" s="4169"/>
      <c r="M165" s="4169"/>
      <c r="N165" s="4169"/>
      <c r="O165" s="1791"/>
      <c r="P165" s="4169"/>
      <c r="Q165" s="4172"/>
      <c r="R165" s="4175"/>
      <c r="S165" s="4188"/>
      <c r="T165" s="4172"/>
      <c r="U165" s="4172"/>
      <c r="V165" s="1857" t="s">
        <v>1155</v>
      </c>
      <c r="W165" s="1855">
        <v>50000000</v>
      </c>
      <c r="X165" s="1858">
        <v>0</v>
      </c>
      <c r="Y165" s="1858">
        <v>0</v>
      </c>
      <c r="Z165" s="1793"/>
      <c r="AA165" s="1860"/>
      <c r="AB165" s="4184"/>
      <c r="AC165" s="4184"/>
      <c r="AD165" s="4184"/>
      <c r="AE165" s="4184"/>
      <c r="AF165" s="4184"/>
      <c r="AG165" s="4184"/>
      <c r="AH165" s="4184"/>
      <c r="AI165" s="4184"/>
      <c r="AJ165" s="4184"/>
      <c r="AK165" s="4184"/>
      <c r="AL165" s="4184"/>
      <c r="AM165" s="4184"/>
      <c r="AN165" s="4184"/>
      <c r="AO165" s="4184"/>
      <c r="AP165" s="4184"/>
      <c r="AQ165" s="4184"/>
      <c r="AR165" s="4184"/>
      <c r="AS165" s="4184"/>
      <c r="AT165" s="4184"/>
      <c r="AU165" s="4184"/>
      <c r="AV165" s="4184"/>
      <c r="AW165" s="4184"/>
      <c r="AX165" s="4184"/>
      <c r="AY165" s="4184"/>
      <c r="AZ165" s="4184"/>
      <c r="BA165" s="4212"/>
      <c r="BB165" s="4212"/>
      <c r="BC165" s="4181"/>
      <c r="BD165" s="4184"/>
      <c r="BE165" s="4184"/>
      <c r="BF165" s="4163"/>
      <c r="BG165" s="4163"/>
      <c r="BH165" s="4163"/>
      <c r="BI165" s="4163"/>
      <c r="BJ165" s="4166"/>
      <c r="BL165" s="1723"/>
    </row>
    <row r="166" spans="1:68" ht="78.599999999999994" customHeight="1" x14ac:dyDescent="0.2">
      <c r="A166" s="1744"/>
      <c r="B166" s="1745"/>
      <c r="C166" s="1746"/>
      <c r="D166" s="1745"/>
      <c r="E166" s="1745"/>
      <c r="F166" s="1746"/>
      <c r="G166" s="1745"/>
      <c r="H166" s="1745"/>
      <c r="I166" s="1746"/>
      <c r="J166" s="4169"/>
      <c r="K166" s="4172"/>
      <c r="L166" s="4169"/>
      <c r="M166" s="4169"/>
      <c r="N166" s="4169"/>
      <c r="O166" s="1791"/>
      <c r="P166" s="4169"/>
      <c r="Q166" s="4172"/>
      <c r="R166" s="4175"/>
      <c r="S166" s="4188"/>
      <c r="T166" s="4172"/>
      <c r="U166" s="4172"/>
      <c r="V166" s="1861" t="s">
        <v>1156</v>
      </c>
      <c r="W166" s="1862">
        <v>20000000</v>
      </c>
      <c r="X166" s="1858">
        <v>0</v>
      </c>
      <c r="Y166" s="1858">
        <v>0</v>
      </c>
      <c r="Z166" s="1793"/>
      <c r="AA166" s="1860"/>
      <c r="AB166" s="4184"/>
      <c r="AC166" s="4184"/>
      <c r="AD166" s="4184"/>
      <c r="AE166" s="4184"/>
      <c r="AF166" s="4184"/>
      <c r="AG166" s="4184"/>
      <c r="AH166" s="4184"/>
      <c r="AI166" s="4184"/>
      <c r="AJ166" s="4184"/>
      <c r="AK166" s="4184"/>
      <c r="AL166" s="4184"/>
      <c r="AM166" s="4184"/>
      <c r="AN166" s="4184"/>
      <c r="AO166" s="4184"/>
      <c r="AP166" s="4184"/>
      <c r="AQ166" s="4184"/>
      <c r="AR166" s="4184"/>
      <c r="AS166" s="4184"/>
      <c r="AT166" s="4184"/>
      <c r="AU166" s="4184"/>
      <c r="AV166" s="4184"/>
      <c r="AW166" s="4184"/>
      <c r="AX166" s="4184"/>
      <c r="AY166" s="4184"/>
      <c r="AZ166" s="4184"/>
      <c r="BA166" s="4212"/>
      <c r="BB166" s="4212"/>
      <c r="BC166" s="4181"/>
      <c r="BD166" s="4184"/>
      <c r="BE166" s="4184"/>
      <c r="BF166" s="4163"/>
      <c r="BG166" s="4163"/>
      <c r="BH166" s="4163"/>
      <c r="BI166" s="4163"/>
      <c r="BJ166" s="4166"/>
      <c r="BL166" s="1723"/>
    </row>
    <row r="167" spans="1:68" ht="78.599999999999994" customHeight="1" x14ac:dyDescent="0.2">
      <c r="A167" s="1744"/>
      <c r="B167" s="1745"/>
      <c r="C167" s="1746"/>
      <c r="D167" s="1745"/>
      <c r="E167" s="1745"/>
      <c r="F167" s="1746"/>
      <c r="G167" s="1745"/>
      <c r="H167" s="1745"/>
      <c r="I167" s="1746"/>
      <c r="J167" s="4169"/>
      <c r="K167" s="4172"/>
      <c r="L167" s="4169"/>
      <c r="M167" s="4169"/>
      <c r="N167" s="4169"/>
      <c r="O167" s="1791"/>
      <c r="P167" s="4169"/>
      <c r="Q167" s="4172"/>
      <c r="R167" s="4175"/>
      <c r="S167" s="4188"/>
      <c r="T167" s="4172"/>
      <c r="U167" s="4172"/>
      <c r="V167" s="1861" t="s">
        <v>1157</v>
      </c>
      <c r="W167" s="1862">
        <v>50000000</v>
      </c>
      <c r="X167" s="1858">
        <v>0</v>
      </c>
      <c r="Y167" s="1858">
        <v>0</v>
      </c>
      <c r="Z167" s="1793"/>
      <c r="AA167" s="1860"/>
      <c r="AB167" s="4184"/>
      <c r="AC167" s="4184"/>
      <c r="AD167" s="4184"/>
      <c r="AE167" s="4184"/>
      <c r="AF167" s="4184"/>
      <c r="AG167" s="4184"/>
      <c r="AH167" s="4184"/>
      <c r="AI167" s="4184"/>
      <c r="AJ167" s="4184"/>
      <c r="AK167" s="4184"/>
      <c r="AL167" s="4184"/>
      <c r="AM167" s="4184"/>
      <c r="AN167" s="4184"/>
      <c r="AO167" s="4184"/>
      <c r="AP167" s="4184"/>
      <c r="AQ167" s="4184"/>
      <c r="AR167" s="4184"/>
      <c r="AS167" s="4184"/>
      <c r="AT167" s="4184"/>
      <c r="AU167" s="4184"/>
      <c r="AV167" s="4184"/>
      <c r="AW167" s="4184"/>
      <c r="AX167" s="4184"/>
      <c r="AY167" s="4184"/>
      <c r="AZ167" s="4184"/>
      <c r="BA167" s="4212"/>
      <c r="BB167" s="4212"/>
      <c r="BC167" s="4181"/>
      <c r="BD167" s="4184"/>
      <c r="BE167" s="4184"/>
      <c r="BF167" s="4163"/>
      <c r="BG167" s="4163"/>
      <c r="BH167" s="4163"/>
      <c r="BI167" s="4163"/>
      <c r="BJ167" s="4166"/>
      <c r="BL167" s="1723"/>
    </row>
    <row r="168" spans="1:68" ht="78.599999999999994" customHeight="1" x14ac:dyDescent="0.2">
      <c r="A168" s="1744"/>
      <c r="B168" s="1745"/>
      <c r="C168" s="1746"/>
      <c r="D168" s="1745"/>
      <c r="E168" s="1745"/>
      <c r="F168" s="1746"/>
      <c r="G168" s="1745"/>
      <c r="H168" s="1745"/>
      <c r="I168" s="1746"/>
      <c r="J168" s="4169"/>
      <c r="K168" s="4172"/>
      <c r="L168" s="4169"/>
      <c r="M168" s="4169"/>
      <c r="N168" s="4169"/>
      <c r="O168" s="1791" t="s">
        <v>1158</v>
      </c>
      <c r="P168" s="4169"/>
      <c r="Q168" s="4172"/>
      <c r="R168" s="4175"/>
      <c r="S168" s="4188"/>
      <c r="T168" s="4172"/>
      <c r="U168" s="4173"/>
      <c r="V168" s="1861" t="s">
        <v>1159</v>
      </c>
      <c r="W168" s="1862">
        <v>330000000</v>
      </c>
      <c r="X168" s="1858">
        <v>0</v>
      </c>
      <c r="Y168" s="1858">
        <v>0</v>
      </c>
      <c r="Z168" s="1793">
        <v>20</v>
      </c>
      <c r="AA168" s="1791" t="s">
        <v>208</v>
      </c>
      <c r="AB168" s="4184"/>
      <c r="AC168" s="4184"/>
      <c r="AD168" s="4184"/>
      <c r="AE168" s="4184"/>
      <c r="AF168" s="4184"/>
      <c r="AG168" s="4184"/>
      <c r="AH168" s="4184"/>
      <c r="AI168" s="4184"/>
      <c r="AJ168" s="4184"/>
      <c r="AK168" s="4184"/>
      <c r="AL168" s="4184"/>
      <c r="AM168" s="4184"/>
      <c r="AN168" s="4184"/>
      <c r="AO168" s="4184"/>
      <c r="AP168" s="4184"/>
      <c r="AQ168" s="4184"/>
      <c r="AR168" s="4184"/>
      <c r="AS168" s="4184"/>
      <c r="AT168" s="4184"/>
      <c r="AU168" s="4184"/>
      <c r="AV168" s="4184"/>
      <c r="AW168" s="4184"/>
      <c r="AX168" s="4184"/>
      <c r="AY168" s="4184"/>
      <c r="AZ168" s="4184"/>
      <c r="BA168" s="4212"/>
      <c r="BB168" s="4212"/>
      <c r="BC168" s="4181"/>
      <c r="BD168" s="4184"/>
      <c r="BE168" s="4184"/>
      <c r="BF168" s="4163"/>
      <c r="BG168" s="4163"/>
      <c r="BH168" s="4163"/>
      <c r="BI168" s="4163"/>
      <c r="BJ168" s="4166"/>
    </row>
    <row r="169" spans="1:68" ht="108" customHeight="1" x14ac:dyDescent="0.2">
      <c r="A169" s="1744"/>
      <c r="B169" s="1745"/>
      <c r="C169" s="1746"/>
      <c r="D169" s="1745"/>
      <c r="E169" s="1745"/>
      <c r="F169" s="1746"/>
      <c r="G169" s="1755"/>
      <c r="H169" s="1755"/>
      <c r="I169" s="1756"/>
      <c r="J169" s="4170"/>
      <c r="K169" s="4173"/>
      <c r="L169" s="4170"/>
      <c r="M169" s="4170"/>
      <c r="N169" s="4170"/>
      <c r="O169" s="1757"/>
      <c r="P169" s="4170"/>
      <c r="Q169" s="4173"/>
      <c r="R169" s="4176"/>
      <c r="S169" s="4189"/>
      <c r="T169" s="4173"/>
      <c r="U169" s="1716" t="s">
        <v>1160</v>
      </c>
      <c r="V169" s="1863" t="s">
        <v>1161</v>
      </c>
      <c r="W169" s="1855">
        <v>15000000</v>
      </c>
      <c r="X169" s="1864">
        <v>0</v>
      </c>
      <c r="Y169" s="1864">
        <v>0</v>
      </c>
      <c r="Z169" s="1797"/>
      <c r="AA169" s="1865"/>
      <c r="AB169" s="4185"/>
      <c r="AC169" s="4185"/>
      <c r="AD169" s="4185"/>
      <c r="AE169" s="4185"/>
      <c r="AF169" s="4185"/>
      <c r="AG169" s="4185"/>
      <c r="AH169" s="4185"/>
      <c r="AI169" s="4185"/>
      <c r="AJ169" s="4185"/>
      <c r="AK169" s="4185"/>
      <c r="AL169" s="4185"/>
      <c r="AM169" s="4185"/>
      <c r="AN169" s="4185"/>
      <c r="AO169" s="4185"/>
      <c r="AP169" s="4185"/>
      <c r="AQ169" s="4185"/>
      <c r="AR169" s="4185"/>
      <c r="AS169" s="4185"/>
      <c r="AT169" s="4185"/>
      <c r="AU169" s="4185"/>
      <c r="AV169" s="4185"/>
      <c r="AW169" s="4185"/>
      <c r="AX169" s="4185"/>
      <c r="AY169" s="4185"/>
      <c r="AZ169" s="4185"/>
      <c r="BA169" s="4213"/>
      <c r="BB169" s="4213"/>
      <c r="BC169" s="4182"/>
      <c r="BD169" s="4185"/>
      <c r="BE169" s="4185"/>
      <c r="BF169" s="4164"/>
      <c r="BG169" s="4164"/>
      <c r="BH169" s="4164"/>
      <c r="BI169" s="4164"/>
      <c r="BJ169" s="4167"/>
    </row>
    <row r="170" spans="1:68" s="1743" customFormat="1" ht="36" customHeight="1" x14ac:dyDescent="0.2">
      <c r="A170" s="1697"/>
      <c r="B170" s="1698"/>
      <c r="C170" s="1699"/>
      <c r="D170" s="1698"/>
      <c r="E170" s="1698"/>
      <c r="F170" s="1699"/>
      <c r="G170" s="1737">
        <v>53</v>
      </c>
      <c r="H170" s="1703" t="s">
        <v>1162</v>
      </c>
      <c r="I170" s="1703"/>
      <c r="J170" s="1703"/>
      <c r="K170" s="1704"/>
      <c r="L170" s="1703"/>
      <c r="M170" s="1703"/>
      <c r="N170" s="1703"/>
      <c r="O170" s="1705"/>
      <c r="P170" s="1703"/>
      <c r="Q170" s="1704"/>
      <c r="R170" s="1703"/>
      <c r="S170" s="1703"/>
      <c r="T170" s="1703"/>
      <c r="U170" s="1704"/>
      <c r="V170" s="1704"/>
      <c r="W170" s="1706"/>
      <c r="X170" s="1762"/>
      <c r="Y170" s="1762"/>
      <c r="Z170" s="1738"/>
      <c r="AA170" s="1705"/>
      <c r="AB170" s="1866"/>
      <c r="AC170" s="1866"/>
      <c r="AD170" s="1866"/>
      <c r="AE170" s="1866"/>
      <c r="AF170" s="1866"/>
      <c r="AG170" s="1866"/>
      <c r="AH170" s="1866"/>
      <c r="AI170" s="1866"/>
      <c r="AJ170" s="1866"/>
      <c r="AK170" s="1866"/>
      <c r="AL170" s="1866"/>
      <c r="AM170" s="1866"/>
      <c r="AN170" s="1866"/>
      <c r="AO170" s="1866"/>
      <c r="AP170" s="1866"/>
      <c r="AQ170" s="1866"/>
      <c r="AR170" s="1866"/>
      <c r="AS170" s="1866"/>
      <c r="AT170" s="1866"/>
      <c r="AU170" s="1866"/>
      <c r="AV170" s="1866"/>
      <c r="AW170" s="1866"/>
      <c r="AX170" s="1866"/>
      <c r="AY170" s="1866"/>
      <c r="AZ170" s="1866"/>
      <c r="BA170" s="1866"/>
      <c r="BB170" s="1866"/>
      <c r="BC170" s="1866"/>
      <c r="BD170" s="1866"/>
      <c r="BE170" s="1866"/>
      <c r="BF170" s="1703"/>
      <c r="BG170" s="1703"/>
      <c r="BH170" s="1703"/>
      <c r="BI170" s="1703"/>
      <c r="BJ170" s="1739"/>
      <c r="BK170" s="1687"/>
      <c r="BL170" s="1687"/>
      <c r="BM170" s="1687"/>
      <c r="BN170" s="1687"/>
      <c r="BO170" s="1687"/>
      <c r="BP170" s="1687"/>
    </row>
    <row r="171" spans="1:68" ht="66" customHeight="1" x14ac:dyDescent="0.2">
      <c r="A171" s="1709"/>
      <c r="B171" s="1710"/>
      <c r="C171" s="1711"/>
      <c r="D171" s="1710"/>
      <c r="E171" s="1710"/>
      <c r="F171" s="1711"/>
      <c r="G171" s="1713"/>
      <c r="H171" s="1713"/>
      <c r="I171" s="1714"/>
      <c r="J171" s="4168">
        <v>173</v>
      </c>
      <c r="K171" s="4190" t="s">
        <v>1163</v>
      </c>
      <c r="L171" s="4168" t="s">
        <v>324</v>
      </c>
      <c r="M171" s="4168">
        <v>7</v>
      </c>
      <c r="N171" s="4168">
        <v>0.8</v>
      </c>
      <c r="O171" s="4168" t="s">
        <v>1164</v>
      </c>
      <c r="P171" s="4168">
        <v>158</v>
      </c>
      <c r="Q171" s="4171" t="s">
        <v>1165</v>
      </c>
      <c r="R171" s="4174">
        <v>1</v>
      </c>
      <c r="S171" s="4187">
        <v>35436120</v>
      </c>
      <c r="T171" s="4171" t="s">
        <v>1166</v>
      </c>
      <c r="U171" s="1716" t="s">
        <v>1167</v>
      </c>
      <c r="V171" s="1867" t="s">
        <v>1168</v>
      </c>
      <c r="W171" s="1796">
        <v>8859030</v>
      </c>
      <c r="X171" s="1868">
        <v>0</v>
      </c>
      <c r="Y171" s="1868">
        <v>0</v>
      </c>
      <c r="Z171" s="4214">
        <v>72</v>
      </c>
      <c r="AA171" s="4168" t="s">
        <v>1087</v>
      </c>
      <c r="AB171" s="4183">
        <f t="shared" ref="AB171:AL171" si="6">AB163</f>
        <v>64149</v>
      </c>
      <c r="AC171" s="4183">
        <v>0</v>
      </c>
      <c r="AD171" s="4183">
        <f t="shared" si="6"/>
        <v>72224</v>
      </c>
      <c r="AE171" s="4183">
        <v>0</v>
      </c>
      <c r="AF171" s="4183">
        <f t="shared" si="6"/>
        <v>27477</v>
      </c>
      <c r="AG171" s="4183">
        <v>0</v>
      </c>
      <c r="AH171" s="4183">
        <f t="shared" si="6"/>
        <v>86843</v>
      </c>
      <c r="AI171" s="4183">
        <v>0</v>
      </c>
      <c r="AJ171" s="4183">
        <f t="shared" si="6"/>
        <v>236429</v>
      </c>
      <c r="AK171" s="4183">
        <v>0</v>
      </c>
      <c r="AL171" s="4183">
        <f t="shared" si="6"/>
        <v>81384</v>
      </c>
      <c r="AM171" s="4183">
        <v>0</v>
      </c>
      <c r="AN171" s="4183">
        <v>13208</v>
      </c>
      <c r="AO171" s="4183">
        <v>0</v>
      </c>
      <c r="AP171" s="4183">
        <v>2145</v>
      </c>
      <c r="AQ171" s="4183">
        <v>0</v>
      </c>
      <c r="AR171" s="4183">
        <v>413</v>
      </c>
      <c r="AS171" s="4183">
        <v>0</v>
      </c>
      <c r="AT171" s="4183">
        <v>520</v>
      </c>
      <c r="AU171" s="4183">
        <v>0</v>
      </c>
      <c r="AV171" s="4183">
        <v>16897</v>
      </c>
      <c r="AW171" s="4183">
        <v>0</v>
      </c>
      <c r="AX171" s="4183">
        <v>75612</v>
      </c>
      <c r="AY171" s="4183">
        <v>0</v>
      </c>
      <c r="AZ171" s="4183">
        <v>0</v>
      </c>
      <c r="BA171" s="4211">
        <v>0</v>
      </c>
      <c r="BB171" s="4211">
        <v>0</v>
      </c>
      <c r="BC171" s="4180">
        <v>0</v>
      </c>
      <c r="BD171" s="4183">
        <v>72</v>
      </c>
      <c r="BE171" s="4183" t="s">
        <v>1089</v>
      </c>
      <c r="BF171" s="4162">
        <v>42948</v>
      </c>
      <c r="BG171" s="4162" t="s">
        <v>154</v>
      </c>
      <c r="BH171" s="4162">
        <v>43100</v>
      </c>
      <c r="BI171" s="4162" t="s">
        <v>154</v>
      </c>
      <c r="BJ171" s="4165" t="s">
        <v>880</v>
      </c>
    </row>
    <row r="172" spans="1:68" ht="69" customHeight="1" x14ac:dyDescent="0.2">
      <c r="A172" s="1709"/>
      <c r="B172" s="1710"/>
      <c r="C172" s="1711"/>
      <c r="D172" s="1710"/>
      <c r="E172" s="1710"/>
      <c r="F172" s="1711"/>
      <c r="G172" s="1710"/>
      <c r="H172" s="1710"/>
      <c r="I172" s="1711"/>
      <c r="J172" s="4169"/>
      <c r="K172" s="4191"/>
      <c r="L172" s="4169"/>
      <c r="M172" s="4169"/>
      <c r="N172" s="4169"/>
      <c r="O172" s="4169"/>
      <c r="P172" s="4169"/>
      <c r="Q172" s="4172"/>
      <c r="R172" s="4175"/>
      <c r="S172" s="4188"/>
      <c r="T172" s="4172"/>
      <c r="U172" s="4190" t="s">
        <v>1169</v>
      </c>
      <c r="V172" s="1867" t="s">
        <v>1170</v>
      </c>
      <c r="W172" s="1796">
        <v>8859030</v>
      </c>
      <c r="X172" s="1868">
        <v>0</v>
      </c>
      <c r="Y172" s="1868">
        <v>0</v>
      </c>
      <c r="Z172" s="4215"/>
      <c r="AA172" s="4169"/>
      <c r="AB172" s="4184"/>
      <c r="AC172" s="4184"/>
      <c r="AD172" s="4184"/>
      <c r="AE172" s="4184"/>
      <c r="AF172" s="4184"/>
      <c r="AG172" s="4184"/>
      <c r="AH172" s="4184"/>
      <c r="AI172" s="4184"/>
      <c r="AJ172" s="4184"/>
      <c r="AK172" s="4184"/>
      <c r="AL172" s="4184"/>
      <c r="AM172" s="4184"/>
      <c r="AN172" s="4184"/>
      <c r="AO172" s="4184"/>
      <c r="AP172" s="4184"/>
      <c r="AQ172" s="4184"/>
      <c r="AR172" s="4184"/>
      <c r="AS172" s="4184"/>
      <c r="AT172" s="4184"/>
      <c r="AU172" s="4184"/>
      <c r="AV172" s="4184"/>
      <c r="AW172" s="4184"/>
      <c r="AX172" s="4184"/>
      <c r="AY172" s="4184"/>
      <c r="AZ172" s="4184"/>
      <c r="BA172" s="4212"/>
      <c r="BB172" s="4212"/>
      <c r="BC172" s="4181"/>
      <c r="BD172" s="4184"/>
      <c r="BE172" s="4184"/>
      <c r="BF172" s="4163"/>
      <c r="BG172" s="4163"/>
      <c r="BH172" s="4163"/>
      <c r="BI172" s="4163"/>
      <c r="BJ172" s="4166"/>
    </row>
    <row r="173" spans="1:68" ht="65.25" customHeight="1" x14ac:dyDescent="0.2">
      <c r="A173" s="1709"/>
      <c r="B173" s="1710"/>
      <c r="C173" s="1711"/>
      <c r="D173" s="1710"/>
      <c r="E173" s="1710"/>
      <c r="F173" s="1711"/>
      <c r="G173" s="1710"/>
      <c r="H173" s="1710"/>
      <c r="I173" s="1711"/>
      <c r="J173" s="4169"/>
      <c r="K173" s="4191"/>
      <c r="L173" s="4169"/>
      <c r="M173" s="4169"/>
      <c r="N173" s="4169"/>
      <c r="O173" s="4169"/>
      <c r="P173" s="4169"/>
      <c r="Q173" s="4172"/>
      <c r="R173" s="4175"/>
      <c r="S173" s="4188"/>
      <c r="T173" s="4172"/>
      <c r="U173" s="4192"/>
      <c r="V173" s="1867" t="s">
        <v>1171</v>
      </c>
      <c r="W173" s="1796">
        <v>8859030</v>
      </c>
      <c r="X173" s="1868">
        <v>0</v>
      </c>
      <c r="Y173" s="1868">
        <v>0</v>
      </c>
      <c r="Z173" s="4215"/>
      <c r="AA173" s="4169"/>
      <c r="AB173" s="4184"/>
      <c r="AC173" s="4184"/>
      <c r="AD173" s="4184"/>
      <c r="AE173" s="4184"/>
      <c r="AF173" s="4184"/>
      <c r="AG173" s="4184"/>
      <c r="AH173" s="4184"/>
      <c r="AI173" s="4184"/>
      <c r="AJ173" s="4184"/>
      <c r="AK173" s="4184"/>
      <c r="AL173" s="4184"/>
      <c r="AM173" s="4184"/>
      <c r="AN173" s="4184"/>
      <c r="AO173" s="4184"/>
      <c r="AP173" s="4184"/>
      <c r="AQ173" s="4184"/>
      <c r="AR173" s="4184"/>
      <c r="AS173" s="4184"/>
      <c r="AT173" s="4184"/>
      <c r="AU173" s="4184"/>
      <c r="AV173" s="4184"/>
      <c r="AW173" s="4184"/>
      <c r="AX173" s="4184"/>
      <c r="AY173" s="4184"/>
      <c r="AZ173" s="4184"/>
      <c r="BA173" s="4212"/>
      <c r="BB173" s="4212"/>
      <c r="BC173" s="4181"/>
      <c r="BD173" s="4184"/>
      <c r="BE173" s="4184"/>
      <c r="BF173" s="4163"/>
      <c r="BG173" s="4163"/>
      <c r="BH173" s="4163"/>
      <c r="BI173" s="4163"/>
      <c r="BJ173" s="4166"/>
    </row>
    <row r="174" spans="1:68" ht="74.25" customHeight="1" x14ac:dyDescent="0.2">
      <c r="A174" s="1709"/>
      <c r="B174" s="1710"/>
      <c r="C174" s="1711"/>
      <c r="D174" s="1710"/>
      <c r="E174" s="1710"/>
      <c r="F174" s="1711"/>
      <c r="G174" s="1710"/>
      <c r="H174" s="1710"/>
      <c r="I174" s="1711"/>
      <c r="J174" s="4169"/>
      <c r="K174" s="4191"/>
      <c r="L174" s="4169"/>
      <c r="M174" s="4169"/>
      <c r="N174" s="4169"/>
      <c r="O174" s="4169"/>
      <c r="P174" s="4169"/>
      <c r="Q174" s="4172"/>
      <c r="R174" s="4175"/>
      <c r="S174" s="4188"/>
      <c r="T174" s="4172"/>
      <c r="U174" s="1781" t="s">
        <v>1172</v>
      </c>
      <c r="V174" s="1867" t="s">
        <v>1173</v>
      </c>
      <c r="W174" s="1796">
        <v>8859030</v>
      </c>
      <c r="X174" s="1868">
        <v>0</v>
      </c>
      <c r="Y174" s="1868">
        <v>0</v>
      </c>
      <c r="Z174" s="4215"/>
      <c r="AA174" s="4169"/>
      <c r="AB174" s="4184"/>
      <c r="AC174" s="4184"/>
      <c r="AD174" s="4184"/>
      <c r="AE174" s="4184"/>
      <c r="AF174" s="4184"/>
      <c r="AG174" s="4184"/>
      <c r="AH174" s="4184"/>
      <c r="AI174" s="4184"/>
      <c r="AJ174" s="4184"/>
      <c r="AK174" s="4184"/>
      <c r="AL174" s="4184"/>
      <c r="AM174" s="4184"/>
      <c r="AN174" s="4184"/>
      <c r="AO174" s="4184"/>
      <c r="AP174" s="4184"/>
      <c r="AQ174" s="4184"/>
      <c r="AR174" s="4184"/>
      <c r="AS174" s="4184"/>
      <c r="AT174" s="4184"/>
      <c r="AU174" s="4184"/>
      <c r="AV174" s="4184"/>
      <c r="AW174" s="4184"/>
      <c r="AX174" s="4184"/>
      <c r="AY174" s="4184"/>
      <c r="AZ174" s="4184"/>
      <c r="BA174" s="4212"/>
      <c r="BB174" s="4212"/>
      <c r="BC174" s="4181"/>
      <c r="BD174" s="4184"/>
      <c r="BE174" s="4184"/>
      <c r="BF174" s="4163"/>
      <c r="BG174" s="4163"/>
      <c r="BH174" s="4163"/>
      <c r="BI174" s="4163"/>
      <c r="BJ174" s="4166"/>
    </row>
    <row r="175" spans="1:68" ht="93.75" customHeight="1" x14ac:dyDescent="0.2">
      <c r="A175" s="1848"/>
      <c r="B175" s="1726"/>
      <c r="C175" s="1849"/>
      <c r="D175" s="1726"/>
      <c r="E175" s="1726"/>
      <c r="F175" s="1849"/>
      <c r="G175" s="1869"/>
      <c r="H175" s="1869"/>
      <c r="I175" s="1822"/>
      <c r="J175" s="1715">
        <v>174</v>
      </c>
      <c r="K175" s="1716" t="s">
        <v>1174</v>
      </c>
      <c r="L175" s="1715" t="s">
        <v>324</v>
      </c>
      <c r="M175" s="1715">
        <v>150</v>
      </c>
      <c r="N175" s="1870">
        <v>92</v>
      </c>
      <c r="O175" s="4170"/>
      <c r="P175" s="4170"/>
      <c r="Q175" s="4173"/>
      <c r="R175" s="1718">
        <v>0</v>
      </c>
      <c r="S175" s="4189"/>
      <c r="T175" s="4173"/>
      <c r="U175" s="1781" t="s">
        <v>1175</v>
      </c>
      <c r="V175" s="1716" t="s">
        <v>1176</v>
      </c>
      <c r="W175" s="1796">
        <v>0</v>
      </c>
      <c r="X175" s="1868">
        <v>0</v>
      </c>
      <c r="Y175" s="1868">
        <v>0</v>
      </c>
      <c r="Z175" s="4216"/>
      <c r="AA175" s="4170"/>
      <c r="AB175" s="4185"/>
      <c r="AC175" s="4185"/>
      <c r="AD175" s="4185"/>
      <c r="AE175" s="4185"/>
      <c r="AF175" s="4185"/>
      <c r="AG175" s="4185"/>
      <c r="AH175" s="4185"/>
      <c r="AI175" s="4185"/>
      <c r="AJ175" s="4185"/>
      <c r="AK175" s="4185"/>
      <c r="AL175" s="4185"/>
      <c r="AM175" s="4185"/>
      <c r="AN175" s="4185"/>
      <c r="AO175" s="4185"/>
      <c r="AP175" s="4185"/>
      <c r="AQ175" s="4185"/>
      <c r="AR175" s="4185"/>
      <c r="AS175" s="4185"/>
      <c r="AT175" s="4185"/>
      <c r="AU175" s="4185"/>
      <c r="AV175" s="4185"/>
      <c r="AW175" s="4185"/>
      <c r="AX175" s="4185"/>
      <c r="AY175" s="4185"/>
      <c r="AZ175" s="4185"/>
      <c r="BA175" s="4213"/>
      <c r="BB175" s="4213"/>
      <c r="BC175" s="4182"/>
      <c r="BD175" s="4185"/>
      <c r="BE175" s="4185"/>
      <c r="BF175" s="4164"/>
      <c r="BG175" s="4164"/>
      <c r="BH175" s="4164"/>
      <c r="BI175" s="4164"/>
      <c r="BJ175" s="4167"/>
    </row>
    <row r="176" spans="1:68" s="1743" customFormat="1" ht="36" customHeight="1" x14ac:dyDescent="0.2">
      <c r="A176" s="1697"/>
      <c r="B176" s="1698"/>
      <c r="C176" s="1699"/>
      <c r="D176" s="1698"/>
      <c r="E176" s="1698"/>
      <c r="F176" s="1699"/>
      <c r="G176" s="1826">
        <v>54</v>
      </c>
      <c r="H176" s="1827" t="s">
        <v>1177</v>
      </c>
      <c r="I176" s="1827"/>
      <c r="J176" s="1703"/>
      <c r="K176" s="1704"/>
      <c r="L176" s="1703"/>
      <c r="M176" s="1703"/>
      <c r="N176" s="1703"/>
      <c r="O176" s="1705"/>
      <c r="P176" s="1703"/>
      <c r="Q176" s="1704"/>
      <c r="R176" s="1703"/>
      <c r="S176" s="1703"/>
      <c r="T176" s="1703"/>
      <c r="U176" s="1704"/>
      <c r="V176" s="1704"/>
      <c r="W176" s="1706"/>
      <c r="X176" s="1762"/>
      <c r="Y176" s="1762"/>
      <c r="Z176" s="1738"/>
      <c r="AA176" s="1705"/>
      <c r="AB176" s="1866"/>
      <c r="AC176" s="1866"/>
      <c r="AD176" s="1866"/>
      <c r="AE176" s="1866"/>
      <c r="AF176" s="1866"/>
      <c r="AG176" s="1866"/>
      <c r="AH176" s="1866"/>
      <c r="AI176" s="1866"/>
      <c r="AJ176" s="1866"/>
      <c r="AK176" s="1866"/>
      <c r="AL176" s="1866"/>
      <c r="AM176" s="1866"/>
      <c r="AN176" s="1866"/>
      <c r="AO176" s="1866"/>
      <c r="AP176" s="1866"/>
      <c r="AQ176" s="1866"/>
      <c r="AR176" s="1866"/>
      <c r="AS176" s="1866"/>
      <c r="AT176" s="1866"/>
      <c r="AU176" s="1866"/>
      <c r="AV176" s="1866"/>
      <c r="AW176" s="1866"/>
      <c r="AX176" s="1866"/>
      <c r="AY176" s="1866"/>
      <c r="AZ176" s="1866"/>
      <c r="BA176" s="1866"/>
      <c r="BB176" s="1866"/>
      <c r="BC176" s="1866"/>
      <c r="BD176" s="1866"/>
      <c r="BE176" s="1866"/>
      <c r="BF176" s="1703"/>
      <c r="BG176" s="1703"/>
      <c r="BH176" s="1703"/>
      <c r="BI176" s="1703"/>
      <c r="BJ176" s="1739"/>
      <c r="BK176" s="1687"/>
      <c r="BL176" s="1687"/>
      <c r="BM176" s="1687"/>
      <c r="BN176" s="1687"/>
      <c r="BO176" s="1687"/>
      <c r="BP176" s="1687"/>
    </row>
    <row r="177" spans="1:372" ht="64.5" customHeight="1" x14ac:dyDescent="0.2">
      <c r="A177" s="1709"/>
      <c r="B177" s="1710"/>
      <c r="C177" s="1711"/>
      <c r="D177" s="1710"/>
      <c r="E177" s="1710"/>
      <c r="F177" s="1710"/>
      <c r="G177" s="1712"/>
      <c r="H177" s="1713"/>
      <c r="I177" s="1714"/>
      <c r="J177" s="4202">
        <v>175</v>
      </c>
      <c r="K177" s="4202" t="s">
        <v>1178</v>
      </c>
      <c r="L177" s="4202" t="s">
        <v>324</v>
      </c>
      <c r="M177" s="4202">
        <v>14</v>
      </c>
      <c r="N177" s="4168">
        <v>14</v>
      </c>
      <c r="O177" s="4202" t="s">
        <v>1179</v>
      </c>
      <c r="P177" s="4202">
        <v>159</v>
      </c>
      <c r="Q177" s="4205" t="s">
        <v>1180</v>
      </c>
      <c r="R177" s="4208">
        <v>1</v>
      </c>
      <c r="S177" s="4209">
        <v>23817720</v>
      </c>
      <c r="T177" s="4205" t="s">
        <v>1181</v>
      </c>
      <c r="U177" s="4210" t="s">
        <v>1182</v>
      </c>
      <c r="V177" s="1740" t="s">
        <v>1183</v>
      </c>
      <c r="W177" s="1871">
        <v>20000000</v>
      </c>
      <c r="X177" s="1871">
        <v>17182280</v>
      </c>
      <c r="Y177" s="1871">
        <v>2000000</v>
      </c>
      <c r="Z177" s="4199">
        <v>72</v>
      </c>
      <c r="AA177" s="4200" t="s">
        <v>1087</v>
      </c>
      <c r="AB177" s="4197">
        <f t="shared" ref="AB177:AL177" si="7">AB171</f>
        <v>64149</v>
      </c>
      <c r="AC177" s="4197">
        <f>SUM(AB177*0.88)</f>
        <v>56451.12</v>
      </c>
      <c r="AD177" s="4197">
        <f t="shared" si="7"/>
        <v>72224</v>
      </c>
      <c r="AE177" s="4197">
        <f>SUM(AD177*0.88)</f>
        <v>63557.120000000003</v>
      </c>
      <c r="AF177" s="4197">
        <f t="shared" si="7"/>
        <v>27477</v>
      </c>
      <c r="AG177" s="4197">
        <f>SUM(AF177*0.88)</f>
        <v>24179.759999999998</v>
      </c>
      <c r="AH177" s="4197">
        <f t="shared" si="7"/>
        <v>86843</v>
      </c>
      <c r="AI177" s="4197">
        <f>SUM(AH177*0.88)</f>
        <v>76421.84</v>
      </c>
      <c r="AJ177" s="4197">
        <f t="shared" si="7"/>
        <v>236429</v>
      </c>
      <c r="AK177" s="4197">
        <f>SUM(AJ177*0.88)</f>
        <v>208057.52</v>
      </c>
      <c r="AL177" s="4197">
        <f t="shared" si="7"/>
        <v>81384</v>
      </c>
      <c r="AM177" s="4197">
        <f>SUM(AL177*0.88)</f>
        <v>71617.919999999998</v>
      </c>
      <c r="AN177" s="4197">
        <v>13208</v>
      </c>
      <c r="AO177" s="4197">
        <f>SUM(AN177*0.88)</f>
        <v>11623.04</v>
      </c>
      <c r="AP177" s="4197">
        <v>2145</v>
      </c>
      <c r="AQ177" s="4197">
        <f>SUM(AP177*0.88)</f>
        <v>1887.6</v>
      </c>
      <c r="AR177" s="4197">
        <v>413</v>
      </c>
      <c r="AS177" s="4197">
        <f>SUM(AR177*0.88)</f>
        <v>363.44</v>
      </c>
      <c r="AT177" s="4197">
        <v>520</v>
      </c>
      <c r="AU177" s="4197">
        <f>SUM(AT177*0.88)</f>
        <v>457.6</v>
      </c>
      <c r="AV177" s="4197">
        <v>16897</v>
      </c>
      <c r="AW177" s="4197">
        <f>SUM(AV177*0.88)</f>
        <v>14869.36</v>
      </c>
      <c r="AX177" s="4197">
        <v>75612</v>
      </c>
      <c r="AY177" s="4197">
        <f>SUM(AX177*0.88)</f>
        <v>66538.559999999998</v>
      </c>
      <c r="AZ177" s="4183">
        <v>2</v>
      </c>
      <c r="BA177" s="4177">
        <v>21000000</v>
      </c>
      <c r="BB177" s="4177">
        <v>2000000</v>
      </c>
      <c r="BC177" s="4180">
        <f>+BB177/BA177</f>
        <v>9.5238095238095233E-2</v>
      </c>
      <c r="BD177" s="4183">
        <v>72</v>
      </c>
      <c r="BE177" s="4183" t="s">
        <v>1089</v>
      </c>
      <c r="BF177" s="4196">
        <v>42948</v>
      </c>
      <c r="BG177" s="4198">
        <v>42767</v>
      </c>
      <c r="BH177" s="4196">
        <v>43100</v>
      </c>
      <c r="BI177" s="4198">
        <v>43091</v>
      </c>
      <c r="BJ177" s="4186" t="s">
        <v>880</v>
      </c>
    </row>
    <row r="178" spans="1:372" ht="59.45" customHeight="1" x14ac:dyDescent="0.2">
      <c r="A178" s="1709"/>
      <c r="B178" s="1710"/>
      <c r="C178" s="1711"/>
      <c r="D178" s="1710"/>
      <c r="E178" s="1710"/>
      <c r="F178" s="1710"/>
      <c r="G178" s="1709"/>
      <c r="H178" s="1710"/>
      <c r="I178" s="1711"/>
      <c r="J178" s="4203"/>
      <c r="K178" s="4203"/>
      <c r="L178" s="4203"/>
      <c r="M178" s="4203"/>
      <c r="N178" s="4169"/>
      <c r="O178" s="4203"/>
      <c r="P178" s="4203"/>
      <c r="Q178" s="4206"/>
      <c r="R178" s="4208"/>
      <c r="S178" s="4209"/>
      <c r="T178" s="4206"/>
      <c r="U178" s="4210"/>
      <c r="V178" s="1740" t="s">
        <v>1184</v>
      </c>
      <c r="W178" s="1872">
        <v>3817720</v>
      </c>
      <c r="X178" s="1872">
        <v>3817720</v>
      </c>
      <c r="Y178" s="1856">
        <v>0</v>
      </c>
      <c r="Z178" s="4199"/>
      <c r="AA178" s="4201"/>
      <c r="AB178" s="4197"/>
      <c r="AC178" s="4197"/>
      <c r="AD178" s="4197"/>
      <c r="AE178" s="4197"/>
      <c r="AF178" s="4197"/>
      <c r="AG178" s="4197"/>
      <c r="AH178" s="4197"/>
      <c r="AI178" s="4197"/>
      <c r="AJ178" s="4197"/>
      <c r="AK178" s="4197"/>
      <c r="AL178" s="4197"/>
      <c r="AM178" s="4197"/>
      <c r="AN178" s="4197"/>
      <c r="AO178" s="4197"/>
      <c r="AP178" s="4197"/>
      <c r="AQ178" s="4197"/>
      <c r="AR178" s="4197"/>
      <c r="AS178" s="4197"/>
      <c r="AT178" s="4197"/>
      <c r="AU178" s="4197"/>
      <c r="AV178" s="4197"/>
      <c r="AW178" s="4197"/>
      <c r="AX178" s="4197"/>
      <c r="AY178" s="4197"/>
      <c r="AZ178" s="4184"/>
      <c r="BA178" s="4178"/>
      <c r="BB178" s="4178"/>
      <c r="BC178" s="4181"/>
      <c r="BD178" s="4184"/>
      <c r="BE178" s="4184"/>
      <c r="BF178" s="4197"/>
      <c r="BG178" s="4184"/>
      <c r="BH178" s="4197"/>
      <c r="BI178" s="4184"/>
      <c r="BJ178" s="4186"/>
      <c r="BL178" s="1741"/>
    </row>
    <row r="179" spans="1:372" ht="64.5" customHeight="1" x14ac:dyDescent="0.2">
      <c r="A179" s="1709"/>
      <c r="B179" s="1710"/>
      <c r="C179" s="1711"/>
      <c r="D179" s="1727"/>
      <c r="E179" s="1727"/>
      <c r="F179" s="1727"/>
      <c r="G179" s="1709"/>
      <c r="H179" s="1710"/>
      <c r="I179" s="1711"/>
      <c r="J179" s="1870">
        <v>176</v>
      </c>
      <c r="K179" s="1873" t="s">
        <v>1185</v>
      </c>
      <c r="L179" s="1870" t="s">
        <v>18</v>
      </c>
      <c r="M179" s="1870">
        <v>2</v>
      </c>
      <c r="N179" s="1715">
        <v>2</v>
      </c>
      <c r="O179" s="4204"/>
      <c r="P179" s="4204"/>
      <c r="Q179" s="4207"/>
      <c r="R179" s="4208"/>
      <c r="S179" s="4209"/>
      <c r="T179" s="4206"/>
      <c r="U179" s="1874" t="s">
        <v>1186</v>
      </c>
      <c r="V179" s="1740" t="s">
        <v>1187</v>
      </c>
      <c r="W179" s="1753">
        <v>0</v>
      </c>
      <c r="X179" s="1856">
        <v>0</v>
      </c>
      <c r="Y179" s="1856">
        <v>0</v>
      </c>
      <c r="Z179" s="4199"/>
      <c r="AA179" s="4201"/>
      <c r="AB179" s="4197"/>
      <c r="AC179" s="4197"/>
      <c r="AD179" s="4197"/>
      <c r="AE179" s="4197"/>
      <c r="AF179" s="4197"/>
      <c r="AG179" s="4197"/>
      <c r="AH179" s="4197"/>
      <c r="AI179" s="4197"/>
      <c r="AJ179" s="4197"/>
      <c r="AK179" s="4197"/>
      <c r="AL179" s="4197"/>
      <c r="AM179" s="4197"/>
      <c r="AN179" s="4197"/>
      <c r="AO179" s="4197"/>
      <c r="AP179" s="4197"/>
      <c r="AQ179" s="4197"/>
      <c r="AR179" s="4197"/>
      <c r="AS179" s="4197"/>
      <c r="AT179" s="4197"/>
      <c r="AU179" s="4197"/>
      <c r="AV179" s="4197"/>
      <c r="AW179" s="4197"/>
      <c r="AX179" s="4197"/>
      <c r="AY179" s="4197"/>
      <c r="AZ179" s="4185"/>
      <c r="BA179" s="4179"/>
      <c r="BB179" s="4179"/>
      <c r="BC179" s="4182"/>
      <c r="BD179" s="4185"/>
      <c r="BE179" s="4185"/>
      <c r="BF179" s="4197"/>
      <c r="BG179" s="4185"/>
      <c r="BH179" s="4197"/>
      <c r="BI179" s="4185"/>
      <c r="BJ179" s="4186"/>
    </row>
    <row r="180" spans="1:372" s="1688" customFormat="1" ht="36" customHeight="1" x14ac:dyDescent="0.2">
      <c r="A180" s="1697"/>
      <c r="C180" s="1730"/>
      <c r="D180" s="1825">
        <v>15</v>
      </c>
      <c r="E180" s="1690" t="s">
        <v>1188</v>
      </c>
      <c r="F180" s="1690"/>
      <c r="G180" s="1806"/>
      <c r="H180" s="1806"/>
      <c r="I180" s="1806"/>
      <c r="J180" s="1691"/>
      <c r="K180" s="1692"/>
      <c r="L180" s="1691"/>
      <c r="M180" s="1691"/>
      <c r="N180" s="1691"/>
      <c r="O180" s="1693"/>
      <c r="P180" s="1691"/>
      <c r="Q180" s="1692"/>
      <c r="R180" s="1691"/>
      <c r="S180" s="1691"/>
      <c r="T180" s="1691"/>
      <c r="U180" s="1692"/>
      <c r="V180" s="1692"/>
      <c r="W180" s="1694"/>
      <c r="X180" s="1875"/>
      <c r="Y180" s="1875"/>
      <c r="Z180" s="1735"/>
      <c r="AA180" s="1693"/>
      <c r="AB180" s="1876"/>
      <c r="AC180" s="1876"/>
      <c r="AD180" s="1876"/>
      <c r="AE180" s="1876"/>
      <c r="AF180" s="1876"/>
      <c r="AG180" s="1876"/>
      <c r="AH180" s="1876"/>
      <c r="AI180" s="1876"/>
      <c r="AJ180" s="1876"/>
      <c r="AK180" s="1876"/>
      <c r="AL180" s="1876"/>
      <c r="AM180" s="1876"/>
      <c r="AN180" s="1876"/>
      <c r="AO180" s="1876"/>
      <c r="AP180" s="1876"/>
      <c r="AQ180" s="1876"/>
      <c r="AR180" s="1876"/>
      <c r="AS180" s="1876"/>
      <c r="AT180" s="1876"/>
      <c r="AU180" s="1876"/>
      <c r="AV180" s="1876"/>
      <c r="AW180" s="1876"/>
      <c r="AX180" s="1876"/>
      <c r="AY180" s="1876"/>
      <c r="AZ180" s="1876"/>
      <c r="BA180" s="1876"/>
      <c r="BB180" s="1876"/>
      <c r="BC180" s="1876"/>
      <c r="BD180" s="1876"/>
      <c r="BE180" s="1876"/>
      <c r="BF180" s="1691"/>
      <c r="BG180" s="1691"/>
      <c r="BH180" s="1691"/>
      <c r="BI180" s="1691"/>
      <c r="BJ180" s="1736"/>
      <c r="BK180" s="1687"/>
      <c r="BL180" s="1687"/>
      <c r="BM180" s="1687"/>
      <c r="BN180" s="1687"/>
      <c r="BO180" s="1687"/>
      <c r="BP180" s="1687"/>
    </row>
    <row r="181" spans="1:372" s="1688" customFormat="1" ht="36" customHeight="1" x14ac:dyDescent="0.2">
      <c r="A181" s="1697"/>
      <c r="B181" s="1698"/>
      <c r="C181" s="1699"/>
      <c r="D181" s="1700"/>
      <c r="E181" s="1700"/>
      <c r="F181" s="1701"/>
      <c r="G181" s="1737">
        <v>55</v>
      </c>
      <c r="H181" s="1703" t="s">
        <v>1189</v>
      </c>
      <c r="I181" s="1703"/>
      <c r="J181" s="1703"/>
      <c r="K181" s="1704"/>
      <c r="L181" s="1703"/>
      <c r="M181" s="1703"/>
      <c r="N181" s="1703"/>
      <c r="O181" s="1705"/>
      <c r="P181" s="1703"/>
      <c r="Q181" s="1704"/>
      <c r="R181" s="1703"/>
      <c r="S181" s="1703"/>
      <c r="T181" s="1703"/>
      <c r="U181" s="1704"/>
      <c r="V181" s="1704"/>
      <c r="W181" s="1706"/>
      <c r="X181" s="1706"/>
      <c r="Y181" s="1706"/>
      <c r="Z181" s="1738"/>
      <c r="AA181" s="1877"/>
      <c r="AB181" s="1878"/>
      <c r="AC181" s="1878"/>
      <c r="AD181" s="1878"/>
      <c r="AE181" s="1878"/>
      <c r="AF181" s="1878"/>
      <c r="AG181" s="1878"/>
      <c r="AH181" s="1878"/>
      <c r="AI181" s="1878"/>
      <c r="AJ181" s="1878"/>
      <c r="AK181" s="1878"/>
      <c r="AL181" s="1878"/>
      <c r="AM181" s="1878"/>
      <c r="AN181" s="1878"/>
      <c r="AO181" s="1878"/>
      <c r="AP181" s="1878"/>
      <c r="AQ181" s="1878"/>
      <c r="AR181" s="1878"/>
      <c r="AS181" s="1878"/>
      <c r="AT181" s="1878"/>
      <c r="AU181" s="1878"/>
      <c r="AV181" s="1878"/>
      <c r="AW181" s="1878"/>
      <c r="AX181" s="1878"/>
      <c r="AY181" s="1878"/>
      <c r="AZ181" s="1878"/>
      <c r="BA181" s="1878"/>
      <c r="BB181" s="1878"/>
      <c r="BC181" s="1878"/>
      <c r="BD181" s="1878"/>
      <c r="BE181" s="1878"/>
      <c r="BF181" s="1703"/>
      <c r="BG181" s="1703"/>
      <c r="BH181" s="1703"/>
      <c r="BI181" s="1703"/>
      <c r="BJ181" s="1739"/>
      <c r="BK181" s="1687"/>
      <c r="BL181" s="1687"/>
      <c r="BM181" s="1687"/>
      <c r="BN181" s="1687"/>
      <c r="BO181" s="1687"/>
      <c r="BP181" s="1687"/>
    </row>
    <row r="182" spans="1:372" s="1881" customFormat="1" ht="96" customHeight="1" x14ac:dyDescent="0.2">
      <c r="A182" s="1744"/>
      <c r="B182" s="1745"/>
      <c r="C182" s="1746"/>
      <c r="D182" s="1745"/>
      <c r="E182" s="1745"/>
      <c r="F182" s="1746"/>
      <c r="G182" s="1748"/>
      <c r="H182" s="1748"/>
      <c r="I182" s="1749"/>
      <c r="J182" s="1757">
        <v>177</v>
      </c>
      <c r="K182" s="1765" t="s">
        <v>1190</v>
      </c>
      <c r="L182" s="1757" t="s">
        <v>324</v>
      </c>
      <c r="M182" s="1757">
        <v>2</v>
      </c>
      <c r="N182" s="1757">
        <v>0</v>
      </c>
      <c r="O182" s="4168" t="s">
        <v>1191</v>
      </c>
      <c r="P182" s="4168">
        <v>160</v>
      </c>
      <c r="Q182" s="4171" t="s">
        <v>1192</v>
      </c>
      <c r="R182" s="1769">
        <v>0.1</v>
      </c>
      <c r="S182" s="4187">
        <v>137595160</v>
      </c>
      <c r="T182" s="4190" t="s">
        <v>1193</v>
      </c>
      <c r="U182" s="1859" t="s">
        <v>1194</v>
      </c>
      <c r="V182" s="1716" t="s">
        <v>1195</v>
      </c>
      <c r="W182" s="1879">
        <v>0</v>
      </c>
      <c r="X182" s="1880">
        <v>0</v>
      </c>
      <c r="Y182" s="1880">
        <v>0</v>
      </c>
      <c r="Z182" s="4193">
        <v>72</v>
      </c>
      <c r="AA182" s="4168" t="s">
        <v>1087</v>
      </c>
      <c r="AB182" s="4183">
        <v>64149</v>
      </c>
      <c r="AC182" s="4183">
        <f>SUM(AB182*0.44)</f>
        <v>28225.56</v>
      </c>
      <c r="AD182" s="4183">
        <v>72224</v>
      </c>
      <c r="AE182" s="4183">
        <f>SUM(AD182*0.44)</f>
        <v>31778.560000000001</v>
      </c>
      <c r="AF182" s="4183">
        <v>27477</v>
      </c>
      <c r="AG182" s="4183">
        <f>SUM(AF182*0.44)</f>
        <v>12089.88</v>
      </c>
      <c r="AH182" s="4183">
        <v>86843</v>
      </c>
      <c r="AI182" s="4183">
        <f>SUM(AH182*0.44)</f>
        <v>38210.92</v>
      </c>
      <c r="AJ182" s="4183">
        <v>236429</v>
      </c>
      <c r="AK182" s="4183">
        <f>SUM(AJ182*0.44)</f>
        <v>104028.76</v>
      </c>
      <c r="AL182" s="4183">
        <v>81384</v>
      </c>
      <c r="AM182" s="4183">
        <f>SUM(AL182*0.44)</f>
        <v>35808.959999999999</v>
      </c>
      <c r="AN182" s="4183">
        <v>13208</v>
      </c>
      <c r="AO182" s="4183">
        <f>SUM(AN182*0.44)</f>
        <v>5811.52</v>
      </c>
      <c r="AP182" s="4183">
        <v>2145</v>
      </c>
      <c r="AQ182" s="4183">
        <f>SUM(AP182*0.44)</f>
        <v>943.8</v>
      </c>
      <c r="AR182" s="4183">
        <v>413</v>
      </c>
      <c r="AS182" s="4183">
        <f>SUM(AR182*0.44)</f>
        <v>181.72</v>
      </c>
      <c r="AT182" s="4183">
        <v>520</v>
      </c>
      <c r="AU182" s="4183">
        <f>SUM(AT182*0.44)</f>
        <v>228.8</v>
      </c>
      <c r="AV182" s="4183">
        <v>16897</v>
      </c>
      <c r="AW182" s="4183">
        <f>SUM(AV182*0.44)</f>
        <v>7434.68</v>
      </c>
      <c r="AX182" s="4183">
        <v>75612</v>
      </c>
      <c r="AY182" s="4183">
        <f>SUM(AX182*0.44)</f>
        <v>33269.279999999999</v>
      </c>
      <c r="AZ182" s="4183">
        <v>3</v>
      </c>
      <c r="BA182" s="4177">
        <v>60000000</v>
      </c>
      <c r="BB182" s="4177">
        <v>15000000</v>
      </c>
      <c r="BC182" s="4180">
        <f>+BB182/BA182</f>
        <v>0.25</v>
      </c>
      <c r="BD182" s="4183">
        <v>72</v>
      </c>
      <c r="BE182" s="4183" t="s">
        <v>1196</v>
      </c>
      <c r="BF182" s="4162">
        <v>42948</v>
      </c>
      <c r="BG182" s="4162">
        <v>42755</v>
      </c>
      <c r="BH182" s="4162">
        <v>43100</v>
      </c>
      <c r="BI182" s="4162">
        <v>43091</v>
      </c>
      <c r="BJ182" s="4165" t="s">
        <v>880</v>
      </c>
      <c r="BK182" s="1803"/>
      <c r="BL182" s="1803"/>
      <c r="BM182" s="1803"/>
      <c r="BN182" s="1803"/>
      <c r="BO182" s="1803"/>
      <c r="BP182" s="1803"/>
    </row>
    <row r="183" spans="1:372" ht="83.45" customHeight="1" x14ac:dyDescent="0.2">
      <c r="A183" s="1744"/>
      <c r="B183" s="1745"/>
      <c r="C183" s="1746"/>
      <c r="D183" s="1745"/>
      <c r="E183" s="1745"/>
      <c r="F183" s="1746"/>
      <c r="G183" s="1745"/>
      <c r="H183" s="1745"/>
      <c r="I183" s="1746"/>
      <c r="J183" s="4168">
        <v>178</v>
      </c>
      <c r="K183" s="4171" t="s">
        <v>1197</v>
      </c>
      <c r="L183" s="4168" t="s">
        <v>324</v>
      </c>
      <c r="M183" s="4168">
        <v>3</v>
      </c>
      <c r="N183" s="4168">
        <v>3</v>
      </c>
      <c r="O183" s="4169"/>
      <c r="P183" s="4169"/>
      <c r="Q183" s="4172"/>
      <c r="R183" s="4174">
        <v>0.8</v>
      </c>
      <c r="S183" s="4188"/>
      <c r="T183" s="4191"/>
      <c r="U183" s="4159" t="s">
        <v>1198</v>
      </c>
      <c r="V183" s="1752" t="s">
        <v>1199</v>
      </c>
      <c r="W183" s="1882">
        <v>48050000</v>
      </c>
      <c r="X183" s="1872">
        <v>20000000</v>
      </c>
      <c r="Y183" s="1872">
        <v>5000000</v>
      </c>
      <c r="Z183" s="4194"/>
      <c r="AA183" s="4169"/>
      <c r="AB183" s="4184"/>
      <c r="AC183" s="4184"/>
      <c r="AD183" s="4184"/>
      <c r="AE183" s="4184"/>
      <c r="AF183" s="4184"/>
      <c r="AG183" s="4184"/>
      <c r="AH183" s="4184"/>
      <c r="AI183" s="4184"/>
      <c r="AJ183" s="4184"/>
      <c r="AK183" s="4184"/>
      <c r="AL183" s="4184"/>
      <c r="AM183" s="4184"/>
      <c r="AN183" s="4184"/>
      <c r="AO183" s="4184"/>
      <c r="AP183" s="4184"/>
      <c r="AQ183" s="4184"/>
      <c r="AR183" s="4184"/>
      <c r="AS183" s="4184"/>
      <c r="AT183" s="4184"/>
      <c r="AU183" s="4184"/>
      <c r="AV183" s="4184"/>
      <c r="AW183" s="4184"/>
      <c r="AX183" s="4184"/>
      <c r="AY183" s="4184"/>
      <c r="AZ183" s="4184"/>
      <c r="BA183" s="4178"/>
      <c r="BB183" s="4178"/>
      <c r="BC183" s="4181"/>
      <c r="BD183" s="4184"/>
      <c r="BE183" s="4184"/>
      <c r="BF183" s="4163"/>
      <c r="BG183" s="4163"/>
      <c r="BH183" s="4163"/>
      <c r="BI183" s="4163"/>
      <c r="BJ183" s="4166"/>
    </row>
    <row r="184" spans="1:372" ht="54" customHeight="1" x14ac:dyDescent="0.2">
      <c r="A184" s="1744"/>
      <c r="B184" s="1745"/>
      <c r="C184" s="1746"/>
      <c r="D184" s="1745"/>
      <c r="E184" s="1745"/>
      <c r="F184" s="1746"/>
      <c r="G184" s="1745"/>
      <c r="H184" s="1745"/>
      <c r="I184" s="1746"/>
      <c r="J184" s="4169"/>
      <c r="K184" s="4172"/>
      <c r="L184" s="4169"/>
      <c r="M184" s="4169"/>
      <c r="N184" s="4169"/>
      <c r="O184" s="4169"/>
      <c r="P184" s="4169"/>
      <c r="Q184" s="4172"/>
      <c r="R184" s="4175"/>
      <c r="S184" s="4188"/>
      <c r="T184" s="4191"/>
      <c r="U184" s="4159"/>
      <c r="V184" s="1752" t="s">
        <v>1200</v>
      </c>
      <c r="W184" s="1882">
        <v>40000000</v>
      </c>
      <c r="X184" s="1856">
        <v>0</v>
      </c>
      <c r="Y184" s="1856">
        <v>0</v>
      </c>
      <c r="Z184" s="4194"/>
      <c r="AA184" s="4169"/>
      <c r="AB184" s="4184"/>
      <c r="AC184" s="4184"/>
      <c r="AD184" s="4184"/>
      <c r="AE184" s="4184"/>
      <c r="AF184" s="4184"/>
      <c r="AG184" s="4184"/>
      <c r="AH184" s="4184"/>
      <c r="AI184" s="4184"/>
      <c r="AJ184" s="4184"/>
      <c r="AK184" s="4184"/>
      <c r="AL184" s="4184"/>
      <c r="AM184" s="4184"/>
      <c r="AN184" s="4184"/>
      <c r="AO184" s="4184"/>
      <c r="AP184" s="4184"/>
      <c r="AQ184" s="4184"/>
      <c r="AR184" s="4184"/>
      <c r="AS184" s="4184"/>
      <c r="AT184" s="4184"/>
      <c r="AU184" s="4184"/>
      <c r="AV184" s="4184"/>
      <c r="AW184" s="4184"/>
      <c r="AX184" s="4184"/>
      <c r="AY184" s="4184"/>
      <c r="AZ184" s="4184"/>
      <c r="BA184" s="4178"/>
      <c r="BB184" s="4178"/>
      <c r="BC184" s="4181"/>
      <c r="BD184" s="4184"/>
      <c r="BE184" s="4184"/>
      <c r="BF184" s="4163"/>
      <c r="BG184" s="4163"/>
      <c r="BH184" s="4163"/>
      <c r="BI184" s="4163"/>
      <c r="BJ184" s="4166"/>
    </row>
    <row r="185" spans="1:372" ht="57" customHeight="1" x14ac:dyDescent="0.2">
      <c r="A185" s="1744"/>
      <c r="B185" s="1745"/>
      <c r="C185" s="1746"/>
      <c r="D185" s="1745"/>
      <c r="E185" s="1745"/>
      <c r="F185" s="1746"/>
      <c r="G185" s="1745"/>
      <c r="H185" s="1745"/>
      <c r="I185" s="1746"/>
      <c r="J185" s="4169"/>
      <c r="K185" s="4172"/>
      <c r="L185" s="4169"/>
      <c r="M185" s="4169"/>
      <c r="N185" s="4169"/>
      <c r="O185" s="4169"/>
      <c r="P185" s="4169"/>
      <c r="Q185" s="4172"/>
      <c r="R185" s="4175"/>
      <c r="S185" s="4188"/>
      <c r="T185" s="4191"/>
      <c r="U185" s="4159"/>
      <c r="V185" s="1752" t="s">
        <v>1201</v>
      </c>
      <c r="W185" s="1882">
        <v>20000000</v>
      </c>
      <c r="X185" s="1872">
        <v>20000000</v>
      </c>
      <c r="Y185" s="1872">
        <v>5000000</v>
      </c>
      <c r="Z185" s="4194"/>
      <c r="AA185" s="4169"/>
      <c r="AB185" s="4184"/>
      <c r="AC185" s="4184"/>
      <c r="AD185" s="4184"/>
      <c r="AE185" s="4184"/>
      <c r="AF185" s="4184"/>
      <c r="AG185" s="4184"/>
      <c r="AH185" s="4184"/>
      <c r="AI185" s="4184"/>
      <c r="AJ185" s="4184"/>
      <c r="AK185" s="4184"/>
      <c r="AL185" s="4184"/>
      <c r="AM185" s="4184"/>
      <c r="AN185" s="4184"/>
      <c r="AO185" s="4184"/>
      <c r="AP185" s="4184"/>
      <c r="AQ185" s="4184"/>
      <c r="AR185" s="4184"/>
      <c r="AS185" s="4184"/>
      <c r="AT185" s="4184"/>
      <c r="AU185" s="4184"/>
      <c r="AV185" s="4184"/>
      <c r="AW185" s="4184"/>
      <c r="AX185" s="4184"/>
      <c r="AY185" s="4184"/>
      <c r="AZ185" s="4184"/>
      <c r="BA185" s="4178"/>
      <c r="BB185" s="4178"/>
      <c r="BC185" s="4181"/>
      <c r="BD185" s="4184"/>
      <c r="BE185" s="4184"/>
      <c r="BF185" s="4163"/>
      <c r="BG185" s="4163"/>
      <c r="BH185" s="4163"/>
      <c r="BI185" s="4163"/>
      <c r="BJ185" s="4166"/>
      <c r="BM185" s="1646"/>
    </row>
    <row r="186" spans="1:372" ht="57" customHeight="1" x14ac:dyDescent="0.2">
      <c r="A186" s="1744"/>
      <c r="B186" s="1745"/>
      <c r="C186" s="1746"/>
      <c r="D186" s="1745"/>
      <c r="E186" s="1745"/>
      <c r="F186" s="1746"/>
      <c r="G186" s="1745"/>
      <c r="H186" s="1745"/>
      <c r="I186" s="1746"/>
      <c r="J186" s="4169"/>
      <c r="K186" s="4172"/>
      <c r="L186" s="4169"/>
      <c r="M186" s="4169"/>
      <c r="N186" s="4169"/>
      <c r="O186" s="4169"/>
      <c r="P186" s="4169"/>
      <c r="Q186" s="4172"/>
      <c r="R186" s="4175"/>
      <c r="S186" s="4188"/>
      <c r="T186" s="4191"/>
      <c r="U186" s="4159" t="s">
        <v>1202</v>
      </c>
      <c r="V186" s="1883" t="s">
        <v>1203</v>
      </c>
      <c r="W186" s="1882">
        <v>15000000</v>
      </c>
      <c r="X186" s="1872">
        <v>15000000</v>
      </c>
      <c r="Y186" s="1872">
        <v>3750000</v>
      </c>
      <c r="Z186" s="4194"/>
      <c r="AA186" s="4169"/>
      <c r="AB186" s="4184"/>
      <c r="AC186" s="4184"/>
      <c r="AD186" s="4184"/>
      <c r="AE186" s="4184"/>
      <c r="AF186" s="4184"/>
      <c r="AG186" s="4184"/>
      <c r="AH186" s="4184"/>
      <c r="AI186" s="4184"/>
      <c r="AJ186" s="4184"/>
      <c r="AK186" s="4184"/>
      <c r="AL186" s="4184"/>
      <c r="AM186" s="4184"/>
      <c r="AN186" s="4184"/>
      <c r="AO186" s="4184"/>
      <c r="AP186" s="4184"/>
      <c r="AQ186" s="4184"/>
      <c r="AR186" s="4184"/>
      <c r="AS186" s="4184"/>
      <c r="AT186" s="4184"/>
      <c r="AU186" s="4184"/>
      <c r="AV186" s="4184"/>
      <c r="AW186" s="4184"/>
      <c r="AX186" s="4184"/>
      <c r="AY186" s="4184"/>
      <c r="AZ186" s="4184"/>
      <c r="BA186" s="4178"/>
      <c r="BB186" s="4178"/>
      <c r="BC186" s="4181"/>
      <c r="BD186" s="4184"/>
      <c r="BE186" s="4184"/>
      <c r="BF186" s="4163"/>
      <c r="BG186" s="4163"/>
      <c r="BH186" s="4163"/>
      <c r="BI186" s="4163"/>
      <c r="BJ186" s="4166"/>
    </row>
    <row r="187" spans="1:372" ht="57" customHeight="1" x14ac:dyDescent="0.2">
      <c r="A187" s="1744"/>
      <c r="B187" s="1745"/>
      <c r="C187" s="1746"/>
      <c r="D187" s="1745"/>
      <c r="E187" s="1745"/>
      <c r="F187" s="1746"/>
      <c r="G187" s="1745"/>
      <c r="H187" s="1745"/>
      <c r="I187" s="1746"/>
      <c r="J187" s="4170"/>
      <c r="K187" s="4173"/>
      <c r="L187" s="4170"/>
      <c r="M187" s="4170"/>
      <c r="N187" s="4170"/>
      <c r="O187" s="4169"/>
      <c r="P187" s="4169"/>
      <c r="Q187" s="4172"/>
      <c r="R187" s="4176"/>
      <c r="S187" s="4188"/>
      <c r="T187" s="4191"/>
      <c r="U187" s="4159"/>
      <c r="V187" s="1883" t="s">
        <v>1204</v>
      </c>
      <c r="W187" s="1882">
        <v>14545160</v>
      </c>
      <c r="X187" s="1872">
        <v>5000000</v>
      </c>
      <c r="Y187" s="1872">
        <v>1250000</v>
      </c>
      <c r="Z187" s="4194"/>
      <c r="AA187" s="4169"/>
      <c r="AB187" s="4184"/>
      <c r="AC187" s="4184"/>
      <c r="AD187" s="4184"/>
      <c r="AE187" s="4184"/>
      <c r="AF187" s="4184"/>
      <c r="AG187" s="4184"/>
      <c r="AH187" s="4184"/>
      <c r="AI187" s="4184"/>
      <c r="AJ187" s="4184"/>
      <c r="AK187" s="4184"/>
      <c r="AL187" s="4184"/>
      <c r="AM187" s="4184"/>
      <c r="AN187" s="4184"/>
      <c r="AO187" s="4184"/>
      <c r="AP187" s="4184"/>
      <c r="AQ187" s="4184"/>
      <c r="AR187" s="4184"/>
      <c r="AS187" s="4184"/>
      <c r="AT187" s="4184"/>
      <c r="AU187" s="4184"/>
      <c r="AV187" s="4184"/>
      <c r="AW187" s="4184"/>
      <c r="AX187" s="4184"/>
      <c r="AY187" s="4184"/>
      <c r="AZ187" s="4184"/>
      <c r="BA187" s="4178"/>
      <c r="BB187" s="4178"/>
      <c r="BC187" s="4181"/>
      <c r="BD187" s="4184"/>
      <c r="BE187" s="4184"/>
      <c r="BF187" s="4163"/>
      <c r="BG187" s="4163"/>
      <c r="BH187" s="4163"/>
      <c r="BI187" s="4163"/>
      <c r="BJ187" s="4166"/>
    </row>
    <row r="188" spans="1:372" s="1884" customFormat="1" ht="107.45" customHeight="1" x14ac:dyDescent="0.2">
      <c r="A188" s="1754"/>
      <c r="B188" s="1755"/>
      <c r="C188" s="1756"/>
      <c r="D188" s="1755"/>
      <c r="E188" s="1755"/>
      <c r="F188" s="1756"/>
      <c r="G188" s="1755"/>
      <c r="H188" s="1755"/>
      <c r="I188" s="1756"/>
      <c r="J188" s="1715">
        <v>179</v>
      </c>
      <c r="K188" s="1800" t="s">
        <v>1205</v>
      </c>
      <c r="L188" s="1715" t="s">
        <v>324</v>
      </c>
      <c r="M188" s="1715">
        <v>4</v>
      </c>
      <c r="N188" s="1715">
        <v>4</v>
      </c>
      <c r="O188" s="4170"/>
      <c r="P188" s="4170"/>
      <c r="Q188" s="4173"/>
      <c r="R188" s="1718">
        <v>0.1</v>
      </c>
      <c r="S188" s="4189"/>
      <c r="T188" s="4192"/>
      <c r="U188" s="1800" t="s">
        <v>1206</v>
      </c>
      <c r="V188" s="1883" t="s">
        <v>1207</v>
      </c>
      <c r="W188" s="1882">
        <v>0</v>
      </c>
      <c r="X188" s="1880">
        <v>0</v>
      </c>
      <c r="Y188" s="1880">
        <v>0</v>
      </c>
      <c r="Z188" s="4195"/>
      <c r="AA188" s="4170"/>
      <c r="AB188" s="4185"/>
      <c r="AC188" s="4185"/>
      <c r="AD188" s="4185"/>
      <c r="AE188" s="4185"/>
      <c r="AF188" s="4185"/>
      <c r="AG188" s="4185"/>
      <c r="AH188" s="4185"/>
      <c r="AI188" s="4185"/>
      <c r="AJ188" s="4185"/>
      <c r="AK188" s="4185"/>
      <c r="AL188" s="4185"/>
      <c r="AM188" s="4185"/>
      <c r="AN188" s="4185"/>
      <c r="AO188" s="4185"/>
      <c r="AP188" s="4185"/>
      <c r="AQ188" s="4185"/>
      <c r="AR188" s="4185"/>
      <c r="AS188" s="4185"/>
      <c r="AT188" s="4185"/>
      <c r="AU188" s="4185"/>
      <c r="AV188" s="4185"/>
      <c r="AW188" s="4185"/>
      <c r="AX188" s="4185"/>
      <c r="AY188" s="4185"/>
      <c r="AZ188" s="4185"/>
      <c r="BA188" s="4179"/>
      <c r="BB188" s="4179"/>
      <c r="BC188" s="4182"/>
      <c r="BD188" s="4185"/>
      <c r="BE188" s="4185"/>
      <c r="BF188" s="4164"/>
      <c r="BG188" s="4164"/>
      <c r="BH188" s="4164"/>
      <c r="BI188" s="4164"/>
      <c r="BJ188" s="4167"/>
      <c r="BK188" s="1646"/>
      <c r="BL188" s="1647"/>
      <c r="BM188" s="1646"/>
      <c r="BN188" s="1647"/>
      <c r="BO188" s="1646"/>
      <c r="BP188" s="1647"/>
      <c r="BQ188" s="1646"/>
      <c r="BR188" s="1647"/>
      <c r="BS188" s="1646"/>
      <c r="BT188" s="1647"/>
      <c r="BU188" s="1646"/>
      <c r="BV188" s="1647"/>
      <c r="BW188" s="1646"/>
      <c r="BX188" s="1647"/>
      <c r="BY188" s="1646"/>
      <c r="BZ188" s="1647"/>
      <c r="CA188" s="1646"/>
      <c r="CB188" s="1647"/>
      <c r="CC188" s="1646"/>
      <c r="CD188" s="1647"/>
      <c r="CE188" s="1646"/>
      <c r="CF188" s="1647"/>
      <c r="CG188" s="1646"/>
      <c r="CH188" s="1647"/>
      <c r="CI188" s="1646"/>
      <c r="CJ188" s="1647"/>
      <c r="CK188" s="1646"/>
      <c r="CL188" s="1647"/>
      <c r="CM188" s="1646"/>
      <c r="CN188" s="1647"/>
      <c r="CO188" s="1646"/>
      <c r="CP188" s="1647"/>
      <c r="CQ188" s="1646"/>
      <c r="CR188" s="1647"/>
      <c r="CS188" s="1646"/>
      <c r="CT188" s="1647"/>
      <c r="CU188" s="1646"/>
      <c r="CV188" s="1647"/>
      <c r="CW188" s="1647"/>
      <c r="CX188" s="1647"/>
      <c r="CY188" s="1647"/>
      <c r="CZ188" s="1647"/>
      <c r="DA188" s="1647"/>
      <c r="DB188" s="1647"/>
      <c r="DC188" s="1647"/>
      <c r="DD188" s="1647"/>
      <c r="DE188" s="1647"/>
      <c r="DF188" s="1647"/>
      <c r="DG188" s="1647"/>
      <c r="DH188" s="1647"/>
      <c r="DI188" s="1647"/>
      <c r="DJ188" s="1647"/>
      <c r="DK188" s="1647"/>
      <c r="DL188" s="1647"/>
      <c r="DM188" s="1647"/>
      <c r="DN188" s="1647"/>
      <c r="DO188" s="1647"/>
      <c r="DP188" s="1647"/>
      <c r="DQ188" s="1647"/>
      <c r="DR188" s="1647"/>
      <c r="DS188" s="1647"/>
      <c r="DT188" s="1647"/>
      <c r="DU188" s="1647"/>
      <c r="DV188" s="1647"/>
      <c r="DW188" s="1647"/>
      <c r="DX188" s="1647"/>
      <c r="DY188" s="1647"/>
      <c r="DZ188" s="1647"/>
      <c r="EA188" s="1647"/>
      <c r="EB188" s="1647"/>
      <c r="EC188" s="1647"/>
      <c r="ED188" s="1647"/>
      <c r="EE188" s="1647"/>
      <c r="EF188" s="1647"/>
      <c r="EG188" s="1647"/>
      <c r="EH188" s="1647"/>
      <c r="EI188" s="1647"/>
      <c r="EJ188" s="1647"/>
      <c r="EK188" s="1647"/>
      <c r="EL188" s="1647"/>
      <c r="EM188" s="1647"/>
      <c r="EN188" s="1647"/>
      <c r="EO188" s="1647"/>
      <c r="EP188" s="1647"/>
      <c r="EQ188" s="1647"/>
      <c r="ER188" s="1647"/>
      <c r="ES188" s="1647"/>
      <c r="ET188" s="1647"/>
      <c r="EU188" s="1647"/>
      <c r="EV188" s="1647"/>
      <c r="EW188" s="1647"/>
      <c r="EX188" s="1647"/>
      <c r="EY188" s="1647"/>
      <c r="EZ188" s="1647"/>
      <c r="FA188" s="1647"/>
      <c r="FB188" s="1647"/>
      <c r="FC188" s="1647"/>
      <c r="FD188" s="1647"/>
      <c r="FE188" s="1647"/>
      <c r="FF188" s="1647"/>
      <c r="FG188" s="1647"/>
      <c r="FH188" s="1647"/>
      <c r="FI188" s="1647"/>
      <c r="FJ188" s="1647"/>
      <c r="FK188" s="1647"/>
      <c r="FL188" s="1647"/>
      <c r="FM188" s="1647"/>
      <c r="FN188" s="1647"/>
      <c r="FO188" s="1647"/>
      <c r="FP188" s="1647"/>
      <c r="FQ188" s="1647"/>
      <c r="FR188" s="1647"/>
      <c r="FS188" s="1647"/>
      <c r="FT188" s="1647"/>
      <c r="FU188" s="1647"/>
      <c r="FV188" s="1647"/>
      <c r="FW188" s="1647"/>
      <c r="FX188" s="1647"/>
      <c r="FY188" s="1647"/>
      <c r="FZ188" s="1647"/>
      <c r="GA188" s="1647"/>
      <c r="GB188" s="1647"/>
      <c r="GC188" s="1647"/>
      <c r="GD188" s="1647"/>
      <c r="GE188" s="1647"/>
      <c r="GF188" s="1647"/>
      <c r="GG188" s="1647"/>
      <c r="GH188" s="1647"/>
      <c r="GI188" s="1647"/>
      <c r="GJ188" s="1647"/>
      <c r="GK188" s="1647"/>
      <c r="GL188" s="1647"/>
      <c r="GM188" s="1647"/>
      <c r="GN188" s="1647"/>
      <c r="GO188" s="1647"/>
      <c r="GP188" s="1647"/>
      <c r="GQ188" s="1647"/>
      <c r="GR188" s="1647"/>
      <c r="GS188" s="1647"/>
      <c r="GT188" s="1647"/>
      <c r="GU188" s="1647"/>
      <c r="GV188" s="1647"/>
      <c r="GW188" s="1647"/>
      <c r="GX188" s="1647"/>
      <c r="GY188" s="1647"/>
      <c r="GZ188" s="1647"/>
      <c r="HA188" s="1647"/>
      <c r="HB188" s="1647"/>
      <c r="HC188" s="1647"/>
      <c r="HD188" s="1647"/>
      <c r="HE188" s="1647"/>
      <c r="HF188" s="1647"/>
      <c r="HG188" s="1647"/>
      <c r="HH188" s="1647"/>
      <c r="HI188" s="1647"/>
      <c r="HJ188" s="1647"/>
      <c r="HK188" s="1647"/>
      <c r="HL188" s="1647"/>
      <c r="HM188" s="1647"/>
      <c r="HN188" s="1647"/>
      <c r="HO188" s="1647"/>
      <c r="HP188" s="1647"/>
      <c r="HQ188" s="1647"/>
      <c r="HR188" s="1647"/>
      <c r="HS188" s="1647"/>
      <c r="HT188" s="1647"/>
      <c r="HU188" s="1647"/>
      <c r="HV188" s="1647"/>
      <c r="HW188" s="1647"/>
      <c r="HX188" s="1647"/>
      <c r="HY188" s="1647"/>
      <c r="HZ188" s="1647"/>
      <c r="IA188" s="1647"/>
      <c r="IB188" s="1647"/>
      <c r="IC188" s="1647"/>
      <c r="ID188" s="1647"/>
      <c r="IE188" s="1647"/>
      <c r="IF188" s="1647"/>
      <c r="IG188" s="1647"/>
      <c r="IH188" s="1647"/>
      <c r="II188" s="1647"/>
      <c r="IJ188" s="1647"/>
      <c r="IK188" s="1647"/>
      <c r="IL188" s="1647"/>
      <c r="IM188" s="1647"/>
      <c r="IN188" s="1647"/>
      <c r="IO188" s="1647"/>
      <c r="IP188" s="1647"/>
      <c r="IQ188" s="1647"/>
      <c r="IR188" s="1647"/>
      <c r="IS188" s="1647"/>
      <c r="IT188" s="1647"/>
      <c r="IU188" s="1647"/>
      <c r="IV188" s="1647"/>
      <c r="IW188" s="1647"/>
      <c r="IX188" s="1647"/>
      <c r="IY188" s="1647"/>
      <c r="IZ188" s="1647"/>
      <c r="JA188" s="1647"/>
      <c r="JB188" s="1647"/>
      <c r="JC188" s="1647"/>
      <c r="JD188" s="1647"/>
      <c r="JE188" s="1647"/>
      <c r="JF188" s="1647"/>
      <c r="JG188" s="1647"/>
      <c r="JH188" s="1647"/>
      <c r="JI188" s="1647"/>
      <c r="JJ188" s="1647"/>
      <c r="JK188" s="1647"/>
      <c r="JL188" s="1647"/>
      <c r="JM188" s="1647"/>
      <c r="JN188" s="1647"/>
      <c r="JO188" s="1647"/>
      <c r="JP188" s="1647"/>
      <c r="JQ188" s="1647"/>
      <c r="JR188" s="1647"/>
      <c r="JS188" s="1647"/>
      <c r="JT188" s="1647"/>
      <c r="JU188" s="1647"/>
      <c r="JV188" s="1647"/>
      <c r="JW188" s="1647"/>
      <c r="JX188" s="1647"/>
      <c r="JY188" s="1647"/>
      <c r="JZ188" s="1647"/>
      <c r="KA188" s="1647"/>
      <c r="KB188" s="1647"/>
      <c r="KC188" s="1647"/>
      <c r="KD188" s="1647"/>
      <c r="KE188" s="1647"/>
      <c r="KF188" s="1647"/>
      <c r="KG188" s="1647"/>
      <c r="KH188" s="1647"/>
      <c r="KI188" s="1647"/>
      <c r="KJ188" s="1647"/>
      <c r="KK188" s="1647"/>
      <c r="KL188" s="1647"/>
      <c r="KM188" s="1647"/>
      <c r="KN188" s="1647"/>
      <c r="KO188" s="1647"/>
      <c r="KP188" s="1647"/>
      <c r="KQ188" s="1647"/>
      <c r="KR188" s="1647"/>
      <c r="KS188" s="1647"/>
      <c r="KT188" s="1647"/>
      <c r="KU188" s="1647"/>
      <c r="KV188" s="1647"/>
      <c r="KW188" s="1647"/>
      <c r="KX188" s="1647"/>
      <c r="KY188" s="1647"/>
      <c r="KZ188" s="1647"/>
      <c r="LA188" s="1647"/>
      <c r="LB188" s="1647"/>
      <c r="LC188" s="1647"/>
      <c r="LD188" s="1647"/>
      <c r="LE188" s="1647"/>
      <c r="LF188" s="1647"/>
      <c r="LG188" s="1647"/>
      <c r="LH188" s="1647"/>
      <c r="LI188" s="1647"/>
      <c r="LJ188" s="1647"/>
      <c r="LK188" s="1647"/>
      <c r="LL188" s="1647"/>
      <c r="LM188" s="1647"/>
      <c r="LN188" s="1647"/>
      <c r="LO188" s="1647"/>
      <c r="LP188" s="1647"/>
      <c r="LQ188" s="1647"/>
      <c r="LR188" s="1647"/>
      <c r="LS188" s="1647"/>
      <c r="LT188" s="1647"/>
      <c r="LU188" s="1647"/>
      <c r="LV188" s="1647"/>
      <c r="LW188" s="1647"/>
      <c r="LX188" s="1647"/>
      <c r="LY188" s="1647"/>
      <c r="LZ188" s="1647"/>
      <c r="MA188" s="1647"/>
      <c r="MB188" s="1647"/>
      <c r="MC188" s="1647"/>
      <c r="MD188" s="1647"/>
      <c r="ME188" s="1647"/>
      <c r="MF188" s="1647"/>
      <c r="MG188" s="1647"/>
      <c r="MH188" s="1647"/>
      <c r="MI188" s="1647"/>
      <c r="MJ188" s="1647"/>
      <c r="MK188" s="1647"/>
      <c r="ML188" s="1647"/>
      <c r="MM188" s="1647"/>
      <c r="MN188" s="1647"/>
      <c r="MO188" s="1647"/>
      <c r="MP188" s="1647"/>
      <c r="MQ188" s="1647"/>
      <c r="MR188" s="1647"/>
      <c r="MS188" s="1647"/>
      <c r="MT188" s="1647"/>
      <c r="MU188" s="1647"/>
      <c r="MV188" s="1647"/>
      <c r="MW188" s="1647"/>
      <c r="MX188" s="1647"/>
      <c r="MY188" s="1647"/>
      <c r="MZ188" s="1647"/>
      <c r="NA188" s="1647"/>
      <c r="NB188" s="1647"/>
      <c r="NC188" s="1647"/>
      <c r="ND188" s="1647"/>
      <c r="NE188" s="1647"/>
      <c r="NF188" s="1647"/>
      <c r="NG188" s="1647"/>
      <c r="NH188" s="1647"/>
    </row>
    <row r="189" spans="1:372" x14ac:dyDescent="0.2">
      <c r="A189" s="4160"/>
      <c r="B189" s="4160"/>
      <c r="C189" s="4160"/>
      <c r="D189" s="4160"/>
      <c r="E189" s="4160"/>
      <c r="F189" s="4160"/>
      <c r="G189" s="4160"/>
      <c r="H189" s="4160"/>
      <c r="I189" s="4160"/>
      <c r="J189" s="4160"/>
      <c r="K189" s="4160"/>
      <c r="L189" s="4160"/>
      <c r="M189" s="4160"/>
      <c r="N189" s="4160"/>
      <c r="O189" s="4160"/>
      <c r="P189" s="4160"/>
      <c r="Q189" s="4160"/>
      <c r="R189" s="4160"/>
    </row>
    <row r="190" spans="1:372" s="1911" customFormat="1" ht="23.25" customHeight="1" x14ac:dyDescent="0.25">
      <c r="A190" s="1892"/>
      <c r="B190" s="1893"/>
      <c r="C190" s="1893"/>
      <c r="D190" s="1893"/>
      <c r="E190" s="1893"/>
      <c r="F190" s="1893"/>
      <c r="G190" s="1893"/>
      <c r="H190" s="1893"/>
      <c r="I190" s="1893"/>
      <c r="J190" s="1893"/>
      <c r="K190" s="1894"/>
      <c r="L190" s="1895"/>
      <c r="M190" s="1895"/>
      <c r="N190" s="1895"/>
      <c r="O190" s="1896"/>
      <c r="P190" s="1895"/>
      <c r="Q190" s="1894"/>
      <c r="R190" s="1897" t="s">
        <v>140</v>
      </c>
      <c r="S190" s="1898">
        <f>SUM(S17:S188)</f>
        <v>43515419298.370232</v>
      </c>
      <c r="T190" s="1899"/>
      <c r="U190" s="1894"/>
      <c r="V190" s="1900"/>
      <c r="W190" s="1898">
        <f>SUM(W17:W188)</f>
        <v>43515419296.919998</v>
      </c>
      <c r="X190" s="1898">
        <f>SUM(X17+X18+X19+X20+X21+X22+X23+X24+X27+X28+X29+X30+X32+X33+X34+X35+X36+X37+X38+X39+X40+X41+X42+X43+X44+X45+X47+X48+X49+X50+X51+X53+X54+X55+X56+X57+X58+X59+X60+X62+X63+X64+X65+X66+X67+X68+X69+X70+X71+X72+X73+X74+X75+X76+X77+X78+X79+X81+X82+X83+X84+X85+X86+X87+X89+X90+X91+X92+X93+X94+X96+X97+X98+X99+X100+X101+X102+X103+X105+X106+X107+X108+X109+X110+X111+X112+X113+X114+X115+X116+X117+X118+X119+X121+X122+X123+X124+X125+X127+X128+X129+X130+X131+X132+X133+X134+X135+X136+X137+X138+X139+X142+X144+X147+X150+X152+X153+X156+X157+X158+X160+X161+X162+X163+X164+X165+X166+X167+X168+X169+X171+X172+X173+X174+X175+X177+X178+X179+X182+X183+X184+X185+X186+X187+X188)</f>
        <v>21194582920</v>
      </c>
      <c r="Y190" s="1898">
        <f>SUM(Y17+Y18+Y19+Y20+Y21+Y22+Y23+Y24+Y27+Y28+Y29+Y30+Y32+Y33+Y34+Y35+Y36+Y37+Y38+Y39+Y40+Y41+Y42+Y43+Y44+Y45+Y47+Y48+Y49+Y50+Y51+Y53+Y54+Y55+Y56+Y57+Y58+Y59+Y60+Y62+Y63+Y64+Y65+Y66+Y67+Y68+Y69+Y70+Y71+Y72+Y73+Y74+Y75+Y76+Y77+Y78+Y79+Y81+Y82+Y83+Y84+Y85+Y86+Y87+Y89+Y90+Y91+Y92+Y93+Y94+Y96+Y97+Y98+Y99+Y100+Y101+Y102+Y103+Y105+Y106+Y107+Y108+Y109+Y110+Y111+Y112+Y113+Y114+Y115+Y116+Y117+Y118+Y119+Y121+Y122+Y123+Y124+Y125+Y127+Y128+Y129+Y130+Y131+Y132+Y133+Y134+Y135+Y136+Y137+Y138+Y139+Y142+Y144+Y147+Y150+Y152+Y153+Y156+Y157+Y158+Y160+Y161+Y162+Y163+Y164+Y165+Y166+Y167+Y168+Y169+Y171+Y172+Y173+Y174+Y175+Y177+Y178+Y179+Y182+Y183+Y184+Y185+Y186+Y187+Y188)</f>
        <v>6308389875</v>
      </c>
      <c r="Z190" s="1901"/>
      <c r="AA190" s="1902"/>
      <c r="AB190" s="1903"/>
      <c r="AC190" s="1903"/>
      <c r="AD190" s="1903"/>
      <c r="AE190" s="1903"/>
      <c r="AF190" s="1903"/>
      <c r="AG190" s="1903"/>
      <c r="AH190" s="1903"/>
      <c r="AI190" s="1903"/>
      <c r="AJ190" s="1903"/>
      <c r="AK190" s="1903"/>
      <c r="AL190" s="1903"/>
      <c r="AM190" s="1903"/>
      <c r="AN190" s="1903"/>
      <c r="AO190" s="1903"/>
      <c r="AP190" s="1903"/>
      <c r="AQ190" s="1903"/>
      <c r="AR190" s="1903"/>
      <c r="AS190" s="1903"/>
      <c r="AT190" s="1903"/>
      <c r="AU190" s="1903"/>
      <c r="AV190" s="1903"/>
      <c r="AW190" s="1903"/>
      <c r="AX190" s="1903"/>
      <c r="AY190" s="1903"/>
      <c r="AZ190" s="1904"/>
      <c r="BA190" s="1905">
        <f>SUM(BA182+BA177+BA171+BA163+BA160+BA156+BA150+BA142+BA132+BA127+BA121+BA105+BA96+BA89+BA81+BA71+BA65+BA62+BA53+BA47+BA32+BA27+BA17)</f>
        <v>21194582920</v>
      </c>
      <c r="BB190" s="1905">
        <f>SUM(BB182+BB177+BB171+BB163+BB160+BB156+BB150+BB142+BB132+BB127+BB121+BB105+BB96+BB89+BB81+BB71+BB65+BB62+BB53+BB47+BB32+BB27+BB17)</f>
        <v>6308389875</v>
      </c>
      <c r="BC190" s="1906"/>
      <c r="BD190" s="1903"/>
      <c r="BE190" s="1903"/>
      <c r="BF190" s="1907"/>
      <c r="BG190" s="1907"/>
      <c r="BH190" s="1908"/>
      <c r="BI190" s="1908"/>
      <c r="BJ190" s="1909"/>
      <c r="BK190" s="1910"/>
      <c r="BL190" s="1910"/>
    </row>
    <row r="192" spans="1:372" x14ac:dyDescent="0.2">
      <c r="V192" s="1913"/>
      <c r="W192" s="4161"/>
      <c r="X192" s="4161"/>
      <c r="Y192" s="4161"/>
    </row>
    <row r="193" spans="3:85" s="211" customFormat="1" ht="15" x14ac:dyDescent="0.25">
      <c r="C193" s="4158" t="s">
        <v>1208</v>
      </c>
      <c r="D193" s="4158"/>
      <c r="E193" s="4158"/>
      <c r="F193" s="4158"/>
      <c r="G193" s="4158"/>
      <c r="H193" s="4158"/>
      <c r="I193" s="4158"/>
      <c r="J193" s="4158"/>
      <c r="K193" s="206"/>
      <c r="L193" s="207"/>
      <c r="M193" s="207"/>
      <c r="N193" s="207"/>
      <c r="O193" s="207"/>
      <c r="P193" s="206"/>
      <c r="Q193" s="207"/>
      <c r="R193" s="206"/>
      <c r="S193" s="207"/>
      <c r="T193" s="206"/>
      <c r="U193" s="206"/>
      <c r="V193" s="206"/>
      <c r="W193" s="4161"/>
      <c r="X193" s="4161"/>
      <c r="Y193" s="4161"/>
      <c r="Z193" s="208"/>
      <c r="AA193" s="208"/>
      <c r="AB193" s="208"/>
      <c r="AC193" s="208"/>
      <c r="AD193" s="207"/>
      <c r="AE193" s="207"/>
      <c r="AF193" s="206"/>
      <c r="AG193" s="206"/>
      <c r="AH193" s="209"/>
      <c r="AI193" s="209"/>
      <c r="AJ193" s="209"/>
      <c r="AK193" s="209"/>
      <c r="AL193" s="209"/>
      <c r="AM193" s="209"/>
      <c r="AN193" s="209"/>
      <c r="AO193" s="209"/>
      <c r="AP193" s="209"/>
      <c r="AQ193" s="209"/>
      <c r="AR193" s="209"/>
      <c r="AS193" s="209"/>
      <c r="AT193" s="209"/>
      <c r="AU193" s="209"/>
      <c r="AV193" s="209"/>
      <c r="AW193" s="209"/>
      <c r="AX193" s="209"/>
      <c r="AY193" s="209"/>
      <c r="AZ193" s="209"/>
      <c r="BA193" s="210"/>
      <c r="BB193" s="210"/>
      <c r="BC193" s="209"/>
      <c r="BD193" s="209"/>
      <c r="BE193" s="209"/>
      <c r="BF193" s="209"/>
      <c r="BG193" s="209"/>
      <c r="BH193" s="209"/>
      <c r="BI193" s="209"/>
      <c r="BJ193" s="209"/>
      <c r="BK193" s="209"/>
      <c r="BL193" s="209"/>
      <c r="BM193" s="209"/>
      <c r="BN193" s="209"/>
      <c r="BO193" s="209"/>
      <c r="BP193" s="209"/>
      <c r="BQ193" s="209"/>
      <c r="BR193" s="209"/>
      <c r="BS193" s="209"/>
      <c r="BT193" s="209"/>
      <c r="BU193" s="209"/>
      <c r="BV193" s="209"/>
      <c r="BX193" s="210"/>
      <c r="BY193" s="210"/>
      <c r="BZ193" s="212"/>
      <c r="CA193" s="209"/>
      <c r="CB193" s="209"/>
      <c r="CC193" s="213"/>
      <c r="CD193" s="213"/>
      <c r="CE193" s="214"/>
      <c r="CF193" s="214"/>
      <c r="CG193" s="215"/>
    </row>
    <row r="194" spans="3:85" s="211" customFormat="1" ht="15" customHeight="1" x14ac:dyDescent="0.25">
      <c r="C194" s="4158" t="s">
        <v>1209</v>
      </c>
      <c r="D194" s="4158"/>
      <c r="E194" s="4158"/>
      <c r="F194" s="4158"/>
      <c r="G194" s="4158"/>
      <c r="H194" s="4158"/>
      <c r="I194" s="4158"/>
      <c r="J194" s="4158"/>
      <c r="K194" s="206"/>
      <c r="L194" s="207"/>
      <c r="M194" s="207"/>
      <c r="N194" s="207"/>
      <c r="O194" s="207"/>
      <c r="P194" s="206"/>
      <c r="Q194" s="207"/>
      <c r="R194" s="206"/>
      <c r="S194" s="207"/>
      <c r="T194" s="216"/>
      <c r="U194" s="206"/>
      <c r="V194" s="206"/>
      <c r="W194" s="217"/>
      <c r="X194" s="1914"/>
      <c r="Y194" s="1914"/>
      <c r="Z194" s="218"/>
      <c r="AA194" s="218"/>
      <c r="AB194" s="218"/>
      <c r="AC194" s="218"/>
      <c r="AD194" s="207"/>
      <c r="AE194" s="207"/>
      <c r="AF194" s="206"/>
      <c r="AG194" s="206"/>
      <c r="AH194" s="209"/>
      <c r="AI194" s="209"/>
      <c r="AJ194" s="209"/>
      <c r="AK194" s="209"/>
      <c r="AL194" s="209"/>
      <c r="AM194" s="209"/>
      <c r="AN194" s="219"/>
      <c r="AO194" s="219"/>
      <c r="AP194" s="209"/>
      <c r="AQ194" s="209"/>
      <c r="AR194" s="209"/>
      <c r="AS194" s="209"/>
      <c r="AT194" s="209"/>
      <c r="AU194" s="209"/>
      <c r="AV194" s="209"/>
      <c r="AW194" s="209"/>
      <c r="AX194" s="219"/>
      <c r="AY194" s="219"/>
      <c r="AZ194" s="219"/>
      <c r="BA194" s="219"/>
      <c r="BB194" s="219"/>
      <c r="BC194" s="219"/>
      <c r="BD194" s="219"/>
      <c r="BE194" s="219"/>
      <c r="BF194" s="209"/>
      <c r="BG194" s="209"/>
      <c r="BH194" s="209"/>
      <c r="BI194" s="209"/>
      <c r="BJ194" s="209"/>
      <c r="BK194" s="209"/>
      <c r="BL194" s="209"/>
      <c r="BM194" s="209"/>
      <c r="BN194" s="209"/>
      <c r="BO194" s="209"/>
      <c r="BP194" s="209"/>
      <c r="BQ194" s="209"/>
      <c r="BR194" s="209"/>
      <c r="BS194" s="209"/>
      <c r="BT194" s="209"/>
      <c r="BU194" s="209"/>
      <c r="BV194" s="209"/>
      <c r="BX194" s="210"/>
      <c r="BY194" s="210"/>
      <c r="BZ194" s="212"/>
      <c r="CA194" s="209"/>
      <c r="CB194" s="209"/>
      <c r="CC194" s="213"/>
      <c r="CD194" s="213"/>
      <c r="CE194" s="214"/>
      <c r="CF194" s="214"/>
      <c r="CG194" s="215"/>
    </row>
    <row r="195" spans="3:85" s="211" customFormat="1" ht="30.75" customHeight="1" x14ac:dyDescent="0.2">
      <c r="K195" s="206"/>
      <c r="L195" s="207"/>
      <c r="M195" s="207"/>
      <c r="N195" s="207"/>
      <c r="O195" s="207"/>
      <c r="P195" s="206"/>
      <c r="Q195" s="207"/>
      <c r="R195" s="220"/>
      <c r="S195" s="207"/>
      <c r="T195" s="221"/>
      <c r="U195" s="206"/>
      <c r="V195" s="206"/>
      <c r="W195" s="206"/>
      <c r="X195" s="1913"/>
      <c r="Y195" s="1913"/>
      <c r="AH195" s="209"/>
      <c r="AI195" s="209"/>
      <c r="AJ195" s="209"/>
      <c r="AK195" s="209"/>
      <c r="AL195" s="209"/>
      <c r="AM195" s="209"/>
      <c r="AN195" s="209"/>
      <c r="AO195" s="209"/>
      <c r="AP195" s="209"/>
      <c r="AQ195" s="209"/>
      <c r="AR195" s="209"/>
      <c r="AS195" s="209"/>
      <c r="AT195" s="209"/>
      <c r="AU195" s="209"/>
      <c r="AV195" s="209"/>
      <c r="AW195" s="209"/>
      <c r="AX195" s="209"/>
      <c r="AY195" s="209"/>
      <c r="AZ195" s="209"/>
      <c r="BA195" s="222"/>
      <c r="BB195" s="222"/>
      <c r="BC195" s="209"/>
      <c r="BD195" s="209"/>
      <c r="BE195" s="209"/>
      <c r="BF195" s="209"/>
      <c r="BG195" s="209"/>
      <c r="BH195" s="209"/>
      <c r="BI195" s="209"/>
      <c r="BJ195" s="209"/>
      <c r="BK195" s="209"/>
      <c r="BL195" s="209"/>
      <c r="BM195" s="209"/>
      <c r="BN195" s="209"/>
      <c r="BO195" s="209"/>
      <c r="BP195" s="209"/>
      <c r="BQ195" s="209"/>
      <c r="BR195" s="209"/>
      <c r="BS195" s="209"/>
      <c r="BT195" s="209"/>
      <c r="BU195" s="212"/>
      <c r="BV195" s="209"/>
      <c r="BX195" s="210"/>
      <c r="BY195" s="210"/>
      <c r="BZ195" s="214"/>
      <c r="CA195" s="214"/>
      <c r="CB195" s="215"/>
    </row>
    <row r="196" spans="3:85" x14ac:dyDescent="0.2">
      <c r="W196" s="1915"/>
      <c r="AZ196" s="1916"/>
      <c r="BA196" s="1916"/>
      <c r="BB196" s="1916"/>
      <c r="BC196" s="1916"/>
    </row>
    <row r="197" spans="3:85" x14ac:dyDescent="0.2">
      <c r="AZ197" s="1916"/>
      <c r="BA197" s="1916"/>
      <c r="BB197" s="1916"/>
      <c r="BC197" s="1916"/>
    </row>
  </sheetData>
  <sheetProtection password="CBEB" sheet="1" objects="1" scenarios="1"/>
  <mergeCells count="1297">
    <mergeCell ref="A1:BH2"/>
    <mergeCell ref="A3:N4"/>
    <mergeCell ref="Q3:AA4"/>
    <mergeCell ref="AB3:AY4"/>
    <mergeCell ref="AZ3:BH4"/>
    <mergeCell ref="A5:A13"/>
    <mergeCell ref="B5:C13"/>
    <mergeCell ref="D5:D13"/>
    <mergeCell ref="E5:F13"/>
    <mergeCell ref="G5:G13"/>
    <mergeCell ref="BF5:BG6"/>
    <mergeCell ref="BH5:BI6"/>
    <mergeCell ref="BJ5:BJ13"/>
    <mergeCell ref="AB6:AC6"/>
    <mergeCell ref="AD6:AE6"/>
    <mergeCell ref="AF6:AG6"/>
    <mergeCell ref="AH6:AI6"/>
    <mergeCell ref="AJ6:AK6"/>
    <mergeCell ref="AL6:AM6"/>
    <mergeCell ref="V5:V13"/>
    <mergeCell ref="W5:Y6"/>
    <mergeCell ref="Z5:Z7"/>
    <mergeCell ref="AA5:AA13"/>
    <mergeCell ref="AB5:AM5"/>
    <mergeCell ref="AN5:AY5"/>
    <mergeCell ref="AN6:AO6"/>
    <mergeCell ref="AP6:AQ6"/>
    <mergeCell ref="AR6:AS6"/>
    <mergeCell ref="AT6:AU6"/>
    <mergeCell ref="BD6:BD7"/>
    <mergeCell ref="BE6:BE7"/>
    <mergeCell ref="A15:C15"/>
    <mergeCell ref="O17:O24"/>
    <mergeCell ref="P17:P24"/>
    <mergeCell ref="Q17:Q24"/>
    <mergeCell ref="S17:S24"/>
    <mergeCell ref="T17:T24"/>
    <mergeCell ref="Z17:Z24"/>
    <mergeCell ref="AA17:AA24"/>
    <mergeCell ref="AV6:AW6"/>
    <mergeCell ref="AX6:AY6"/>
    <mergeCell ref="AZ6:AZ7"/>
    <mergeCell ref="BA6:BA7"/>
    <mergeCell ref="BB6:BB7"/>
    <mergeCell ref="BC6:BC7"/>
    <mergeCell ref="AZ5:BE5"/>
    <mergeCell ref="P5:P13"/>
    <mergeCell ref="Q5:Q13"/>
    <mergeCell ref="R5:R13"/>
    <mergeCell ref="S5:S13"/>
    <mergeCell ref="T5:T13"/>
    <mergeCell ref="U5:U13"/>
    <mergeCell ref="H5:I13"/>
    <mergeCell ref="J5:J13"/>
    <mergeCell ref="K5:K13"/>
    <mergeCell ref="L5:L13"/>
    <mergeCell ref="M5:N6"/>
    <mergeCell ref="O5:O13"/>
    <mergeCell ref="R18:R19"/>
    <mergeCell ref="U18:U19"/>
    <mergeCell ref="J20:J24"/>
    <mergeCell ref="K20:K24"/>
    <mergeCell ref="L20:L24"/>
    <mergeCell ref="BH17:BH24"/>
    <mergeCell ref="BI17:BI24"/>
    <mergeCell ref="BJ17:BJ24"/>
    <mergeCell ref="J18:J19"/>
    <mergeCell ref="K18:K19"/>
    <mergeCell ref="L18:L19"/>
    <mergeCell ref="M18:M19"/>
    <mergeCell ref="N18:N19"/>
    <mergeCell ref="AZ17:AZ24"/>
    <mergeCell ref="BA17:BA24"/>
    <mergeCell ref="BB17:BB24"/>
    <mergeCell ref="BC17:BC24"/>
    <mergeCell ref="BD17:BD24"/>
    <mergeCell ref="BE17:BE24"/>
    <mergeCell ref="AT17:AT24"/>
    <mergeCell ref="AU17:AU24"/>
    <mergeCell ref="AV17:AV24"/>
    <mergeCell ref="AW17:AW24"/>
    <mergeCell ref="AX17:AX24"/>
    <mergeCell ref="AY17:AY24"/>
    <mergeCell ref="AN17:AN24"/>
    <mergeCell ref="AO17:AO24"/>
    <mergeCell ref="AP17:AP24"/>
    <mergeCell ref="AQ17:AQ24"/>
    <mergeCell ref="AR17:AR24"/>
    <mergeCell ref="AS17:AS24"/>
    <mergeCell ref="AH17:AH24"/>
    <mergeCell ref="AI17:AI24"/>
    <mergeCell ref="AJ17:AJ24"/>
    <mergeCell ref="AK17:AK24"/>
    <mergeCell ref="AL17:AL24"/>
    <mergeCell ref="AM17:AM24"/>
    <mergeCell ref="M20:M24"/>
    <mergeCell ref="N20:N24"/>
    <mergeCell ref="R20:R24"/>
    <mergeCell ref="U20:U24"/>
    <mergeCell ref="BF17:BF24"/>
    <mergeCell ref="BG17:BG24"/>
    <mergeCell ref="AB17:AB24"/>
    <mergeCell ref="AC17:AC24"/>
    <mergeCell ref="AD17:AD24"/>
    <mergeCell ref="AE17:AE24"/>
    <mergeCell ref="AF17:AF24"/>
    <mergeCell ref="AG17:AG24"/>
    <mergeCell ref="BJ27:BJ30"/>
    <mergeCell ref="J29:J30"/>
    <mergeCell ref="K29:K30"/>
    <mergeCell ref="L29:L30"/>
    <mergeCell ref="M29:M30"/>
    <mergeCell ref="N29:N30"/>
    <mergeCell ref="R29:R30"/>
    <mergeCell ref="U29:U30"/>
    <mergeCell ref="BD27:BD30"/>
    <mergeCell ref="BE27:BE30"/>
    <mergeCell ref="BF27:BF30"/>
    <mergeCell ref="BG27:BG30"/>
    <mergeCell ref="BH27:BH30"/>
    <mergeCell ref="BI27:BI30"/>
    <mergeCell ref="AX27:AX30"/>
    <mergeCell ref="AY27:AY30"/>
    <mergeCell ref="AZ27:AZ30"/>
    <mergeCell ref="BA27:BA30"/>
    <mergeCell ref="BB27:BB30"/>
    <mergeCell ref="BC27:BC30"/>
    <mergeCell ref="AR27:AR30"/>
    <mergeCell ref="AS27:AS30"/>
    <mergeCell ref="AT27:AT30"/>
    <mergeCell ref="J27:J28"/>
    <mergeCell ref="K27:K28"/>
    <mergeCell ref="L27:L28"/>
    <mergeCell ref="M27:M28"/>
    <mergeCell ref="N27:N28"/>
    <mergeCell ref="O27:O30"/>
    <mergeCell ref="AF27:AF30"/>
    <mergeCell ref="AG27:AG30"/>
    <mergeCell ref="AH27:AH30"/>
    <mergeCell ref="AU27:AU30"/>
    <mergeCell ref="AV27:AV30"/>
    <mergeCell ref="AW27:AW30"/>
    <mergeCell ref="AL27:AL30"/>
    <mergeCell ref="AM27:AM30"/>
    <mergeCell ref="AN27:AN30"/>
    <mergeCell ref="AO27:AO30"/>
    <mergeCell ref="AP27:AP30"/>
    <mergeCell ref="AQ27:AQ30"/>
    <mergeCell ref="AI27:AI30"/>
    <mergeCell ref="AJ27:AJ30"/>
    <mergeCell ref="AK27:AK30"/>
    <mergeCell ref="P32:P45"/>
    <mergeCell ref="Q32:Q45"/>
    <mergeCell ref="R32:R34"/>
    <mergeCell ref="S32:S45"/>
    <mergeCell ref="T32:T45"/>
    <mergeCell ref="U32:U39"/>
    <mergeCell ref="R40:R42"/>
    <mergeCell ref="U40:U45"/>
    <mergeCell ref="AC27:AC30"/>
    <mergeCell ref="AD27:AD30"/>
    <mergeCell ref="AE27:AE30"/>
    <mergeCell ref="P27:P30"/>
    <mergeCell ref="Q27:Q30"/>
    <mergeCell ref="R27:R28"/>
    <mergeCell ref="S27:S30"/>
    <mergeCell ref="T27:T30"/>
    <mergeCell ref="U27:U28"/>
    <mergeCell ref="Z27:Z30"/>
    <mergeCell ref="AA27:AA30"/>
    <mergeCell ref="AB27:AB30"/>
    <mergeCell ref="J32:J34"/>
    <mergeCell ref="K32:K34"/>
    <mergeCell ref="L32:L34"/>
    <mergeCell ref="M32:M34"/>
    <mergeCell ref="N32:N34"/>
    <mergeCell ref="O32:O45"/>
    <mergeCell ref="M40:M42"/>
    <mergeCell ref="N40:N42"/>
    <mergeCell ref="J43:J45"/>
    <mergeCell ref="K43:K45"/>
    <mergeCell ref="AU32:AU45"/>
    <mergeCell ref="AV32:AV45"/>
    <mergeCell ref="AW32:AW45"/>
    <mergeCell ref="AL32:AL45"/>
    <mergeCell ref="AM32:AM45"/>
    <mergeCell ref="AN32:AN45"/>
    <mergeCell ref="AO32:AO45"/>
    <mergeCell ref="AP32:AP45"/>
    <mergeCell ref="AQ32:AQ45"/>
    <mergeCell ref="AF32:AF45"/>
    <mergeCell ref="AG32:AG45"/>
    <mergeCell ref="AH32:AH45"/>
    <mergeCell ref="AI32:AI45"/>
    <mergeCell ref="AJ32:AJ45"/>
    <mergeCell ref="AK32:AK45"/>
    <mergeCell ref="Z32:Z45"/>
    <mergeCell ref="AA32:AA45"/>
    <mergeCell ref="AB32:AB45"/>
    <mergeCell ref="AC32:AC45"/>
    <mergeCell ref="AD32:AD45"/>
    <mergeCell ref="AE32:AE45"/>
    <mergeCell ref="L43:L45"/>
    <mergeCell ref="M43:M45"/>
    <mergeCell ref="N43:N45"/>
    <mergeCell ref="R43:R45"/>
    <mergeCell ref="O47:O51"/>
    <mergeCell ref="P47:P51"/>
    <mergeCell ref="Q47:Q51"/>
    <mergeCell ref="BJ32:BJ45"/>
    <mergeCell ref="J35:J39"/>
    <mergeCell ref="K35:K39"/>
    <mergeCell ref="L35:L39"/>
    <mergeCell ref="M35:M39"/>
    <mergeCell ref="N35:N39"/>
    <mergeCell ref="R35:R39"/>
    <mergeCell ref="J40:J42"/>
    <mergeCell ref="K40:K42"/>
    <mergeCell ref="L40:L42"/>
    <mergeCell ref="BD32:BD45"/>
    <mergeCell ref="BE32:BE45"/>
    <mergeCell ref="BF32:BF45"/>
    <mergeCell ref="BG32:BG45"/>
    <mergeCell ref="BH32:BH45"/>
    <mergeCell ref="BI32:BI45"/>
    <mergeCell ref="AX32:AX45"/>
    <mergeCell ref="AY32:AY45"/>
    <mergeCell ref="AZ32:AZ45"/>
    <mergeCell ref="BA32:BA45"/>
    <mergeCell ref="BB32:BB45"/>
    <mergeCell ref="BC32:BC45"/>
    <mergeCell ref="AR32:AR45"/>
    <mergeCell ref="AS32:AS45"/>
    <mergeCell ref="AT32:AT45"/>
    <mergeCell ref="BJ47:BJ51"/>
    <mergeCell ref="J48:J49"/>
    <mergeCell ref="K48:K49"/>
    <mergeCell ref="L48:L49"/>
    <mergeCell ref="M48:M49"/>
    <mergeCell ref="N48:N49"/>
    <mergeCell ref="R48:R49"/>
    <mergeCell ref="U48:U49"/>
    <mergeCell ref="BB47:BB51"/>
    <mergeCell ref="BC47:BC51"/>
    <mergeCell ref="BD47:BD51"/>
    <mergeCell ref="BE47:BE51"/>
    <mergeCell ref="BF47:BF51"/>
    <mergeCell ref="BG47:BG51"/>
    <mergeCell ref="AV47:AV51"/>
    <mergeCell ref="AW47:AW51"/>
    <mergeCell ref="AX47:AX51"/>
    <mergeCell ref="AY47:AY51"/>
    <mergeCell ref="AZ47:AZ51"/>
    <mergeCell ref="BA47:BA51"/>
    <mergeCell ref="AP47:AP51"/>
    <mergeCell ref="AQ47:AQ51"/>
    <mergeCell ref="AR47:AR51"/>
    <mergeCell ref="AS47:AS51"/>
    <mergeCell ref="AT47:AT51"/>
    <mergeCell ref="AU47:AU51"/>
    <mergeCell ref="AJ47:AJ51"/>
    <mergeCell ref="AK47:AK51"/>
    <mergeCell ref="AL47:AL51"/>
    <mergeCell ref="AM47:AM51"/>
    <mergeCell ref="AN47:AN51"/>
    <mergeCell ref="AO47:AO51"/>
    <mergeCell ref="J53:J55"/>
    <mergeCell ref="K53:K55"/>
    <mergeCell ref="L53:L55"/>
    <mergeCell ref="M53:M55"/>
    <mergeCell ref="N53:N55"/>
    <mergeCell ref="O53:O60"/>
    <mergeCell ref="L59:L60"/>
    <mergeCell ref="M59:M60"/>
    <mergeCell ref="N59:N60"/>
    <mergeCell ref="J50:J51"/>
    <mergeCell ref="K50:K51"/>
    <mergeCell ref="L50:L51"/>
    <mergeCell ref="M50:M51"/>
    <mergeCell ref="N50:N51"/>
    <mergeCell ref="R50:R51"/>
    <mergeCell ref="BH47:BH51"/>
    <mergeCell ref="BI47:BI51"/>
    <mergeCell ref="AD47:AD51"/>
    <mergeCell ref="AE47:AE51"/>
    <mergeCell ref="AF47:AF51"/>
    <mergeCell ref="AG47:AG51"/>
    <mergeCell ref="AH47:AH51"/>
    <mergeCell ref="AI47:AI51"/>
    <mergeCell ref="S47:S51"/>
    <mergeCell ref="T47:T51"/>
    <mergeCell ref="Z47:Z51"/>
    <mergeCell ref="AA47:AA51"/>
    <mergeCell ref="AB47:AB51"/>
    <mergeCell ref="AC47:AC51"/>
    <mergeCell ref="U50:U51"/>
    <mergeCell ref="AP53:AP60"/>
    <mergeCell ref="AQ53:AQ60"/>
    <mergeCell ref="AF53:AF60"/>
    <mergeCell ref="AG53:AG60"/>
    <mergeCell ref="AH53:AH60"/>
    <mergeCell ref="AI53:AI60"/>
    <mergeCell ref="AJ53:AJ60"/>
    <mergeCell ref="AK53:AK60"/>
    <mergeCell ref="Z53:Z60"/>
    <mergeCell ref="AA53:AA60"/>
    <mergeCell ref="AB53:AB60"/>
    <mergeCell ref="AC53:AC60"/>
    <mergeCell ref="AD53:AD60"/>
    <mergeCell ref="AE53:AE60"/>
    <mergeCell ref="P53:P60"/>
    <mergeCell ref="Q53:Q60"/>
    <mergeCell ref="R53:R55"/>
    <mergeCell ref="S53:S60"/>
    <mergeCell ref="T53:T60"/>
    <mergeCell ref="U53:U55"/>
    <mergeCell ref="R59:R60"/>
    <mergeCell ref="U59:U60"/>
    <mergeCell ref="BJ53:BJ60"/>
    <mergeCell ref="J56:J58"/>
    <mergeCell ref="K56:K58"/>
    <mergeCell ref="L56:L58"/>
    <mergeCell ref="M56:M58"/>
    <mergeCell ref="N56:N58"/>
    <mergeCell ref="R56:R58"/>
    <mergeCell ref="U56:U58"/>
    <mergeCell ref="J59:J60"/>
    <mergeCell ref="K59:K60"/>
    <mergeCell ref="BD53:BD60"/>
    <mergeCell ref="BE53:BE60"/>
    <mergeCell ref="BF53:BF60"/>
    <mergeCell ref="BG53:BG60"/>
    <mergeCell ref="BH53:BH60"/>
    <mergeCell ref="BI53:BI60"/>
    <mergeCell ref="AX53:AX60"/>
    <mergeCell ref="AY53:AY60"/>
    <mergeCell ref="AZ53:AZ60"/>
    <mergeCell ref="BA53:BA60"/>
    <mergeCell ref="BB53:BB60"/>
    <mergeCell ref="BC53:BC60"/>
    <mergeCell ref="AR53:AR60"/>
    <mergeCell ref="AS53:AS60"/>
    <mergeCell ref="AT53:AT60"/>
    <mergeCell ref="AU53:AU60"/>
    <mergeCell ref="AV53:AV60"/>
    <mergeCell ref="AW53:AW60"/>
    <mergeCell ref="AL53:AL60"/>
    <mergeCell ref="AM53:AM60"/>
    <mergeCell ref="AN53:AN60"/>
    <mergeCell ref="AO53:AO60"/>
    <mergeCell ref="AM62:AM64"/>
    <mergeCell ref="AN62:AN64"/>
    <mergeCell ref="AO62:AO64"/>
    <mergeCell ref="AP62:AP64"/>
    <mergeCell ref="AQ62:AQ64"/>
    <mergeCell ref="AR62:AR64"/>
    <mergeCell ref="AG62:AG64"/>
    <mergeCell ref="AH62:AH64"/>
    <mergeCell ref="AI62:AI64"/>
    <mergeCell ref="AJ62:AJ64"/>
    <mergeCell ref="AK62:AK64"/>
    <mergeCell ref="AL62:AL64"/>
    <mergeCell ref="AA62:AA64"/>
    <mergeCell ref="AB62:AB64"/>
    <mergeCell ref="AC62:AC64"/>
    <mergeCell ref="AD62:AD64"/>
    <mergeCell ref="AE62:AE64"/>
    <mergeCell ref="AF62:AF64"/>
    <mergeCell ref="BE62:BE64"/>
    <mergeCell ref="BF62:BF64"/>
    <mergeCell ref="BG62:BG64"/>
    <mergeCell ref="BH62:BH64"/>
    <mergeCell ref="BI62:BI64"/>
    <mergeCell ref="BJ62:BJ64"/>
    <mergeCell ref="AY62:AY64"/>
    <mergeCell ref="AZ62:AZ64"/>
    <mergeCell ref="BA62:BA64"/>
    <mergeCell ref="BB62:BB64"/>
    <mergeCell ref="BC62:BC64"/>
    <mergeCell ref="BD62:BD64"/>
    <mergeCell ref="AS62:AS64"/>
    <mergeCell ref="AT62:AT64"/>
    <mergeCell ref="AU62:AU64"/>
    <mergeCell ref="AV62:AV64"/>
    <mergeCell ref="AW62:AW64"/>
    <mergeCell ref="AX62:AX64"/>
    <mergeCell ref="Q65:Q70"/>
    <mergeCell ref="R65:R69"/>
    <mergeCell ref="S65:S70"/>
    <mergeCell ref="T65:T70"/>
    <mergeCell ref="U65:U69"/>
    <mergeCell ref="AB65:AB70"/>
    <mergeCell ref="J65:J69"/>
    <mergeCell ref="K65:K69"/>
    <mergeCell ref="L65:L69"/>
    <mergeCell ref="M65:M69"/>
    <mergeCell ref="N65:N69"/>
    <mergeCell ref="P65:P70"/>
    <mergeCell ref="J63:J64"/>
    <mergeCell ref="K63:K64"/>
    <mergeCell ref="L63:L64"/>
    <mergeCell ref="M63:M64"/>
    <mergeCell ref="N63:N64"/>
    <mergeCell ref="U63:U64"/>
    <mergeCell ref="O62:O64"/>
    <mergeCell ref="P62:P64"/>
    <mergeCell ref="Q62:Q64"/>
    <mergeCell ref="S62:S64"/>
    <mergeCell ref="T62:T64"/>
    <mergeCell ref="Z62:Z64"/>
    <mergeCell ref="AO65:AO70"/>
    <mergeCell ref="AP65:AP70"/>
    <mergeCell ref="AQ65:AQ70"/>
    <mergeCell ref="AR65:AR70"/>
    <mergeCell ref="AS65:AS70"/>
    <mergeCell ref="AT65:AT70"/>
    <mergeCell ref="AI65:AI70"/>
    <mergeCell ref="AJ65:AJ70"/>
    <mergeCell ref="AK65:AK70"/>
    <mergeCell ref="AL65:AL70"/>
    <mergeCell ref="AM65:AM70"/>
    <mergeCell ref="AN65:AN70"/>
    <mergeCell ref="AC65:AC70"/>
    <mergeCell ref="AD65:AD70"/>
    <mergeCell ref="AE65:AE70"/>
    <mergeCell ref="AF65:AF70"/>
    <mergeCell ref="AG65:AG70"/>
    <mergeCell ref="AH65:AH70"/>
    <mergeCell ref="AE71:AE79"/>
    <mergeCell ref="AF71:AF79"/>
    <mergeCell ref="AG71:AG79"/>
    <mergeCell ref="AH71:AH79"/>
    <mergeCell ref="Q71:Q79"/>
    <mergeCell ref="R71:R79"/>
    <mergeCell ref="S71:S79"/>
    <mergeCell ref="T71:T79"/>
    <mergeCell ref="U71:U74"/>
    <mergeCell ref="AB71:AB79"/>
    <mergeCell ref="BG65:BG70"/>
    <mergeCell ref="BH65:BH70"/>
    <mergeCell ref="BI65:BI70"/>
    <mergeCell ref="BJ65:BJ70"/>
    <mergeCell ref="J71:J79"/>
    <mergeCell ref="K71:K79"/>
    <mergeCell ref="L71:L79"/>
    <mergeCell ref="M71:M79"/>
    <mergeCell ref="N71:N79"/>
    <mergeCell ref="P71:P79"/>
    <mergeCell ref="BA65:BA70"/>
    <mergeCell ref="BB65:BB70"/>
    <mergeCell ref="BC65:BC70"/>
    <mergeCell ref="BD65:BD70"/>
    <mergeCell ref="BE65:BE70"/>
    <mergeCell ref="BF65:BF70"/>
    <mergeCell ref="AU65:AU70"/>
    <mergeCell ref="AV65:AV70"/>
    <mergeCell ref="AW65:AW70"/>
    <mergeCell ref="AX65:AX70"/>
    <mergeCell ref="AY65:AY70"/>
    <mergeCell ref="AZ65:AZ70"/>
    <mergeCell ref="BG71:BG79"/>
    <mergeCell ref="BH71:BH79"/>
    <mergeCell ref="BI71:BI79"/>
    <mergeCell ref="BJ71:BJ79"/>
    <mergeCell ref="U75:U77"/>
    <mergeCell ref="U78:U79"/>
    <mergeCell ref="BA71:BA79"/>
    <mergeCell ref="BB71:BB79"/>
    <mergeCell ref="BC71:BC79"/>
    <mergeCell ref="BD71:BD79"/>
    <mergeCell ref="BE71:BE79"/>
    <mergeCell ref="BF71:BF79"/>
    <mergeCell ref="AU71:AU79"/>
    <mergeCell ref="AV71:AV79"/>
    <mergeCell ref="AW71:AW79"/>
    <mergeCell ref="AX71:AX79"/>
    <mergeCell ref="AY71:AY79"/>
    <mergeCell ref="AZ71:AZ79"/>
    <mergeCell ref="AO71:AO79"/>
    <mergeCell ref="AP71:AP79"/>
    <mergeCell ref="AQ71:AQ79"/>
    <mergeCell ref="AR71:AR79"/>
    <mergeCell ref="AS71:AS79"/>
    <mergeCell ref="AT71:AT79"/>
    <mergeCell ref="AI71:AI79"/>
    <mergeCell ref="AJ71:AJ79"/>
    <mergeCell ref="AK71:AK79"/>
    <mergeCell ref="AL71:AL79"/>
    <mergeCell ref="AM71:AM79"/>
    <mergeCell ref="AN71:AN79"/>
    <mergeCell ref="AC71:AC79"/>
    <mergeCell ref="AD71:AD79"/>
    <mergeCell ref="Z81:Z87"/>
    <mergeCell ref="AA81:AA87"/>
    <mergeCell ref="AB81:AB87"/>
    <mergeCell ref="AC81:AC87"/>
    <mergeCell ref="AD81:AD87"/>
    <mergeCell ref="AE81:AE87"/>
    <mergeCell ref="P81:P87"/>
    <mergeCell ref="Q81:Q87"/>
    <mergeCell ref="R81:R83"/>
    <mergeCell ref="S81:S87"/>
    <mergeCell ref="T81:T87"/>
    <mergeCell ref="U81:U83"/>
    <mergeCell ref="J81:J83"/>
    <mergeCell ref="K81:K83"/>
    <mergeCell ref="L81:L83"/>
    <mergeCell ref="M81:M83"/>
    <mergeCell ref="N81:N83"/>
    <mergeCell ref="O81:O87"/>
    <mergeCell ref="AR81:AR87"/>
    <mergeCell ref="AS81:AS87"/>
    <mergeCell ref="AT81:AT87"/>
    <mergeCell ref="AU81:AU87"/>
    <mergeCell ref="AV81:AV87"/>
    <mergeCell ref="AW81:AW87"/>
    <mergeCell ref="AL81:AL87"/>
    <mergeCell ref="AM81:AM87"/>
    <mergeCell ref="AN81:AN87"/>
    <mergeCell ref="AO81:AO87"/>
    <mergeCell ref="AP81:AP87"/>
    <mergeCell ref="AQ81:AQ87"/>
    <mergeCell ref="AF81:AF87"/>
    <mergeCell ref="AG81:AG87"/>
    <mergeCell ref="AH81:AH87"/>
    <mergeCell ref="AI81:AI87"/>
    <mergeCell ref="AJ81:AJ87"/>
    <mergeCell ref="AK81:AK87"/>
    <mergeCell ref="P89:P94"/>
    <mergeCell ref="Q89:Q94"/>
    <mergeCell ref="R89:R91"/>
    <mergeCell ref="S89:S94"/>
    <mergeCell ref="T89:T94"/>
    <mergeCell ref="U89:U91"/>
    <mergeCell ref="J89:J91"/>
    <mergeCell ref="K89:K91"/>
    <mergeCell ref="L89:L91"/>
    <mergeCell ref="M89:M91"/>
    <mergeCell ref="N89:N91"/>
    <mergeCell ref="O89:O94"/>
    <mergeCell ref="BJ81:BJ87"/>
    <mergeCell ref="J84:J87"/>
    <mergeCell ref="K84:K87"/>
    <mergeCell ref="L84:L87"/>
    <mergeCell ref="M84:M87"/>
    <mergeCell ref="N84:N87"/>
    <mergeCell ref="R84:R87"/>
    <mergeCell ref="U84:U87"/>
    <mergeCell ref="BD81:BD87"/>
    <mergeCell ref="BE81:BE87"/>
    <mergeCell ref="BF81:BF87"/>
    <mergeCell ref="BG81:BG87"/>
    <mergeCell ref="BH81:BH87"/>
    <mergeCell ref="BI81:BI87"/>
    <mergeCell ref="AX81:AX87"/>
    <mergeCell ref="AY81:AY87"/>
    <mergeCell ref="AZ81:AZ87"/>
    <mergeCell ref="BA81:BA87"/>
    <mergeCell ref="BB81:BB87"/>
    <mergeCell ref="BC81:BC87"/>
    <mergeCell ref="AT89:AT94"/>
    <mergeCell ref="AU89:AU94"/>
    <mergeCell ref="AV89:AV94"/>
    <mergeCell ref="AW89:AW94"/>
    <mergeCell ref="AL89:AL94"/>
    <mergeCell ref="AM89:AM94"/>
    <mergeCell ref="AN89:AN94"/>
    <mergeCell ref="AO89:AO94"/>
    <mergeCell ref="AP89:AP94"/>
    <mergeCell ref="AQ89:AQ94"/>
    <mergeCell ref="AF89:AF94"/>
    <mergeCell ref="AG89:AG94"/>
    <mergeCell ref="AH89:AH94"/>
    <mergeCell ref="AI89:AI94"/>
    <mergeCell ref="AJ89:AJ94"/>
    <mergeCell ref="AK89:AK94"/>
    <mergeCell ref="Z89:Z94"/>
    <mergeCell ref="AA89:AA94"/>
    <mergeCell ref="AB89:AB94"/>
    <mergeCell ref="AC89:AC94"/>
    <mergeCell ref="AD89:AD94"/>
    <mergeCell ref="AE89:AE94"/>
    <mergeCell ref="J96:J97"/>
    <mergeCell ref="K96:K97"/>
    <mergeCell ref="L96:L97"/>
    <mergeCell ref="M96:M97"/>
    <mergeCell ref="N96:N97"/>
    <mergeCell ref="P96:P103"/>
    <mergeCell ref="J100:J103"/>
    <mergeCell ref="K100:K103"/>
    <mergeCell ref="L100:L103"/>
    <mergeCell ref="M100:M103"/>
    <mergeCell ref="BJ89:BJ94"/>
    <mergeCell ref="J92:J94"/>
    <mergeCell ref="K92:K94"/>
    <mergeCell ref="L92:L94"/>
    <mergeCell ref="M92:M94"/>
    <mergeCell ref="N92:N94"/>
    <mergeCell ref="R92:R94"/>
    <mergeCell ref="U92:U94"/>
    <mergeCell ref="BD89:BD94"/>
    <mergeCell ref="BE89:BE94"/>
    <mergeCell ref="BF89:BF94"/>
    <mergeCell ref="BG89:BG94"/>
    <mergeCell ref="BH89:BH94"/>
    <mergeCell ref="BI89:BI94"/>
    <mergeCell ref="AX89:AX94"/>
    <mergeCell ref="AY89:AY94"/>
    <mergeCell ref="AZ89:AZ94"/>
    <mergeCell ref="BA89:BA94"/>
    <mergeCell ref="BB89:BB94"/>
    <mergeCell ref="BC89:BC94"/>
    <mergeCell ref="AR89:AR94"/>
    <mergeCell ref="AS89:AS94"/>
    <mergeCell ref="AQ96:AQ103"/>
    <mergeCell ref="AR96:AR103"/>
    <mergeCell ref="AS96:AS103"/>
    <mergeCell ref="AT96:AT103"/>
    <mergeCell ref="AI96:AI103"/>
    <mergeCell ref="AJ96:AJ103"/>
    <mergeCell ref="AK96:AK103"/>
    <mergeCell ref="AL96:AL103"/>
    <mergeCell ref="AM96:AM103"/>
    <mergeCell ref="AN96:AN103"/>
    <mergeCell ref="AC96:AC103"/>
    <mergeCell ref="AD96:AD103"/>
    <mergeCell ref="AE96:AE103"/>
    <mergeCell ref="AF96:AF103"/>
    <mergeCell ref="AG96:AG103"/>
    <mergeCell ref="AH96:AH103"/>
    <mergeCell ref="Q96:Q103"/>
    <mergeCell ref="R96:R97"/>
    <mergeCell ref="S96:S103"/>
    <mergeCell ref="T96:T103"/>
    <mergeCell ref="U96:U97"/>
    <mergeCell ref="AB96:AB103"/>
    <mergeCell ref="R98:R99"/>
    <mergeCell ref="U98:U103"/>
    <mergeCell ref="J105:J107"/>
    <mergeCell ref="K105:K107"/>
    <mergeCell ref="L105:L107"/>
    <mergeCell ref="M105:M107"/>
    <mergeCell ref="N105:N107"/>
    <mergeCell ref="P105:P119"/>
    <mergeCell ref="Q105:Q119"/>
    <mergeCell ref="R105:R107"/>
    <mergeCell ref="BG96:BG103"/>
    <mergeCell ref="BH96:BH103"/>
    <mergeCell ref="BI96:BI103"/>
    <mergeCell ref="BJ96:BJ103"/>
    <mergeCell ref="BN96:BO97"/>
    <mergeCell ref="J98:J99"/>
    <mergeCell ref="K98:K99"/>
    <mergeCell ref="L98:L99"/>
    <mergeCell ref="M98:M99"/>
    <mergeCell ref="N98:N99"/>
    <mergeCell ref="BA96:BA103"/>
    <mergeCell ref="BB96:BB103"/>
    <mergeCell ref="BC96:BC103"/>
    <mergeCell ref="BD96:BD103"/>
    <mergeCell ref="BE96:BE103"/>
    <mergeCell ref="BF96:BF103"/>
    <mergeCell ref="AU96:AU103"/>
    <mergeCell ref="AV96:AV103"/>
    <mergeCell ref="AW96:AW103"/>
    <mergeCell ref="AX96:AX103"/>
    <mergeCell ref="AY96:AY103"/>
    <mergeCell ref="AZ96:AZ103"/>
    <mergeCell ref="AO96:AO103"/>
    <mergeCell ref="AP96:AP103"/>
    <mergeCell ref="AO105:AO119"/>
    <mergeCell ref="AP105:AP119"/>
    <mergeCell ref="AE105:AE119"/>
    <mergeCell ref="AF105:AF119"/>
    <mergeCell ref="AG105:AG119"/>
    <mergeCell ref="AH105:AH119"/>
    <mergeCell ref="AI105:AI119"/>
    <mergeCell ref="AJ105:AJ119"/>
    <mergeCell ref="S105:S119"/>
    <mergeCell ref="T105:T119"/>
    <mergeCell ref="U105:U107"/>
    <mergeCell ref="AB105:AB119"/>
    <mergeCell ref="AC105:AC119"/>
    <mergeCell ref="AD105:AD119"/>
    <mergeCell ref="U118:U119"/>
    <mergeCell ref="N100:N103"/>
    <mergeCell ref="R100:R103"/>
    <mergeCell ref="U111:U117"/>
    <mergeCell ref="BI105:BI119"/>
    <mergeCell ref="BJ105:BJ119"/>
    <mergeCell ref="J108:J110"/>
    <mergeCell ref="K108:K110"/>
    <mergeCell ref="L108:L110"/>
    <mergeCell ref="M108:M110"/>
    <mergeCell ref="N108:N110"/>
    <mergeCell ref="R108:R110"/>
    <mergeCell ref="U108:U110"/>
    <mergeCell ref="J111:J117"/>
    <mergeCell ref="BC105:BC119"/>
    <mergeCell ref="BD105:BD119"/>
    <mergeCell ref="BE105:BE119"/>
    <mergeCell ref="BF105:BF119"/>
    <mergeCell ref="BG105:BG119"/>
    <mergeCell ref="BH105:BH119"/>
    <mergeCell ref="AW105:AW119"/>
    <mergeCell ref="AX105:AX119"/>
    <mergeCell ref="AY105:AY119"/>
    <mergeCell ref="AZ105:AZ119"/>
    <mergeCell ref="BA105:BA119"/>
    <mergeCell ref="BB105:BB119"/>
    <mergeCell ref="AQ105:AQ119"/>
    <mergeCell ref="AR105:AR119"/>
    <mergeCell ref="AS105:AS119"/>
    <mergeCell ref="AT105:AT119"/>
    <mergeCell ref="AU105:AU119"/>
    <mergeCell ref="AV105:AV119"/>
    <mergeCell ref="AK105:AK119"/>
    <mergeCell ref="AL105:AL119"/>
    <mergeCell ref="AM105:AM119"/>
    <mergeCell ref="AN105:AN119"/>
    <mergeCell ref="J121:J124"/>
    <mergeCell ref="K121:K124"/>
    <mergeCell ref="L121:L124"/>
    <mergeCell ref="M121:M124"/>
    <mergeCell ref="N121:N124"/>
    <mergeCell ref="O121:O125"/>
    <mergeCell ref="J118:J119"/>
    <mergeCell ref="K118:K119"/>
    <mergeCell ref="L118:L119"/>
    <mergeCell ref="M118:M119"/>
    <mergeCell ref="N118:N119"/>
    <mergeCell ref="R118:R119"/>
    <mergeCell ref="K111:K117"/>
    <mergeCell ref="L111:L117"/>
    <mergeCell ref="M111:M117"/>
    <mergeCell ref="N111:N117"/>
    <mergeCell ref="R111:R117"/>
    <mergeCell ref="AF121:AF125"/>
    <mergeCell ref="AG121:AG125"/>
    <mergeCell ref="AH121:AH125"/>
    <mergeCell ref="AI121:AI125"/>
    <mergeCell ref="AJ121:AJ125"/>
    <mergeCell ref="AK121:AK125"/>
    <mergeCell ref="Z121:Z125"/>
    <mergeCell ref="AA121:AA125"/>
    <mergeCell ref="AB121:AB125"/>
    <mergeCell ref="AC121:AC125"/>
    <mergeCell ref="AD121:AD125"/>
    <mergeCell ref="AE121:AE125"/>
    <mergeCell ref="P121:P125"/>
    <mergeCell ref="Q121:Q125"/>
    <mergeCell ref="R121:R124"/>
    <mergeCell ref="S121:S125"/>
    <mergeCell ref="T121:T125"/>
    <mergeCell ref="U121:U123"/>
    <mergeCell ref="AY121:AY125"/>
    <mergeCell ref="AZ121:AZ125"/>
    <mergeCell ref="BA121:BA125"/>
    <mergeCell ref="BB121:BB125"/>
    <mergeCell ref="BC121:BC125"/>
    <mergeCell ref="AR121:AR125"/>
    <mergeCell ref="AS121:AS125"/>
    <mergeCell ref="AT121:AT125"/>
    <mergeCell ref="AU121:AU125"/>
    <mergeCell ref="AV121:AV125"/>
    <mergeCell ref="AW121:AW125"/>
    <mergeCell ref="AL121:AL125"/>
    <mergeCell ref="AM121:AM125"/>
    <mergeCell ref="AN121:AN125"/>
    <mergeCell ref="AO121:AO125"/>
    <mergeCell ref="AP121:AP125"/>
    <mergeCell ref="AQ121:AQ125"/>
    <mergeCell ref="AO127:AO131"/>
    <mergeCell ref="AP127:AP131"/>
    <mergeCell ref="AQ127:AQ131"/>
    <mergeCell ref="AR127:AR131"/>
    <mergeCell ref="AS127:AS131"/>
    <mergeCell ref="AT127:AT131"/>
    <mergeCell ref="AI127:AI131"/>
    <mergeCell ref="AJ127:AJ131"/>
    <mergeCell ref="AK127:AK131"/>
    <mergeCell ref="AL127:AL131"/>
    <mergeCell ref="AM127:AM131"/>
    <mergeCell ref="AN127:AN131"/>
    <mergeCell ref="AC127:AC131"/>
    <mergeCell ref="AD127:AD131"/>
    <mergeCell ref="AE127:AE131"/>
    <mergeCell ref="BJ121:BJ125"/>
    <mergeCell ref="J127:J131"/>
    <mergeCell ref="K127:K131"/>
    <mergeCell ref="L127:L131"/>
    <mergeCell ref="M127:M131"/>
    <mergeCell ref="N127:N131"/>
    <mergeCell ref="O127:O131"/>
    <mergeCell ref="P127:P131"/>
    <mergeCell ref="Q127:Q131"/>
    <mergeCell ref="R127:R131"/>
    <mergeCell ref="BD121:BD125"/>
    <mergeCell ref="BE121:BE125"/>
    <mergeCell ref="BF121:BF125"/>
    <mergeCell ref="BG121:BG125"/>
    <mergeCell ref="BH121:BH125"/>
    <mergeCell ref="BI121:BI125"/>
    <mergeCell ref="AX121:AX125"/>
    <mergeCell ref="BG127:BG131"/>
    <mergeCell ref="BH127:BH131"/>
    <mergeCell ref="BI127:BI131"/>
    <mergeCell ref="BJ127:BJ131"/>
    <mergeCell ref="U129:U130"/>
    <mergeCell ref="AF127:AF131"/>
    <mergeCell ref="AG127:AG131"/>
    <mergeCell ref="AH127:AH131"/>
    <mergeCell ref="S127:S131"/>
    <mergeCell ref="T127:T131"/>
    <mergeCell ref="U127:U128"/>
    <mergeCell ref="Z127:Z131"/>
    <mergeCell ref="AA127:AA131"/>
    <mergeCell ref="AB127:AB131"/>
    <mergeCell ref="AR132:AR139"/>
    <mergeCell ref="AS132:AS139"/>
    <mergeCell ref="AT132:AT139"/>
    <mergeCell ref="AU132:AU139"/>
    <mergeCell ref="AV132:AV139"/>
    <mergeCell ref="AK132:AK139"/>
    <mergeCell ref="BA127:BA131"/>
    <mergeCell ref="BB127:BB131"/>
    <mergeCell ref="BC127:BC131"/>
    <mergeCell ref="BD127:BD131"/>
    <mergeCell ref="BE127:BE131"/>
    <mergeCell ref="BF127:BF131"/>
    <mergeCell ref="AU127:AU131"/>
    <mergeCell ref="AV127:AV131"/>
    <mergeCell ref="AW127:AW131"/>
    <mergeCell ref="AX127:AX131"/>
    <mergeCell ref="AY127:AY131"/>
    <mergeCell ref="AZ127:AZ131"/>
    <mergeCell ref="D141:F147"/>
    <mergeCell ref="P142:P147"/>
    <mergeCell ref="Q142:Q147"/>
    <mergeCell ref="S142:S147"/>
    <mergeCell ref="T142:T147"/>
    <mergeCell ref="AB142:AB147"/>
    <mergeCell ref="U144:U145"/>
    <mergeCell ref="V144:V145"/>
    <mergeCell ref="W144:W145"/>
    <mergeCell ref="X144:X145"/>
    <mergeCell ref="AO142:AO147"/>
    <mergeCell ref="AP142:AP147"/>
    <mergeCell ref="U132:U134"/>
    <mergeCell ref="Z132:Z139"/>
    <mergeCell ref="AA132:AA139"/>
    <mergeCell ref="AB132:AB139"/>
    <mergeCell ref="AC132:AC139"/>
    <mergeCell ref="AD132:AD139"/>
    <mergeCell ref="O132:O139"/>
    <mergeCell ref="P132:P139"/>
    <mergeCell ref="Q132:Q139"/>
    <mergeCell ref="R132:R134"/>
    <mergeCell ref="S132:S139"/>
    <mergeCell ref="T132:T139"/>
    <mergeCell ref="J132:J134"/>
    <mergeCell ref="K132:K134"/>
    <mergeCell ref="L132:L134"/>
    <mergeCell ref="M132:M134"/>
    <mergeCell ref="N132:N134"/>
    <mergeCell ref="BJ132:BJ139"/>
    <mergeCell ref="J135:J139"/>
    <mergeCell ref="K135:K139"/>
    <mergeCell ref="L135:L139"/>
    <mergeCell ref="M135:M139"/>
    <mergeCell ref="N135:N139"/>
    <mergeCell ref="R135:R139"/>
    <mergeCell ref="U135:U139"/>
    <mergeCell ref="BC132:BC139"/>
    <mergeCell ref="BD132:BD139"/>
    <mergeCell ref="BE132:BE139"/>
    <mergeCell ref="BF132:BF139"/>
    <mergeCell ref="BG132:BG139"/>
    <mergeCell ref="BH132:BH139"/>
    <mergeCell ref="AW132:AW139"/>
    <mergeCell ref="AX132:AX139"/>
    <mergeCell ref="AY132:AY139"/>
    <mergeCell ref="AZ132:AZ139"/>
    <mergeCell ref="BA132:BA139"/>
    <mergeCell ref="BB132:BB139"/>
    <mergeCell ref="AQ132:AQ139"/>
    <mergeCell ref="AL132:AL139"/>
    <mergeCell ref="AM132:AM139"/>
    <mergeCell ref="AN132:AN139"/>
    <mergeCell ref="AO132:AO139"/>
    <mergeCell ref="AP132:AP139"/>
    <mergeCell ref="AE132:AE139"/>
    <mergeCell ref="AF132:AF139"/>
    <mergeCell ref="AG132:AG139"/>
    <mergeCell ref="AH132:AH139"/>
    <mergeCell ref="AI132:AI139"/>
    <mergeCell ref="AJ132:AJ139"/>
    <mergeCell ref="AR142:AR147"/>
    <mergeCell ref="AS142:AS147"/>
    <mergeCell ref="AT142:AT147"/>
    <mergeCell ref="AI142:AI147"/>
    <mergeCell ref="AJ142:AJ147"/>
    <mergeCell ref="AK142:AK147"/>
    <mergeCell ref="AL142:AL147"/>
    <mergeCell ref="AM142:AM147"/>
    <mergeCell ref="AN142:AN147"/>
    <mergeCell ref="AC142:AC147"/>
    <mergeCell ref="AD142:AD147"/>
    <mergeCell ref="AE142:AE147"/>
    <mergeCell ref="AF142:AF147"/>
    <mergeCell ref="AG142:AG147"/>
    <mergeCell ref="AH142:AH147"/>
    <mergeCell ref="Y144:Y145"/>
    <mergeCell ref="BI132:BI139"/>
    <mergeCell ref="K150:K151"/>
    <mergeCell ref="L150:L151"/>
    <mergeCell ref="M150:M151"/>
    <mergeCell ref="N150:N151"/>
    <mergeCell ref="P150:P154"/>
    <mergeCell ref="Q150:Q154"/>
    <mergeCell ref="R150:R151"/>
    <mergeCell ref="S150:S154"/>
    <mergeCell ref="BG142:BG147"/>
    <mergeCell ref="BH142:BH147"/>
    <mergeCell ref="BI142:BI147"/>
    <mergeCell ref="BJ142:BJ147"/>
    <mergeCell ref="J144:J145"/>
    <mergeCell ref="K144:K145"/>
    <mergeCell ref="L144:L145"/>
    <mergeCell ref="M144:M145"/>
    <mergeCell ref="N144:N145"/>
    <mergeCell ref="R144:R145"/>
    <mergeCell ref="BA142:BA147"/>
    <mergeCell ref="BB142:BB147"/>
    <mergeCell ref="BC142:BC147"/>
    <mergeCell ref="BD142:BD147"/>
    <mergeCell ref="BE142:BE147"/>
    <mergeCell ref="BF142:BF147"/>
    <mergeCell ref="AU142:AU147"/>
    <mergeCell ref="AV142:AV147"/>
    <mergeCell ref="AW142:AW147"/>
    <mergeCell ref="AX142:AX147"/>
    <mergeCell ref="AY142:AY147"/>
    <mergeCell ref="AZ142:AZ147"/>
    <mergeCell ref="BG150:BG154"/>
    <mergeCell ref="AQ142:AQ147"/>
    <mergeCell ref="BH150:BH154"/>
    <mergeCell ref="BI150:BI154"/>
    <mergeCell ref="BJ150:BJ154"/>
    <mergeCell ref="J153:J154"/>
    <mergeCell ref="K153:K154"/>
    <mergeCell ref="L153:L154"/>
    <mergeCell ref="M153:M154"/>
    <mergeCell ref="N153:N154"/>
    <mergeCell ref="AZ150:AZ154"/>
    <mergeCell ref="BA150:BA154"/>
    <mergeCell ref="BB150:BB154"/>
    <mergeCell ref="BC150:BC154"/>
    <mergeCell ref="BD150:BD154"/>
    <mergeCell ref="BE150:BE154"/>
    <mergeCell ref="AT150:AT154"/>
    <mergeCell ref="AU150:AU154"/>
    <mergeCell ref="AV150:AV154"/>
    <mergeCell ref="AW150:AW154"/>
    <mergeCell ref="AX150:AX154"/>
    <mergeCell ref="AY150:AY154"/>
    <mergeCell ref="AN150:AN154"/>
    <mergeCell ref="AO150:AO154"/>
    <mergeCell ref="AP150:AP154"/>
    <mergeCell ref="AQ150:AQ154"/>
    <mergeCell ref="AR150:AR154"/>
    <mergeCell ref="AS150:AS154"/>
    <mergeCell ref="AH150:AH154"/>
    <mergeCell ref="AI150:AI154"/>
    <mergeCell ref="AJ150:AJ154"/>
    <mergeCell ref="AK150:AK154"/>
    <mergeCell ref="AL150:AL154"/>
    <mergeCell ref="J150:J151"/>
    <mergeCell ref="AB155:AX155"/>
    <mergeCell ref="J156:J158"/>
    <mergeCell ref="K156:K158"/>
    <mergeCell ref="L156:L158"/>
    <mergeCell ref="M156:M158"/>
    <mergeCell ref="N156:N158"/>
    <mergeCell ref="O156:O158"/>
    <mergeCell ref="P156:P158"/>
    <mergeCell ref="Q156:Q158"/>
    <mergeCell ref="R156:R158"/>
    <mergeCell ref="R153:R154"/>
    <mergeCell ref="U153:U154"/>
    <mergeCell ref="V153:V154"/>
    <mergeCell ref="W153:W154"/>
    <mergeCell ref="X153:X154"/>
    <mergeCell ref="Y153:Y154"/>
    <mergeCell ref="BF150:BF154"/>
    <mergeCell ref="AM150:AM154"/>
    <mergeCell ref="AB150:AB154"/>
    <mergeCell ref="AC150:AC154"/>
    <mergeCell ref="AD150:AD154"/>
    <mergeCell ref="AE150:AE154"/>
    <mergeCell ref="AF150:AF154"/>
    <mergeCell ref="AG150:AG154"/>
    <mergeCell ref="T150:T154"/>
    <mergeCell ref="U150:U151"/>
    <mergeCell ref="V150:V151"/>
    <mergeCell ref="W150:W151"/>
    <mergeCell ref="X150:X151"/>
    <mergeCell ref="Y150:Y151"/>
    <mergeCell ref="AT156:AT158"/>
    <mergeCell ref="AU156:AU158"/>
    <mergeCell ref="AJ156:AJ158"/>
    <mergeCell ref="AK156:AK158"/>
    <mergeCell ref="AL156:AL158"/>
    <mergeCell ref="AM156:AM158"/>
    <mergeCell ref="AN156:AN158"/>
    <mergeCell ref="AO156:AO158"/>
    <mergeCell ref="AD156:AD158"/>
    <mergeCell ref="AE156:AE158"/>
    <mergeCell ref="AF156:AF158"/>
    <mergeCell ref="AG156:AG158"/>
    <mergeCell ref="AH156:AH158"/>
    <mergeCell ref="AI156:AI158"/>
    <mergeCell ref="S156:S158"/>
    <mergeCell ref="T156:T158"/>
    <mergeCell ref="Z156:Z158"/>
    <mergeCell ref="AA156:AA158"/>
    <mergeCell ref="AB156:AB158"/>
    <mergeCell ref="AC156:AC158"/>
    <mergeCell ref="P160:P162"/>
    <mergeCell ref="Q160:Q162"/>
    <mergeCell ref="R160:R161"/>
    <mergeCell ref="S160:S162"/>
    <mergeCell ref="T160:T162"/>
    <mergeCell ref="U160:U161"/>
    <mergeCell ref="BH156:BH158"/>
    <mergeCell ref="BI156:BI158"/>
    <mergeCell ref="BJ156:BJ158"/>
    <mergeCell ref="AB159:AX159"/>
    <mergeCell ref="J160:J161"/>
    <mergeCell ref="K160:K161"/>
    <mergeCell ref="L160:L161"/>
    <mergeCell ref="M160:M161"/>
    <mergeCell ref="N160:N161"/>
    <mergeCell ref="O160:O162"/>
    <mergeCell ref="BB156:BB158"/>
    <mergeCell ref="BC156:BC158"/>
    <mergeCell ref="BD156:BD158"/>
    <mergeCell ref="BE156:BE158"/>
    <mergeCell ref="BF156:BF158"/>
    <mergeCell ref="BG156:BG158"/>
    <mergeCell ref="AV156:AV158"/>
    <mergeCell ref="AW156:AW158"/>
    <mergeCell ref="AX156:AX158"/>
    <mergeCell ref="AY156:AY158"/>
    <mergeCell ref="AZ156:AZ158"/>
    <mergeCell ref="BA156:BA158"/>
    <mergeCell ref="AP156:AP158"/>
    <mergeCell ref="AQ156:AQ158"/>
    <mergeCell ref="AR156:AR158"/>
    <mergeCell ref="AS156:AS158"/>
    <mergeCell ref="AV160:AV162"/>
    <mergeCell ref="AW160:AW162"/>
    <mergeCell ref="AL160:AL162"/>
    <mergeCell ref="AM160:AM162"/>
    <mergeCell ref="AN160:AN162"/>
    <mergeCell ref="AO160:AO162"/>
    <mergeCell ref="AP160:AP162"/>
    <mergeCell ref="AQ160:AQ162"/>
    <mergeCell ref="AF160:AF162"/>
    <mergeCell ref="AG160:AG162"/>
    <mergeCell ref="AH160:AH162"/>
    <mergeCell ref="AI160:AI162"/>
    <mergeCell ref="AJ160:AJ162"/>
    <mergeCell ref="AK160:AK162"/>
    <mergeCell ref="Z160:Z162"/>
    <mergeCell ref="AA160:AA162"/>
    <mergeCell ref="AB160:AB162"/>
    <mergeCell ref="AC160:AC162"/>
    <mergeCell ref="AD160:AD162"/>
    <mergeCell ref="AE160:AE162"/>
    <mergeCell ref="T163:T169"/>
    <mergeCell ref="U163:U168"/>
    <mergeCell ref="AB163:AB169"/>
    <mergeCell ref="AC163:AC169"/>
    <mergeCell ref="AD163:AD169"/>
    <mergeCell ref="AE163:AE169"/>
    <mergeCell ref="BJ160:BJ162"/>
    <mergeCell ref="J163:J169"/>
    <mergeCell ref="K163:K169"/>
    <mergeCell ref="L163:L169"/>
    <mergeCell ref="M163:M169"/>
    <mergeCell ref="N163:N169"/>
    <mergeCell ref="P163:P169"/>
    <mergeCell ref="Q163:Q169"/>
    <mergeCell ref="R163:R169"/>
    <mergeCell ref="S163:S169"/>
    <mergeCell ref="BD160:BD162"/>
    <mergeCell ref="BE160:BE162"/>
    <mergeCell ref="BF160:BF162"/>
    <mergeCell ref="BG160:BG162"/>
    <mergeCell ref="BH160:BH162"/>
    <mergeCell ref="BI160:BI162"/>
    <mergeCell ref="AX160:AX162"/>
    <mergeCell ref="AY160:AY162"/>
    <mergeCell ref="AZ160:AZ162"/>
    <mergeCell ref="BA160:BA162"/>
    <mergeCell ref="BB160:BB162"/>
    <mergeCell ref="BC160:BC162"/>
    <mergeCell ref="AR160:AR162"/>
    <mergeCell ref="AS160:AS162"/>
    <mergeCell ref="AT160:AT162"/>
    <mergeCell ref="AU160:AU162"/>
    <mergeCell ref="AZ163:AZ169"/>
    <mergeCell ref="BA163:BA169"/>
    <mergeCell ref="BB163:BB169"/>
    <mergeCell ref="BC163:BC169"/>
    <mergeCell ref="AR163:AR169"/>
    <mergeCell ref="AS163:AS169"/>
    <mergeCell ref="AT163:AT169"/>
    <mergeCell ref="AU163:AU169"/>
    <mergeCell ref="AV163:AV169"/>
    <mergeCell ref="AW163:AW169"/>
    <mergeCell ref="AL163:AL169"/>
    <mergeCell ref="AM163:AM169"/>
    <mergeCell ref="AN163:AN169"/>
    <mergeCell ref="AO163:AO169"/>
    <mergeCell ref="AP163:AP169"/>
    <mergeCell ref="AQ163:AQ169"/>
    <mergeCell ref="AF163:AF169"/>
    <mergeCell ref="AG163:AG169"/>
    <mergeCell ref="AH163:AH169"/>
    <mergeCell ref="AI163:AI169"/>
    <mergeCell ref="AJ163:AJ169"/>
    <mergeCell ref="AK163:AK169"/>
    <mergeCell ref="AN171:AN175"/>
    <mergeCell ref="AO171:AO175"/>
    <mergeCell ref="AD171:AD175"/>
    <mergeCell ref="AE171:AE175"/>
    <mergeCell ref="AF171:AF175"/>
    <mergeCell ref="AG171:AG175"/>
    <mergeCell ref="AH171:AH175"/>
    <mergeCell ref="AI171:AI175"/>
    <mergeCell ref="S171:S175"/>
    <mergeCell ref="T171:T175"/>
    <mergeCell ref="Z171:Z175"/>
    <mergeCell ref="AA171:AA175"/>
    <mergeCell ref="AB171:AB175"/>
    <mergeCell ref="AC171:AC175"/>
    <mergeCell ref="BJ163:BJ169"/>
    <mergeCell ref="J171:J174"/>
    <mergeCell ref="K171:K174"/>
    <mergeCell ref="L171:L174"/>
    <mergeCell ref="M171:M174"/>
    <mergeCell ref="N171:N174"/>
    <mergeCell ref="O171:O175"/>
    <mergeCell ref="P171:P175"/>
    <mergeCell ref="Q171:Q175"/>
    <mergeCell ref="R171:R174"/>
    <mergeCell ref="BD163:BD169"/>
    <mergeCell ref="BE163:BE169"/>
    <mergeCell ref="BF163:BF169"/>
    <mergeCell ref="BG163:BG169"/>
    <mergeCell ref="BH163:BH169"/>
    <mergeCell ref="BI163:BI169"/>
    <mergeCell ref="AX163:AX169"/>
    <mergeCell ref="AY163:AY169"/>
    <mergeCell ref="BH171:BH175"/>
    <mergeCell ref="BI171:BI175"/>
    <mergeCell ref="BJ171:BJ175"/>
    <mergeCell ref="U172:U173"/>
    <mergeCell ref="J177:J178"/>
    <mergeCell ref="K177:K178"/>
    <mergeCell ref="L177:L178"/>
    <mergeCell ref="M177:M178"/>
    <mergeCell ref="N177:N178"/>
    <mergeCell ref="O177:O179"/>
    <mergeCell ref="BB171:BB175"/>
    <mergeCell ref="BC171:BC175"/>
    <mergeCell ref="BD171:BD175"/>
    <mergeCell ref="BE171:BE175"/>
    <mergeCell ref="BF171:BF175"/>
    <mergeCell ref="BG171:BG175"/>
    <mergeCell ref="AV171:AV175"/>
    <mergeCell ref="AW171:AW175"/>
    <mergeCell ref="AX171:AX175"/>
    <mergeCell ref="AY171:AY175"/>
    <mergeCell ref="AZ171:AZ175"/>
    <mergeCell ref="BA171:BA175"/>
    <mergeCell ref="AP171:AP175"/>
    <mergeCell ref="AQ171:AQ175"/>
    <mergeCell ref="AR171:AR175"/>
    <mergeCell ref="AS171:AS175"/>
    <mergeCell ref="AT171:AT175"/>
    <mergeCell ref="AU171:AU175"/>
    <mergeCell ref="AJ171:AJ175"/>
    <mergeCell ref="AK171:AK175"/>
    <mergeCell ref="AL171:AL175"/>
    <mergeCell ref="AM171:AM175"/>
    <mergeCell ref="AF177:AF179"/>
    <mergeCell ref="AG177:AG179"/>
    <mergeCell ref="AH177:AH179"/>
    <mergeCell ref="AI177:AI179"/>
    <mergeCell ref="AJ177:AJ179"/>
    <mergeCell ref="AK177:AK179"/>
    <mergeCell ref="Z177:Z179"/>
    <mergeCell ref="AA177:AA179"/>
    <mergeCell ref="AB177:AB179"/>
    <mergeCell ref="AC177:AC179"/>
    <mergeCell ref="AD177:AD179"/>
    <mergeCell ref="AE177:AE179"/>
    <mergeCell ref="P177:P179"/>
    <mergeCell ref="Q177:Q179"/>
    <mergeCell ref="R177:R179"/>
    <mergeCell ref="S177:S179"/>
    <mergeCell ref="T177:T179"/>
    <mergeCell ref="U177:U178"/>
    <mergeCell ref="AY177:AY179"/>
    <mergeCell ref="AZ177:AZ179"/>
    <mergeCell ref="BA177:BA179"/>
    <mergeCell ref="BB177:BB179"/>
    <mergeCell ref="BC177:BC179"/>
    <mergeCell ref="AR177:AR179"/>
    <mergeCell ref="AS177:AS179"/>
    <mergeCell ref="AT177:AT179"/>
    <mergeCell ref="AU177:AU179"/>
    <mergeCell ref="AV177:AV179"/>
    <mergeCell ref="AW177:AW179"/>
    <mergeCell ref="AL177:AL179"/>
    <mergeCell ref="AM177:AM179"/>
    <mergeCell ref="AN177:AN179"/>
    <mergeCell ref="AO177:AO179"/>
    <mergeCell ref="AP177:AP179"/>
    <mergeCell ref="AQ177:AQ179"/>
    <mergeCell ref="AS182:AS188"/>
    <mergeCell ref="AT182:AT188"/>
    <mergeCell ref="AU182:AU188"/>
    <mergeCell ref="AJ182:AJ188"/>
    <mergeCell ref="AK182:AK188"/>
    <mergeCell ref="AL182:AL188"/>
    <mergeCell ref="AM182:AM188"/>
    <mergeCell ref="AN182:AN188"/>
    <mergeCell ref="AO182:AO188"/>
    <mergeCell ref="AD182:AD188"/>
    <mergeCell ref="AE182:AE188"/>
    <mergeCell ref="AF182:AF188"/>
    <mergeCell ref="AG182:AG188"/>
    <mergeCell ref="AH182:AH188"/>
    <mergeCell ref="AI182:AI188"/>
    <mergeCell ref="BJ177:BJ179"/>
    <mergeCell ref="O182:O188"/>
    <mergeCell ref="P182:P188"/>
    <mergeCell ref="Q182:Q188"/>
    <mergeCell ref="S182:S188"/>
    <mergeCell ref="T182:T188"/>
    <mergeCell ref="Z182:Z188"/>
    <mergeCell ref="AA182:AA188"/>
    <mergeCell ref="AB182:AB188"/>
    <mergeCell ref="AC182:AC188"/>
    <mergeCell ref="BD177:BD179"/>
    <mergeCell ref="BE177:BE179"/>
    <mergeCell ref="BF177:BF179"/>
    <mergeCell ref="BG177:BG179"/>
    <mergeCell ref="BH177:BH179"/>
    <mergeCell ref="BI177:BI179"/>
    <mergeCell ref="AX177:AX179"/>
    <mergeCell ref="C194:J194"/>
    <mergeCell ref="U186:U187"/>
    <mergeCell ref="A189:R189"/>
    <mergeCell ref="W192:W193"/>
    <mergeCell ref="X192:X193"/>
    <mergeCell ref="Y192:Y193"/>
    <mergeCell ref="C193:J193"/>
    <mergeCell ref="BH182:BH188"/>
    <mergeCell ref="BI182:BI188"/>
    <mergeCell ref="BJ182:BJ188"/>
    <mergeCell ref="J183:J187"/>
    <mergeCell ref="K183:K187"/>
    <mergeCell ref="L183:L187"/>
    <mergeCell ref="M183:M187"/>
    <mergeCell ref="N183:N187"/>
    <mergeCell ref="R183:R187"/>
    <mergeCell ref="U183:U185"/>
    <mergeCell ref="BB182:BB188"/>
    <mergeCell ref="BC182:BC188"/>
    <mergeCell ref="BD182:BD188"/>
    <mergeCell ref="BE182:BE188"/>
    <mergeCell ref="BF182:BF188"/>
    <mergeCell ref="BG182:BG188"/>
    <mergeCell ref="AV182:AV188"/>
    <mergeCell ref="AW182:AW188"/>
    <mergeCell ref="AX182:AX188"/>
    <mergeCell ref="AY182:AY188"/>
    <mergeCell ref="AZ182:AZ188"/>
    <mergeCell ref="BA182:BA188"/>
    <mergeCell ref="AP182:AP188"/>
    <mergeCell ref="AQ182:AQ188"/>
    <mergeCell ref="AR182:AR188"/>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BJ55"/>
  <sheetViews>
    <sheetView showGridLines="0" zoomScale="60" zoomScaleNormal="60" zoomScalePageLayoutView="59" workbookViewId="0">
      <selection sqref="A1:BE4"/>
    </sheetView>
  </sheetViews>
  <sheetFormatPr baseColWidth="10" defaultColWidth="11.42578125" defaultRowHeight="14.25" x14ac:dyDescent="0.2"/>
  <cols>
    <col min="1" max="1" width="10.5703125" style="224" customWidth="1"/>
    <col min="2" max="2" width="16.28515625" style="224" customWidth="1"/>
    <col min="3" max="3" width="11.42578125" style="224" customWidth="1"/>
    <col min="4" max="4" width="14.5703125" style="224" customWidth="1"/>
    <col min="5" max="5" width="10.42578125" style="224" customWidth="1"/>
    <col min="6" max="6" width="18.7109375" style="224" customWidth="1"/>
    <col min="7" max="7" width="11.5703125" style="224" customWidth="1"/>
    <col min="8" max="8" width="43.5703125" style="226" customWidth="1"/>
    <col min="9" max="9" width="14.5703125" style="224" customWidth="1"/>
    <col min="10" max="11" width="11.28515625" style="224" customWidth="1"/>
    <col min="12" max="12" width="20.140625" style="224" customWidth="1"/>
    <col min="13" max="13" width="11" style="224" customWidth="1"/>
    <col min="14" max="14" width="26.7109375" style="226" customWidth="1"/>
    <col min="15" max="15" width="12" style="224" customWidth="1"/>
    <col min="16" max="16" width="18.7109375" style="298" customWidth="1"/>
    <col min="17" max="17" width="31.85546875" style="226" customWidth="1"/>
    <col min="18" max="18" width="30.5703125" style="226" customWidth="1"/>
    <col min="19" max="19" width="27" style="2034" customWidth="1"/>
    <col min="20" max="20" width="22.5703125" style="225" customWidth="1"/>
    <col min="21" max="21" width="23.7109375" style="224" customWidth="1"/>
    <col min="22" max="22" width="22.85546875" style="225" customWidth="1"/>
    <col min="23" max="23" width="14.85546875" style="224" customWidth="1"/>
    <col min="24" max="24" width="18" style="226" customWidth="1"/>
    <col min="25" max="26" width="9.28515625" style="224" customWidth="1"/>
    <col min="27" max="28" width="11.42578125" style="224" customWidth="1"/>
    <col min="29" max="30" width="9.28515625" style="224" customWidth="1"/>
    <col min="31" max="32" width="9.7109375" style="224" customWidth="1"/>
    <col min="33" max="48" width="9.140625" style="224" customWidth="1"/>
    <col min="49" max="54" width="23.85546875" style="224" customWidth="1"/>
    <col min="55" max="59" width="19.85546875" style="224" customWidth="1"/>
    <col min="60" max="16384" width="11.42578125" style="224"/>
  </cols>
  <sheetData>
    <row r="1" spans="1:59" ht="15" customHeight="1" x14ac:dyDescent="0.25">
      <c r="A1" s="4364" t="s">
        <v>1444</v>
      </c>
      <c r="B1" s="4364"/>
      <c r="C1" s="4364"/>
      <c r="D1" s="4364"/>
      <c r="E1" s="4364"/>
      <c r="F1" s="4364"/>
      <c r="G1" s="4364"/>
      <c r="H1" s="4364"/>
      <c r="I1" s="4364"/>
      <c r="J1" s="4364"/>
      <c r="K1" s="4364"/>
      <c r="L1" s="4364"/>
      <c r="M1" s="4364"/>
      <c r="N1" s="4364"/>
      <c r="O1" s="4364"/>
      <c r="P1" s="4364"/>
      <c r="Q1" s="4364"/>
      <c r="R1" s="4364"/>
      <c r="S1" s="4364"/>
      <c r="T1" s="4364"/>
      <c r="U1" s="4364"/>
      <c r="V1" s="4364"/>
      <c r="W1" s="4364"/>
      <c r="X1" s="4364"/>
      <c r="Y1" s="4364"/>
      <c r="Z1" s="4364"/>
      <c r="AA1" s="4364"/>
      <c r="AB1" s="4364"/>
      <c r="AC1" s="4364"/>
      <c r="AD1" s="4364"/>
      <c r="AE1" s="4364"/>
      <c r="AF1" s="4364"/>
      <c r="AG1" s="4364"/>
      <c r="AH1" s="4364"/>
      <c r="AI1" s="4364"/>
      <c r="AJ1" s="4364"/>
      <c r="AK1" s="4364"/>
      <c r="AL1" s="4364"/>
      <c r="AM1" s="4364"/>
      <c r="AN1" s="4364"/>
      <c r="AO1" s="4364"/>
      <c r="AP1" s="4364"/>
      <c r="AQ1" s="4364"/>
      <c r="AR1" s="4364"/>
      <c r="AS1" s="4364"/>
      <c r="AT1" s="4364"/>
      <c r="AU1" s="4364"/>
      <c r="AV1" s="4364"/>
      <c r="AW1" s="4364"/>
      <c r="AX1" s="4364"/>
      <c r="AY1" s="4364"/>
      <c r="AZ1" s="4364"/>
      <c r="BA1" s="4364"/>
      <c r="BB1" s="4364"/>
      <c r="BC1" s="4364"/>
      <c r="BD1" s="4364"/>
      <c r="BE1" s="4365"/>
      <c r="BF1" s="228" t="s">
        <v>0</v>
      </c>
      <c r="BG1" s="229" t="s">
        <v>1</v>
      </c>
    </row>
    <row r="2" spans="1:59" ht="15" x14ac:dyDescent="0.25">
      <c r="A2" s="4364"/>
      <c r="B2" s="4364"/>
      <c r="C2" s="4364"/>
      <c r="D2" s="4364"/>
      <c r="E2" s="4364"/>
      <c r="F2" s="4364"/>
      <c r="G2" s="4364"/>
      <c r="H2" s="4364"/>
      <c r="I2" s="4364"/>
      <c r="J2" s="4364"/>
      <c r="K2" s="4364"/>
      <c r="L2" s="4364"/>
      <c r="M2" s="4364"/>
      <c r="N2" s="4364"/>
      <c r="O2" s="4364"/>
      <c r="P2" s="4364"/>
      <c r="Q2" s="4364"/>
      <c r="R2" s="4364"/>
      <c r="S2" s="4364"/>
      <c r="T2" s="4364"/>
      <c r="U2" s="4364"/>
      <c r="V2" s="4364"/>
      <c r="W2" s="4364"/>
      <c r="X2" s="4364"/>
      <c r="Y2" s="4364"/>
      <c r="Z2" s="4364"/>
      <c r="AA2" s="4364"/>
      <c r="AB2" s="4364"/>
      <c r="AC2" s="4364"/>
      <c r="AD2" s="4364"/>
      <c r="AE2" s="4364"/>
      <c r="AF2" s="4364"/>
      <c r="AG2" s="4364"/>
      <c r="AH2" s="4364"/>
      <c r="AI2" s="4364"/>
      <c r="AJ2" s="4364"/>
      <c r="AK2" s="4364"/>
      <c r="AL2" s="4364"/>
      <c r="AM2" s="4364"/>
      <c r="AN2" s="4364"/>
      <c r="AO2" s="4364"/>
      <c r="AP2" s="4364"/>
      <c r="AQ2" s="4364"/>
      <c r="AR2" s="4364"/>
      <c r="AS2" s="4364"/>
      <c r="AT2" s="4364"/>
      <c r="AU2" s="4364"/>
      <c r="AV2" s="4364"/>
      <c r="AW2" s="4364"/>
      <c r="AX2" s="4364"/>
      <c r="AY2" s="4364"/>
      <c r="AZ2" s="4364"/>
      <c r="BA2" s="4364"/>
      <c r="BB2" s="4364"/>
      <c r="BC2" s="4364"/>
      <c r="BD2" s="4364"/>
      <c r="BE2" s="4365"/>
      <c r="BF2" s="230" t="s">
        <v>2</v>
      </c>
      <c r="BG2" s="231">
        <v>5</v>
      </c>
    </row>
    <row r="3" spans="1:59" ht="15" x14ac:dyDescent="0.25">
      <c r="A3" s="4364"/>
      <c r="B3" s="4364"/>
      <c r="C3" s="4364"/>
      <c r="D3" s="4364"/>
      <c r="E3" s="4364"/>
      <c r="F3" s="4364"/>
      <c r="G3" s="4364"/>
      <c r="H3" s="4364"/>
      <c r="I3" s="4364"/>
      <c r="J3" s="4364"/>
      <c r="K3" s="4364"/>
      <c r="L3" s="4364"/>
      <c r="M3" s="4364"/>
      <c r="N3" s="4364"/>
      <c r="O3" s="4364"/>
      <c r="P3" s="4364"/>
      <c r="Q3" s="4364"/>
      <c r="R3" s="4364"/>
      <c r="S3" s="4364"/>
      <c r="T3" s="4364"/>
      <c r="U3" s="4364"/>
      <c r="V3" s="4364"/>
      <c r="W3" s="4364"/>
      <c r="X3" s="4364"/>
      <c r="Y3" s="4364"/>
      <c r="Z3" s="4364"/>
      <c r="AA3" s="4364"/>
      <c r="AB3" s="4364"/>
      <c r="AC3" s="4364"/>
      <c r="AD3" s="4364"/>
      <c r="AE3" s="4364"/>
      <c r="AF3" s="4364"/>
      <c r="AG3" s="4364"/>
      <c r="AH3" s="4364"/>
      <c r="AI3" s="4364"/>
      <c r="AJ3" s="4364"/>
      <c r="AK3" s="4364"/>
      <c r="AL3" s="4364"/>
      <c r="AM3" s="4364"/>
      <c r="AN3" s="4364"/>
      <c r="AO3" s="4364"/>
      <c r="AP3" s="4364"/>
      <c r="AQ3" s="4364"/>
      <c r="AR3" s="4364"/>
      <c r="AS3" s="4364"/>
      <c r="AT3" s="4364"/>
      <c r="AU3" s="4364"/>
      <c r="AV3" s="4364"/>
      <c r="AW3" s="4364"/>
      <c r="AX3" s="4364"/>
      <c r="AY3" s="4364"/>
      <c r="AZ3" s="4364"/>
      <c r="BA3" s="4364"/>
      <c r="BB3" s="4364"/>
      <c r="BC3" s="4364"/>
      <c r="BD3" s="4364"/>
      <c r="BE3" s="4365"/>
      <c r="BF3" s="232" t="s">
        <v>3</v>
      </c>
      <c r="BG3" s="233" t="s">
        <v>1445</v>
      </c>
    </row>
    <row r="4" spans="1:59" ht="19.5" customHeight="1" x14ac:dyDescent="0.2">
      <c r="A4" s="4366"/>
      <c r="B4" s="4366"/>
      <c r="C4" s="4366"/>
      <c r="D4" s="4366"/>
      <c r="E4" s="4366"/>
      <c r="F4" s="4366"/>
      <c r="G4" s="4366"/>
      <c r="H4" s="4366"/>
      <c r="I4" s="4366"/>
      <c r="J4" s="4366"/>
      <c r="K4" s="4366"/>
      <c r="L4" s="4366"/>
      <c r="M4" s="4366"/>
      <c r="N4" s="4366"/>
      <c r="O4" s="4366"/>
      <c r="P4" s="4366"/>
      <c r="Q4" s="4366"/>
      <c r="R4" s="4366"/>
      <c r="S4" s="4366"/>
      <c r="T4" s="4366"/>
      <c r="U4" s="4366"/>
      <c r="V4" s="4366"/>
      <c r="W4" s="4366"/>
      <c r="X4" s="4366"/>
      <c r="Y4" s="4366"/>
      <c r="Z4" s="4366"/>
      <c r="AA4" s="4366"/>
      <c r="AB4" s="4366"/>
      <c r="AC4" s="4366"/>
      <c r="AD4" s="4366"/>
      <c r="AE4" s="4366"/>
      <c r="AF4" s="4366"/>
      <c r="AG4" s="4366"/>
      <c r="AH4" s="4366"/>
      <c r="AI4" s="4366"/>
      <c r="AJ4" s="4366"/>
      <c r="AK4" s="4366"/>
      <c r="AL4" s="4366"/>
      <c r="AM4" s="4366"/>
      <c r="AN4" s="4366"/>
      <c r="AO4" s="4366"/>
      <c r="AP4" s="4366"/>
      <c r="AQ4" s="4366"/>
      <c r="AR4" s="4366"/>
      <c r="AS4" s="4366"/>
      <c r="AT4" s="4366"/>
      <c r="AU4" s="4366"/>
      <c r="AV4" s="4366"/>
      <c r="AW4" s="4366"/>
      <c r="AX4" s="4366"/>
      <c r="AY4" s="4366"/>
      <c r="AZ4" s="4366"/>
      <c r="BA4" s="4366"/>
      <c r="BB4" s="4366"/>
      <c r="BC4" s="4366"/>
      <c r="BD4" s="4366"/>
      <c r="BE4" s="4367"/>
      <c r="BF4" s="234" t="s">
        <v>5</v>
      </c>
      <c r="BG4" s="235" t="s">
        <v>6</v>
      </c>
    </row>
    <row r="5" spans="1:59" ht="39.75" customHeight="1" x14ac:dyDescent="0.2">
      <c r="A5" s="4368" t="s">
        <v>7</v>
      </c>
      <c r="B5" s="4368"/>
      <c r="C5" s="4368"/>
      <c r="D5" s="4368"/>
      <c r="E5" s="4368"/>
      <c r="F5" s="4368"/>
      <c r="G5" s="4368"/>
      <c r="H5" s="4368"/>
      <c r="I5" s="4368"/>
      <c r="J5" s="4368"/>
      <c r="K5" s="4369"/>
      <c r="L5" s="4372" t="s">
        <v>8</v>
      </c>
      <c r="M5" s="4372"/>
      <c r="N5" s="4372"/>
      <c r="O5" s="4372"/>
      <c r="P5" s="4372"/>
      <c r="Q5" s="4372"/>
      <c r="R5" s="4372"/>
      <c r="S5" s="4372"/>
      <c r="T5" s="4372"/>
      <c r="U5" s="4372"/>
      <c r="V5" s="4372"/>
      <c r="W5" s="4372"/>
      <c r="X5" s="4372"/>
      <c r="Y5" s="4372"/>
      <c r="Z5" s="4372"/>
      <c r="AA5" s="4372"/>
      <c r="AB5" s="4372"/>
      <c r="AC5" s="4372"/>
      <c r="AD5" s="4372"/>
      <c r="AE5" s="4372"/>
      <c r="AF5" s="4372"/>
      <c r="AG5" s="4372"/>
      <c r="AH5" s="4372"/>
      <c r="AI5" s="4372"/>
      <c r="AJ5" s="4372"/>
      <c r="AK5" s="4372"/>
      <c r="AL5" s="4372"/>
      <c r="AM5" s="4372"/>
      <c r="AN5" s="4372"/>
      <c r="AO5" s="4372"/>
      <c r="AP5" s="4372"/>
      <c r="AQ5" s="4372"/>
      <c r="AR5" s="4372"/>
      <c r="AS5" s="4372"/>
      <c r="AT5" s="4372"/>
      <c r="AU5" s="4372"/>
      <c r="AV5" s="4372"/>
      <c r="AW5" s="4372"/>
      <c r="AX5" s="4372"/>
      <c r="AY5" s="4372"/>
      <c r="AZ5" s="4372"/>
      <c r="BA5" s="4372"/>
      <c r="BB5" s="4372"/>
      <c r="BC5" s="4372"/>
      <c r="BD5" s="4372"/>
      <c r="BE5" s="4372"/>
      <c r="BF5" s="4372"/>
      <c r="BG5" s="4372"/>
    </row>
    <row r="6" spans="1:59" ht="21.75" customHeight="1" thickBot="1" x14ac:dyDescent="0.25">
      <c r="A6" s="4368"/>
      <c r="B6" s="4368"/>
      <c r="C6" s="4368"/>
      <c r="D6" s="4368"/>
      <c r="E6" s="4368"/>
      <c r="F6" s="4368"/>
      <c r="G6" s="4368"/>
      <c r="H6" s="4368"/>
      <c r="I6" s="4368"/>
      <c r="J6" s="4368"/>
      <c r="K6" s="4369"/>
      <c r="L6" s="4373"/>
      <c r="M6" s="4373"/>
      <c r="N6" s="4373"/>
      <c r="O6" s="4373"/>
      <c r="P6" s="4373"/>
      <c r="Q6" s="4373"/>
      <c r="R6" s="4373"/>
      <c r="S6" s="4373"/>
      <c r="T6" s="4373"/>
      <c r="U6" s="4373"/>
      <c r="V6" s="4373"/>
      <c r="W6" s="4373"/>
      <c r="X6" s="4373"/>
      <c r="Y6" s="4374" t="s">
        <v>9</v>
      </c>
      <c r="Z6" s="4375"/>
      <c r="AA6" s="4375"/>
      <c r="AB6" s="4375"/>
      <c r="AC6" s="4375"/>
      <c r="AD6" s="4375"/>
      <c r="AE6" s="4375"/>
      <c r="AF6" s="4375"/>
      <c r="AG6" s="4375"/>
      <c r="AH6" s="4375"/>
      <c r="AI6" s="4375"/>
      <c r="AJ6" s="4375"/>
      <c r="AK6" s="4375"/>
      <c r="AL6" s="4375"/>
      <c r="AM6" s="4375"/>
      <c r="AN6" s="4375"/>
      <c r="AO6" s="4375"/>
      <c r="AP6" s="4375"/>
      <c r="AQ6" s="4375"/>
      <c r="AR6" s="4375"/>
      <c r="AS6" s="4375"/>
      <c r="AT6" s="4375"/>
      <c r="AU6" s="4375"/>
      <c r="AV6" s="4376"/>
      <c r="AW6" s="4377"/>
      <c r="AX6" s="4378"/>
      <c r="AY6" s="4378"/>
      <c r="AZ6" s="4378"/>
      <c r="BA6" s="4378"/>
      <c r="BB6" s="4378"/>
      <c r="BC6" s="4378"/>
      <c r="BD6" s="4378"/>
      <c r="BE6" s="4378"/>
      <c r="BF6" s="4378"/>
      <c r="BG6" s="4379"/>
    </row>
    <row r="7" spans="1:59" ht="21" customHeight="1" x14ac:dyDescent="0.2">
      <c r="A7" s="4370"/>
      <c r="B7" s="4370"/>
      <c r="C7" s="4370"/>
      <c r="D7" s="4370"/>
      <c r="E7" s="4370"/>
      <c r="F7" s="4370"/>
      <c r="G7" s="4370"/>
      <c r="H7" s="4370"/>
      <c r="I7" s="4370"/>
      <c r="J7" s="4370"/>
      <c r="K7" s="4371"/>
      <c r="L7" s="4380"/>
      <c r="M7" s="4380"/>
      <c r="N7" s="4380"/>
      <c r="O7" s="4380"/>
      <c r="P7" s="4380"/>
      <c r="Q7" s="4380"/>
      <c r="R7" s="4380"/>
      <c r="S7" s="4380"/>
      <c r="T7" s="4380"/>
      <c r="U7" s="4380"/>
      <c r="V7" s="4380"/>
      <c r="W7" s="4380"/>
      <c r="X7" s="4380"/>
      <c r="Y7" s="4381" t="s">
        <v>1446</v>
      </c>
      <c r="Z7" s="4382"/>
      <c r="AA7" s="4382"/>
      <c r="AB7" s="4382"/>
      <c r="AC7" s="4382"/>
      <c r="AD7" s="4382"/>
      <c r="AE7" s="4382"/>
      <c r="AF7" s="4382"/>
      <c r="AG7" s="4382"/>
      <c r="AH7" s="4382"/>
      <c r="AI7" s="4383"/>
      <c r="AJ7" s="634"/>
      <c r="AK7" s="4381" t="s">
        <v>26</v>
      </c>
      <c r="AL7" s="4382"/>
      <c r="AM7" s="4382"/>
      <c r="AN7" s="4382"/>
      <c r="AO7" s="4382"/>
      <c r="AP7" s="4382"/>
      <c r="AQ7" s="4382"/>
      <c r="AR7" s="4382"/>
      <c r="AS7" s="4382"/>
      <c r="AT7" s="4382"/>
      <c r="AU7" s="4382"/>
      <c r="AV7" s="4383"/>
      <c r="AW7" s="4384" t="s">
        <v>27</v>
      </c>
      <c r="AX7" s="4385"/>
      <c r="AY7" s="4385"/>
      <c r="AZ7" s="4385"/>
      <c r="BA7" s="4385"/>
      <c r="BB7" s="4386"/>
      <c r="BC7" s="4380"/>
      <c r="BD7" s="4380"/>
      <c r="BE7" s="4380"/>
      <c r="BF7" s="4380"/>
      <c r="BG7" s="4380"/>
    </row>
    <row r="8" spans="1:59" s="237" customFormat="1" ht="36.75" customHeight="1" x14ac:dyDescent="0.25">
      <c r="A8" s="4391" t="s">
        <v>10</v>
      </c>
      <c r="B8" s="4391" t="s">
        <v>1447</v>
      </c>
      <c r="C8" s="4391" t="s">
        <v>10</v>
      </c>
      <c r="D8" s="4391" t="s">
        <v>1448</v>
      </c>
      <c r="E8" s="4391" t="s">
        <v>10</v>
      </c>
      <c r="F8" s="4391" t="s">
        <v>1449</v>
      </c>
      <c r="G8" s="4391" t="s">
        <v>10</v>
      </c>
      <c r="H8" s="4391" t="s">
        <v>1450</v>
      </c>
      <c r="I8" s="4393" t="s">
        <v>15</v>
      </c>
      <c r="J8" s="4397" t="s">
        <v>1451</v>
      </c>
      <c r="K8" s="4398"/>
      <c r="L8" s="4393" t="s">
        <v>17</v>
      </c>
      <c r="M8" s="4393" t="s">
        <v>10</v>
      </c>
      <c r="N8" s="4393" t="s">
        <v>1452</v>
      </c>
      <c r="O8" s="4393" t="s">
        <v>19</v>
      </c>
      <c r="P8" s="4393" t="s">
        <v>1453</v>
      </c>
      <c r="Q8" s="4393" t="s">
        <v>21</v>
      </c>
      <c r="R8" s="4393" t="s">
        <v>22</v>
      </c>
      <c r="S8" s="4393" t="s">
        <v>23</v>
      </c>
      <c r="T8" s="4401" t="s">
        <v>20</v>
      </c>
      <c r="U8" s="4402"/>
      <c r="V8" s="4403"/>
      <c r="W8" s="4393" t="s">
        <v>10</v>
      </c>
      <c r="X8" s="4393" t="s">
        <v>24</v>
      </c>
      <c r="Y8" s="4381" t="s">
        <v>295</v>
      </c>
      <c r="Z8" s="4383"/>
      <c r="AA8" s="4389" t="s">
        <v>32</v>
      </c>
      <c r="AB8" s="4390"/>
      <c r="AC8" s="4399" t="s">
        <v>33</v>
      </c>
      <c r="AD8" s="4400"/>
      <c r="AE8" s="4399" t="s">
        <v>34</v>
      </c>
      <c r="AF8" s="4400"/>
      <c r="AG8" s="4381" t="s">
        <v>35</v>
      </c>
      <c r="AH8" s="4383"/>
      <c r="AI8" s="4381" t="s">
        <v>36</v>
      </c>
      <c r="AJ8" s="4383"/>
      <c r="AK8" s="4395" t="s">
        <v>37</v>
      </c>
      <c r="AL8" s="4396"/>
      <c r="AM8" s="4395" t="s">
        <v>38</v>
      </c>
      <c r="AN8" s="4396"/>
      <c r="AO8" s="4395" t="s">
        <v>39</v>
      </c>
      <c r="AP8" s="4396"/>
      <c r="AQ8" s="4395" t="s">
        <v>40</v>
      </c>
      <c r="AR8" s="4396"/>
      <c r="AS8" s="4395" t="s">
        <v>41</v>
      </c>
      <c r="AT8" s="4396"/>
      <c r="AU8" s="4395" t="s">
        <v>42</v>
      </c>
      <c r="AV8" s="4396"/>
      <c r="AW8" s="4418" t="s">
        <v>43</v>
      </c>
      <c r="AX8" s="4419" t="s">
        <v>44</v>
      </c>
      <c r="AY8" s="4418" t="s">
        <v>45</v>
      </c>
      <c r="AZ8" s="4420" t="s">
        <v>46</v>
      </c>
      <c r="BA8" s="4418" t="s">
        <v>47</v>
      </c>
      <c r="BB8" s="4422" t="s">
        <v>48</v>
      </c>
      <c r="BC8" s="4387" t="s">
        <v>28</v>
      </c>
      <c r="BD8" s="4388"/>
      <c r="BE8" s="4387" t="s">
        <v>29</v>
      </c>
      <c r="BF8" s="4388"/>
      <c r="BG8" s="236" t="s">
        <v>30</v>
      </c>
    </row>
    <row r="9" spans="1:59" s="237" customFormat="1" ht="30" customHeight="1" x14ac:dyDescent="0.25">
      <c r="A9" s="4392"/>
      <c r="B9" s="4392"/>
      <c r="C9" s="4392"/>
      <c r="D9" s="4392"/>
      <c r="E9" s="4392"/>
      <c r="F9" s="4392"/>
      <c r="G9" s="4392"/>
      <c r="H9" s="4392"/>
      <c r="I9" s="4394"/>
      <c r="J9" s="238" t="s">
        <v>781</v>
      </c>
      <c r="K9" s="238" t="s">
        <v>50</v>
      </c>
      <c r="L9" s="4394"/>
      <c r="M9" s="4394"/>
      <c r="N9" s="4394"/>
      <c r="O9" s="4394"/>
      <c r="P9" s="4394"/>
      <c r="Q9" s="4394"/>
      <c r="R9" s="4394"/>
      <c r="S9" s="4394"/>
      <c r="T9" s="239" t="s">
        <v>51</v>
      </c>
      <c r="U9" s="240" t="s">
        <v>52</v>
      </c>
      <c r="V9" s="239" t="s">
        <v>53</v>
      </c>
      <c r="W9" s="4394"/>
      <c r="X9" s="4394"/>
      <c r="Y9" s="241" t="s">
        <v>49</v>
      </c>
      <c r="Z9" s="241" t="s">
        <v>50</v>
      </c>
      <c r="AA9" s="241" t="s">
        <v>49</v>
      </c>
      <c r="AB9" s="241" t="s">
        <v>50</v>
      </c>
      <c r="AC9" s="241" t="s">
        <v>49</v>
      </c>
      <c r="AD9" s="241" t="s">
        <v>50</v>
      </c>
      <c r="AE9" s="241" t="s">
        <v>49</v>
      </c>
      <c r="AF9" s="241" t="s">
        <v>50</v>
      </c>
      <c r="AG9" s="241" t="s">
        <v>49</v>
      </c>
      <c r="AH9" s="241" t="s">
        <v>50</v>
      </c>
      <c r="AI9" s="241" t="s">
        <v>49</v>
      </c>
      <c r="AJ9" s="241" t="s">
        <v>50</v>
      </c>
      <c r="AK9" s="241" t="s">
        <v>49</v>
      </c>
      <c r="AL9" s="241" t="s">
        <v>50</v>
      </c>
      <c r="AM9" s="241" t="s">
        <v>49</v>
      </c>
      <c r="AN9" s="241" t="s">
        <v>50</v>
      </c>
      <c r="AO9" s="241" t="s">
        <v>49</v>
      </c>
      <c r="AP9" s="241" t="s">
        <v>50</v>
      </c>
      <c r="AQ9" s="241" t="s">
        <v>49</v>
      </c>
      <c r="AR9" s="241" t="s">
        <v>50</v>
      </c>
      <c r="AS9" s="241" t="s">
        <v>49</v>
      </c>
      <c r="AT9" s="241" t="s">
        <v>50</v>
      </c>
      <c r="AU9" s="241" t="s">
        <v>49</v>
      </c>
      <c r="AV9" s="241" t="s">
        <v>50</v>
      </c>
      <c r="AW9" s="4418"/>
      <c r="AX9" s="4419"/>
      <c r="AY9" s="4418"/>
      <c r="AZ9" s="4421"/>
      <c r="BA9" s="4418"/>
      <c r="BB9" s="4423"/>
      <c r="BC9" s="223" t="s">
        <v>49</v>
      </c>
      <c r="BD9" s="223" t="s">
        <v>50</v>
      </c>
      <c r="BE9" s="223" t="s">
        <v>49</v>
      </c>
      <c r="BF9" s="223" t="s">
        <v>50</v>
      </c>
      <c r="BG9" s="236"/>
    </row>
    <row r="10" spans="1:59" s="243" customFormat="1" ht="31.5" customHeight="1" x14ac:dyDescent="0.2">
      <c r="A10" s="242">
        <v>3</v>
      </c>
      <c r="B10" s="4410" t="s">
        <v>585</v>
      </c>
      <c r="C10" s="4410"/>
      <c r="D10" s="4410"/>
      <c r="E10" s="4410"/>
      <c r="F10" s="4410"/>
      <c r="G10" s="4410"/>
      <c r="H10" s="4410"/>
      <c r="I10" s="4410"/>
      <c r="J10" s="4410"/>
      <c r="K10" s="4410"/>
      <c r="L10" s="4410"/>
      <c r="M10" s="4410"/>
      <c r="N10" s="4410"/>
      <c r="O10" s="4410"/>
      <c r="P10" s="4410"/>
      <c r="Q10" s="4410"/>
      <c r="R10" s="4410"/>
      <c r="S10" s="4410"/>
      <c r="T10" s="4410"/>
      <c r="U10" s="4410"/>
      <c r="V10" s="4410"/>
      <c r="W10" s="4410"/>
      <c r="X10" s="4410"/>
      <c r="Y10" s="4410"/>
      <c r="Z10" s="4410"/>
      <c r="AA10" s="4410"/>
      <c r="AB10" s="4410"/>
      <c r="AC10" s="4410"/>
      <c r="AD10" s="4410"/>
      <c r="AE10" s="4410"/>
      <c r="AF10" s="4410"/>
      <c r="AG10" s="4410"/>
      <c r="AH10" s="4410"/>
      <c r="AI10" s="4410"/>
      <c r="AJ10" s="4410"/>
      <c r="AK10" s="4410"/>
      <c r="AL10" s="4410"/>
      <c r="AM10" s="4410"/>
      <c r="AN10" s="4410"/>
      <c r="AO10" s="4410"/>
      <c r="AP10" s="4410"/>
      <c r="AQ10" s="4410"/>
      <c r="AR10" s="4410"/>
      <c r="AS10" s="4410"/>
      <c r="AT10" s="4410"/>
      <c r="AU10" s="4410"/>
      <c r="AV10" s="4410"/>
      <c r="AW10" s="4410"/>
      <c r="AX10" s="4410"/>
      <c r="AY10" s="4410"/>
      <c r="AZ10" s="4410"/>
      <c r="BA10" s="4410"/>
      <c r="BB10" s="4410"/>
      <c r="BC10" s="4410"/>
      <c r="BD10" s="4410"/>
      <c r="BE10" s="4410"/>
      <c r="BF10" s="4410"/>
      <c r="BG10" s="4410"/>
    </row>
    <row r="11" spans="1:59" s="243" customFormat="1" ht="24.75" customHeight="1" x14ac:dyDescent="0.2">
      <c r="A11" s="4411"/>
      <c r="B11" s="4412"/>
      <c r="C11" s="244">
        <v>20</v>
      </c>
      <c r="D11" s="4415" t="s">
        <v>1454</v>
      </c>
      <c r="E11" s="4415"/>
      <c r="F11" s="4415"/>
      <c r="G11" s="4415"/>
      <c r="H11" s="4415"/>
      <c r="I11" s="4415"/>
      <c r="J11" s="4415"/>
      <c r="K11" s="4415"/>
      <c r="L11" s="4415"/>
      <c r="M11" s="4415"/>
      <c r="N11" s="4415"/>
      <c r="O11" s="4415"/>
      <c r="P11" s="4415"/>
      <c r="Q11" s="4415"/>
      <c r="R11" s="4415"/>
      <c r="S11" s="4415"/>
      <c r="T11" s="4415"/>
      <c r="U11" s="4415"/>
      <c r="V11" s="4415"/>
      <c r="W11" s="4415"/>
      <c r="X11" s="4415"/>
      <c r="Y11" s="4415"/>
      <c r="Z11" s="4415"/>
      <c r="AA11" s="4415"/>
      <c r="AB11" s="4415"/>
      <c r="AC11" s="4415"/>
      <c r="AD11" s="4415"/>
      <c r="AE11" s="4415"/>
      <c r="AF11" s="4415"/>
      <c r="AG11" s="4415"/>
      <c r="AH11" s="4415"/>
      <c r="AI11" s="4415"/>
      <c r="AJ11" s="4415"/>
      <c r="AK11" s="4415"/>
      <c r="AL11" s="4415"/>
      <c r="AM11" s="4415"/>
      <c r="AN11" s="4415"/>
      <c r="AO11" s="4415"/>
      <c r="AP11" s="4415"/>
      <c r="AQ11" s="4415"/>
      <c r="AR11" s="4415"/>
      <c r="AS11" s="4415"/>
      <c r="AT11" s="4415"/>
      <c r="AU11" s="4415"/>
      <c r="AV11" s="4415"/>
      <c r="AW11" s="4415"/>
      <c r="AX11" s="4415"/>
      <c r="AY11" s="4415"/>
      <c r="AZ11" s="4415"/>
      <c r="BA11" s="4415"/>
      <c r="BB11" s="4415"/>
      <c r="BC11" s="4415"/>
      <c r="BD11" s="4415"/>
      <c r="BE11" s="4415"/>
      <c r="BF11" s="4415"/>
      <c r="BG11" s="4415"/>
    </row>
    <row r="12" spans="1:59" s="243" customFormat="1" ht="27" customHeight="1" x14ac:dyDescent="0.2">
      <c r="A12" s="4413"/>
      <c r="B12" s="4414"/>
      <c r="C12" s="4404"/>
      <c r="D12" s="4404"/>
      <c r="E12" s="245">
        <v>68</v>
      </c>
      <c r="F12" s="246" t="s">
        <v>1455</v>
      </c>
      <c r="G12" s="246"/>
      <c r="H12" s="247"/>
      <c r="I12" s="248"/>
      <c r="J12" s="249"/>
      <c r="K12" s="249"/>
      <c r="L12" s="249"/>
      <c r="M12" s="249"/>
      <c r="N12" s="250"/>
      <c r="O12" s="249"/>
      <c r="P12" s="249"/>
      <c r="Q12" s="250"/>
      <c r="R12" s="250"/>
      <c r="S12" s="2027"/>
      <c r="T12" s="251"/>
      <c r="U12" s="249"/>
      <c r="V12" s="251"/>
      <c r="W12" s="249"/>
      <c r="X12" s="250"/>
      <c r="Y12" s="249"/>
      <c r="Z12" s="249"/>
      <c r="AA12" s="249"/>
      <c r="AB12" s="249"/>
      <c r="AC12" s="249"/>
      <c r="AD12" s="249"/>
      <c r="AE12" s="249"/>
      <c r="AF12" s="249"/>
      <c r="AG12" s="249"/>
      <c r="AH12" s="249"/>
      <c r="AI12" s="249"/>
      <c r="AJ12" s="249"/>
      <c r="AK12" s="249"/>
      <c r="AL12" s="249"/>
      <c r="AM12" s="249"/>
      <c r="AN12" s="249"/>
      <c r="AO12" s="249"/>
      <c r="AP12" s="249"/>
      <c r="AQ12" s="249"/>
      <c r="AR12" s="249"/>
      <c r="AS12" s="249"/>
      <c r="AT12" s="249"/>
      <c r="AU12" s="249"/>
      <c r="AV12" s="249"/>
      <c r="AW12" s="252"/>
      <c r="AX12" s="252"/>
      <c r="AY12" s="252"/>
      <c r="AZ12" s="252"/>
      <c r="BA12" s="252"/>
      <c r="BB12" s="252"/>
      <c r="BC12" s="252"/>
      <c r="BD12" s="252"/>
      <c r="BE12" s="252"/>
      <c r="BF12" s="252"/>
      <c r="BG12" s="253"/>
    </row>
    <row r="13" spans="1:59" s="243" customFormat="1" ht="21" customHeight="1" x14ac:dyDescent="0.2">
      <c r="A13" s="4413"/>
      <c r="B13" s="4414"/>
      <c r="C13" s="4404"/>
      <c r="D13" s="4404"/>
      <c r="E13" s="4416" t="s">
        <v>171</v>
      </c>
      <c r="F13" s="4416"/>
      <c r="G13" s="4404">
        <v>202</v>
      </c>
      <c r="H13" s="4417" t="s">
        <v>1456</v>
      </c>
      <c r="I13" s="4404" t="s">
        <v>1457</v>
      </c>
      <c r="J13" s="4404">
        <v>23</v>
      </c>
      <c r="K13" s="4405">
        <v>12</v>
      </c>
      <c r="L13" s="4405" t="s">
        <v>1458</v>
      </c>
      <c r="M13" s="4404">
        <v>161</v>
      </c>
      <c r="N13" s="4408" t="s">
        <v>1459</v>
      </c>
      <c r="O13" s="4409">
        <f>+(T13+T18)/P13</f>
        <v>0.5274343321373095</v>
      </c>
      <c r="P13" s="4424">
        <v>716676896</v>
      </c>
      <c r="Q13" s="4425" t="s">
        <v>1460</v>
      </c>
      <c r="R13" s="4426" t="s">
        <v>1461</v>
      </c>
      <c r="S13" s="4429" t="s">
        <v>1462</v>
      </c>
      <c r="T13" s="4432">
        <v>310000000</v>
      </c>
      <c r="U13" s="4433">
        <v>226000000</v>
      </c>
      <c r="V13" s="4440">
        <v>14500000</v>
      </c>
      <c r="W13" s="4443">
        <v>4</v>
      </c>
      <c r="X13" s="4417" t="s">
        <v>1463</v>
      </c>
      <c r="Y13" s="4436">
        <v>3525</v>
      </c>
      <c r="Z13" s="4444"/>
      <c r="AA13" s="4447">
        <v>4164</v>
      </c>
      <c r="AB13" s="4405">
        <v>21</v>
      </c>
      <c r="AC13" s="4404">
        <v>4491</v>
      </c>
      <c r="AD13" s="4405">
        <v>71</v>
      </c>
      <c r="AE13" s="4436"/>
      <c r="AF13" s="4437"/>
      <c r="AG13" s="4436"/>
      <c r="AH13" s="4437"/>
      <c r="AI13" s="4436"/>
      <c r="AJ13" s="4437"/>
      <c r="AK13" s="4436"/>
      <c r="AL13" s="4437"/>
      <c r="AM13" s="4436"/>
      <c r="AN13" s="4437"/>
      <c r="AO13" s="4436"/>
      <c r="AP13" s="4437"/>
      <c r="AQ13" s="4436"/>
      <c r="AR13" s="4437"/>
      <c r="AS13" s="4436"/>
      <c r="AT13" s="4437"/>
      <c r="AU13" s="4436"/>
      <c r="AV13" s="4437"/>
      <c r="AW13" s="4405">
        <f>3+23+41</f>
        <v>67</v>
      </c>
      <c r="AX13" s="4448">
        <v>278072127</v>
      </c>
      <c r="AY13" s="4448">
        <v>51646127</v>
      </c>
      <c r="AZ13" s="4453">
        <f>AY13/AX13</f>
        <v>0.185729247865249</v>
      </c>
      <c r="BA13" s="4448" t="s">
        <v>1464</v>
      </c>
      <c r="BB13" s="4448" t="s">
        <v>1465</v>
      </c>
      <c r="BC13" s="4451">
        <v>42774</v>
      </c>
      <c r="BD13" s="4451">
        <v>42774</v>
      </c>
      <c r="BE13" s="4451">
        <v>42923</v>
      </c>
      <c r="BF13" s="4451">
        <v>42923</v>
      </c>
      <c r="BG13" s="4452" t="s">
        <v>1466</v>
      </c>
    </row>
    <row r="14" spans="1:59" s="243" customFormat="1" ht="12" customHeight="1" x14ac:dyDescent="0.2">
      <c r="A14" s="4413"/>
      <c r="B14" s="4414"/>
      <c r="C14" s="4404"/>
      <c r="D14" s="4404"/>
      <c r="E14" s="4416"/>
      <c r="F14" s="4416"/>
      <c r="G14" s="4404"/>
      <c r="H14" s="4417"/>
      <c r="I14" s="4404"/>
      <c r="J14" s="4404"/>
      <c r="K14" s="4406"/>
      <c r="L14" s="4406"/>
      <c r="M14" s="4404"/>
      <c r="N14" s="4408"/>
      <c r="O14" s="4409"/>
      <c r="P14" s="4424"/>
      <c r="Q14" s="4425"/>
      <c r="R14" s="4427"/>
      <c r="S14" s="4430"/>
      <c r="T14" s="4432"/>
      <c r="U14" s="4434"/>
      <c r="V14" s="4441"/>
      <c r="W14" s="4443"/>
      <c r="X14" s="4417"/>
      <c r="Y14" s="4436"/>
      <c r="Z14" s="4445"/>
      <c r="AA14" s="4447"/>
      <c r="AB14" s="4406"/>
      <c r="AC14" s="4404"/>
      <c r="AD14" s="4406"/>
      <c r="AE14" s="4436"/>
      <c r="AF14" s="4438"/>
      <c r="AG14" s="4436"/>
      <c r="AH14" s="4438"/>
      <c r="AI14" s="4436"/>
      <c r="AJ14" s="4438"/>
      <c r="AK14" s="4436"/>
      <c r="AL14" s="4438"/>
      <c r="AM14" s="4436"/>
      <c r="AN14" s="4438"/>
      <c r="AO14" s="4436"/>
      <c r="AP14" s="4438"/>
      <c r="AQ14" s="4436"/>
      <c r="AR14" s="4438"/>
      <c r="AS14" s="4436"/>
      <c r="AT14" s="4438"/>
      <c r="AU14" s="4436"/>
      <c r="AV14" s="4438"/>
      <c r="AW14" s="4406"/>
      <c r="AX14" s="4449"/>
      <c r="AY14" s="4449"/>
      <c r="AZ14" s="4454"/>
      <c r="BA14" s="4449"/>
      <c r="BB14" s="4449"/>
      <c r="BC14" s="4451"/>
      <c r="BD14" s="4451"/>
      <c r="BE14" s="4451"/>
      <c r="BF14" s="4451"/>
      <c r="BG14" s="4452"/>
    </row>
    <row r="15" spans="1:59" s="243" customFormat="1" ht="12" customHeight="1" x14ac:dyDescent="0.2">
      <c r="A15" s="4413"/>
      <c r="B15" s="4414"/>
      <c r="C15" s="4404"/>
      <c r="D15" s="4404"/>
      <c r="E15" s="4416"/>
      <c r="F15" s="4416"/>
      <c r="G15" s="4404"/>
      <c r="H15" s="4417"/>
      <c r="I15" s="4404"/>
      <c r="J15" s="4404"/>
      <c r="K15" s="4406"/>
      <c r="L15" s="4406"/>
      <c r="M15" s="4404"/>
      <c r="N15" s="4408"/>
      <c r="O15" s="4409"/>
      <c r="P15" s="4424"/>
      <c r="Q15" s="4425"/>
      <c r="R15" s="4427"/>
      <c r="S15" s="4430"/>
      <c r="T15" s="4432"/>
      <c r="U15" s="4434"/>
      <c r="V15" s="4441"/>
      <c r="W15" s="4443"/>
      <c r="X15" s="4417"/>
      <c r="Y15" s="4436"/>
      <c r="Z15" s="4445"/>
      <c r="AA15" s="4447"/>
      <c r="AB15" s="4406"/>
      <c r="AC15" s="4404"/>
      <c r="AD15" s="4406"/>
      <c r="AE15" s="4436"/>
      <c r="AF15" s="4438"/>
      <c r="AG15" s="4436"/>
      <c r="AH15" s="4438"/>
      <c r="AI15" s="4436"/>
      <c r="AJ15" s="4438"/>
      <c r="AK15" s="4436"/>
      <c r="AL15" s="4438"/>
      <c r="AM15" s="4436"/>
      <c r="AN15" s="4438"/>
      <c r="AO15" s="4436"/>
      <c r="AP15" s="4438"/>
      <c r="AQ15" s="4436"/>
      <c r="AR15" s="4438"/>
      <c r="AS15" s="4436"/>
      <c r="AT15" s="4438"/>
      <c r="AU15" s="4436"/>
      <c r="AV15" s="4438"/>
      <c r="AW15" s="4406"/>
      <c r="AX15" s="4449"/>
      <c r="AY15" s="4449"/>
      <c r="AZ15" s="4454"/>
      <c r="BA15" s="4449"/>
      <c r="BB15" s="4449"/>
      <c r="BC15" s="4451"/>
      <c r="BD15" s="4451"/>
      <c r="BE15" s="4451"/>
      <c r="BF15" s="4451"/>
      <c r="BG15" s="4452"/>
    </row>
    <row r="16" spans="1:59" ht="27" customHeight="1" x14ac:dyDescent="0.2">
      <c r="A16" s="4413"/>
      <c r="B16" s="4414"/>
      <c r="C16" s="4404"/>
      <c r="D16" s="4404"/>
      <c r="E16" s="4416"/>
      <c r="F16" s="4416"/>
      <c r="G16" s="4404"/>
      <c r="H16" s="4417"/>
      <c r="I16" s="4404"/>
      <c r="J16" s="4404"/>
      <c r="K16" s="4406"/>
      <c r="L16" s="4407"/>
      <c r="M16" s="4404"/>
      <c r="N16" s="4408"/>
      <c r="O16" s="4409"/>
      <c r="P16" s="4424"/>
      <c r="Q16" s="4425"/>
      <c r="R16" s="4427"/>
      <c r="S16" s="4430"/>
      <c r="T16" s="4432"/>
      <c r="U16" s="4435"/>
      <c r="V16" s="4442"/>
      <c r="W16" s="4443"/>
      <c r="X16" s="4417"/>
      <c r="Y16" s="4436"/>
      <c r="Z16" s="4445"/>
      <c r="AA16" s="4447"/>
      <c r="AB16" s="4406"/>
      <c r="AC16" s="4404"/>
      <c r="AD16" s="4406"/>
      <c r="AE16" s="4436"/>
      <c r="AF16" s="4438"/>
      <c r="AG16" s="4436"/>
      <c r="AH16" s="4438"/>
      <c r="AI16" s="4436"/>
      <c r="AJ16" s="4438"/>
      <c r="AK16" s="4436"/>
      <c r="AL16" s="4438"/>
      <c r="AM16" s="4436"/>
      <c r="AN16" s="4438"/>
      <c r="AO16" s="4436"/>
      <c r="AP16" s="4438"/>
      <c r="AQ16" s="4436"/>
      <c r="AR16" s="4438"/>
      <c r="AS16" s="4436"/>
      <c r="AT16" s="4438"/>
      <c r="AU16" s="4436"/>
      <c r="AV16" s="4438"/>
      <c r="AW16" s="4406"/>
      <c r="AX16" s="4449"/>
      <c r="AY16" s="4449"/>
      <c r="AZ16" s="4454"/>
      <c r="BA16" s="4449"/>
      <c r="BB16" s="4449"/>
      <c r="BC16" s="4451"/>
      <c r="BD16" s="4451"/>
      <c r="BE16" s="4451"/>
      <c r="BF16" s="4451"/>
      <c r="BG16" s="4452"/>
    </row>
    <row r="17" spans="1:62" ht="27" customHeight="1" x14ac:dyDescent="0.2">
      <c r="A17" s="4413"/>
      <c r="B17" s="4414"/>
      <c r="C17" s="4404"/>
      <c r="D17" s="4404"/>
      <c r="E17" s="4416"/>
      <c r="F17" s="4416"/>
      <c r="G17" s="4404"/>
      <c r="H17" s="4417"/>
      <c r="I17" s="4404"/>
      <c r="J17" s="4404"/>
      <c r="K17" s="4406"/>
      <c r="L17" s="254" t="s">
        <v>1467</v>
      </c>
      <c r="M17" s="4404"/>
      <c r="N17" s="4408"/>
      <c r="O17" s="4409"/>
      <c r="P17" s="4424"/>
      <c r="Q17" s="4425"/>
      <c r="R17" s="4427"/>
      <c r="S17" s="4431"/>
      <c r="T17" s="630">
        <v>60000000</v>
      </c>
      <c r="U17" s="631"/>
      <c r="V17" s="632"/>
      <c r="W17" s="620"/>
      <c r="X17" s="617" t="s">
        <v>1468</v>
      </c>
      <c r="Y17" s="4436"/>
      <c r="Z17" s="4445"/>
      <c r="AA17" s="4447"/>
      <c r="AB17" s="4406"/>
      <c r="AC17" s="4404"/>
      <c r="AD17" s="4406"/>
      <c r="AE17" s="4436"/>
      <c r="AF17" s="4438"/>
      <c r="AG17" s="4436"/>
      <c r="AH17" s="4438"/>
      <c r="AI17" s="4436"/>
      <c r="AJ17" s="4438"/>
      <c r="AK17" s="4436"/>
      <c r="AL17" s="4438"/>
      <c r="AM17" s="4436"/>
      <c r="AN17" s="4438"/>
      <c r="AO17" s="4436"/>
      <c r="AP17" s="4438"/>
      <c r="AQ17" s="4436"/>
      <c r="AR17" s="4438"/>
      <c r="AS17" s="4436"/>
      <c r="AT17" s="4438"/>
      <c r="AU17" s="4436"/>
      <c r="AV17" s="4438"/>
      <c r="AW17" s="4406"/>
      <c r="AX17" s="4449"/>
      <c r="AY17" s="4449"/>
      <c r="AZ17" s="4454"/>
      <c r="BA17" s="4449"/>
      <c r="BB17" s="4449"/>
      <c r="BC17" s="4451"/>
      <c r="BD17" s="4451"/>
      <c r="BE17" s="4451"/>
      <c r="BF17" s="4451"/>
      <c r="BG17" s="4452"/>
    </row>
    <row r="18" spans="1:62" ht="45" customHeight="1" x14ac:dyDescent="0.2">
      <c r="A18" s="4413"/>
      <c r="B18" s="4414"/>
      <c r="C18" s="4404"/>
      <c r="D18" s="4404"/>
      <c r="E18" s="4416"/>
      <c r="F18" s="4416"/>
      <c r="G18" s="4404"/>
      <c r="H18" s="4417"/>
      <c r="I18" s="4404"/>
      <c r="J18" s="4404"/>
      <c r="K18" s="4407"/>
      <c r="L18" s="254" t="s">
        <v>1467</v>
      </c>
      <c r="M18" s="4404"/>
      <c r="N18" s="4408"/>
      <c r="O18" s="4409"/>
      <c r="P18" s="4424"/>
      <c r="Q18" s="4425"/>
      <c r="R18" s="4427"/>
      <c r="S18" s="2028" t="s">
        <v>1469</v>
      </c>
      <c r="T18" s="630">
        <v>68000000</v>
      </c>
      <c r="U18" s="255">
        <v>14552000</v>
      </c>
      <c r="V18" s="630">
        <v>9026000</v>
      </c>
      <c r="W18" s="620">
        <v>3</v>
      </c>
      <c r="X18" s="617" t="s">
        <v>1468</v>
      </c>
      <c r="Y18" s="4436"/>
      <c r="Z18" s="4445"/>
      <c r="AA18" s="4447"/>
      <c r="AB18" s="4406"/>
      <c r="AC18" s="4404"/>
      <c r="AD18" s="4406"/>
      <c r="AE18" s="4436"/>
      <c r="AF18" s="4438"/>
      <c r="AG18" s="4436"/>
      <c r="AH18" s="4438"/>
      <c r="AI18" s="4436"/>
      <c r="AJ18" s="4438"/>
      <c r="AK18" s="4436"/>
      <c r="AL18" s="4438"/>
      <c r="AM18" s="4436"/>
      <c r="AN18" s="4438"/>
      <c r="AO18" s="4436"/>
      <c r="AP18" s="4438"/>
      <c r="AQ18" s="4436"/>
      <c r="AR18" s="4438"/>
      <c r="AS18" s="4436"/>
      <c r="AT18" s="4438"/>
      <c r="AU18" s="4436"/>
      <c r="AV18" s="4438"/>
      <c r="AW18" s="4406"/>
      <c r="AX18" s="4449"/>
      <c r="AY18" s="4449"/>
      <c r="AZ18" s="4454"/>
      <c r="BA18" s="4449"/>
      <c r="BB18" s="4449"/>
      <c r="BC18" s="4451"/>
      <c r="BD18" s="4451"/>
      <c r="BE18" s="4451"/>
      <c r="BF18" s="4451"/>
      <c r="BG18" s="4452"/>
    </row>
    <row r="19" spans="1:62" ht="56.25" customHeight="1" x14ac:dyDescent="0.2">
      <c r="A19" s="4413"/>
      <c r="B19" s="4414"/>
      <c r="C19" s="4404"/>
      <c r="D19" s="4404"/>
      <c r="E19" s="4416"/>
      <c r="F19" s="4416"/>
      <c r="G19" s="618">
        <v>203</v>
      </c>
      <c r="H19" s="617" t="s">
        <v>1470</v>
      </c>
      <c r="I19" s="618" t="s">
        <v>1457</v>
      </c>
      <c r="J19" s="618">
        <v>20</v>
      </c>
      <c r="K19" s="618">
        <v>20</v>
      </c>
      <c r="L19" s="256" t="s">
        <v>1471</v>
      </c>
      <c r="M19" s="4404"/>
      <c r="N19" s="4408"/>
      <c r="O19" s="622">
        <f>T19/P13</f>
        <v>0.22325262735970772</v>
      </c>
      <c r="P19" s="4424"/>
      <c r="Q19" s="4425"/>
      <c r="R19" s="4428"/>
      <c r="S19" s="2028" t="s">
        <v>1472</v>
      </c>
      <c r="T19" s="630">
        <v>160000000</v>
      </c>
      <c r="U19" s="255">
        <v>28120127</v>
      </c>
      <c r="V19" s="630">
        <v>28120127</v>
      </c>
      <c r="W19" s="620">
        <v>3</v>
      </c>
      <c r="X19" s="617" t="s">
        <v>1468</v>
      </c>
      <c r="Y19" s="4436"/>
      <c r="Z19" s="4446"/>
      <c r="AA19" s="4447"/>
      <c r="AB19" s="4407"/>
      <c r="AC19" s="4404"/>
      <c r="AD19" s="4407"/>
      <c r="AE19" s="4436"/>
      <c r="AF19" s="4439"/>
      <c r="AG19" s="4436"/>
      <c r="AH19" s="4439"/>
      <c r="AI19" s="4436"/>
      <c r="AJ19" s="4439"/>
      <c r="AK19" s="4436"/>
      <c r="AL19" s="4439"/>
      <c r="AM19" s="4436"/>
      <c r="AN19" s="4439"/>
      <c r="AO19" s="4436"/>
      <c r="AP19" s="4439"/>
      <c r="AQ19" s="4436"/>
      <c r="AR19" s="4439"/>
      <c r="AS19" s="4436"/>
      <c r="AT19" s="4439"/>
      <c r="AU19" s="4436"/>
      <c r="AV19" s="4439"/>
      <c r="AW19" s="4407"/>
      <c r="AX19" s="4450"/>
      <c r="AY19" s="4450"/>
      <c r="AZ19" s="4455"/>
      <c r="BA19" s="4450"/>
      <c r="BB19" s="4450"/>
      <c r="BC19" s="4451"/>
      <c r="BD19" s="4451"/>
      <c r="BE19" s="4451"/>
      <c r="BF19" s="4451"/>
      <c r="BG19" s="4452"/>
    </row>
    <row r="20" spans="1:62" ht="33" customHeight="1" x14ac:dyDescent="0.2">
      <c r="A20" s="4413"/>
      <c r="B20" s="4414"/>
      <c r="C20" s="4404"/>
      <c r="D20" s="4404"/>
      <c r="E20" s="245">
        <v>69</v>
      </c>
      <c r="F20" s="257" t="s">
        <v>1473</v>
      </c>
      <c r="G20" s="257"/>
      <c r="H20" s="258"/>
      <c r="I20" s="259"/>
      <c r="J20" s="259"/>
      <c r="K20" s="259"/>
      <c r="L20" s="259"/>
      <c r="M20" s="259"/>
      <c r="N20" s="250"/>
      <c r="O20" s="259"/>
      <c r="P20" s="259"/>
      <c r="Q20" s="250"/>
      <c r="R20" s="250"/>
      <c r="S20" s="2027"/>
      <c r="T20" s="251"/>
      <c r="U20" s="259"/>
      <c r="V20" s="251"/>
      <c r="W20" s="259"/>
      <c r="X20" s="250"/>
      <c r="Y20" s="259"/>
      <c r="Z20" s="259"/>
      <c r="AA20" s="259"/>
      <c r="AB20" s="259"/>
      <c r="AC20" s="259"/>
      <c r="AD20" s="259"/>
      <c r="AE20" s="259"/>
      <c r="AF20" s="259"/>
      <c r="AG20" s="259"/>
      <c r="AH20" s="259"/>
      <c r="AI20" s="259"/>
      <c r="AJ20" s="259"/>
      <c r="AK20" s="259"/>
      <c r="AL20" s="259"/>
      <c r="AM20" s="259"/>
      <c r="AN20" s="259"/>
      <c r="AO20" s="259"/>
      <c r="AP20" s="259"/>
      <c r="AQ20" s="259"/>
      <c r="AR20" s="259"/>
      <c r="AS20" s="259"/>
      <c r="AT20" s="259"/>
      <c r="AU20" s="259"/>
      <c r="AV20" s="259"/>
      <c r="AW20" s="260"/>
      <c r="AX20" s="260"/>
      <c r="AY20" s="260"/>
      <c r="AZ20" s="260"/>
      <c r="BA20" s="260"/>
      <c r="BB20" s="260"/>
      <c r="BC20" s="260"/>
      <c r="BD20" s="260"/>
      <c r="BE20" s="260"/>
      <c r="BF20" s="260"/>
      <c r="BG20" s="261"/>
    </row>
    <row r="21" spans="1:62" ht="42.75" x14ac:dyDescent="0.2">
      <c r="A21" s="4413"/>
      <c r="B21" s="4414"/>
      <c r="C21" s="4404"/>
      <c r="D21" s="4404"/>
      <c r="E21" s="4404"/>
      <c r="F21" s="4404"/>
      <c r="G21" s="4404">
        <v>204</v>
      </c>
      <c r="H21" s="4417" t="s">
        <v>1474</v>
      </c>
      <c r="I21" s="4404" t="s">
        <v>1457</v>
      </c>
      <c r="J21" s="4404">
        <v>13</v>
      </c>
      <c r="K21" s="4404">
        <v>2</v>
      </c>
      <c r="L21" s="4404" t="s">
        <v>1475</v>
      </c>
      <c r="M21" s="4404">
        <v>161</v>
      </c>
      <c r="N21" s="4417" t="s">
        <v>1459</v>
      </c>
      <c r="O21" s="4409">
        <f>+(T21+T22)/P21</f>
        <v>0.16559330524309243</v>
      </c>
      <c r="P21" s="4443">
        <v>716676896</v>
      </c>
      <c r="Q21" s="4417" t="str">
        <f>+Q13</f>
        <v xml:space="preserve">Incrementar los niveles de desarrollo en el deporte formativo y competitivo del departamento del quindio </v>
      </c>
      <c r="R21" s="4417" t="str">
        <f>+R13</f>
        <v>Fortalecer los procesos con deportistas de altos logros</v>
      </c>
      <c r="S21" s="4417" t="s">
        <v>1476</v>
      </c>
      <c r="T21" s="620">
        <v>113400000</v>
      </c>
      <c r="U21" s="620">
        <v>9400000</v>
      </c>
      <c r="V21" s="620">
        <v>0</v>
      </c>
      <c r="W21" s="620">
        <v>4</v>
      </c>
      <c r="X21" s="617" t="s">
        <v>1477</v>
      </c>
      <c r="Y21" s="4404">
        <v>3525</v>
      </c>
      <c r="Z21" s="4459"/>
      <c r="AA21" s="4404">
        <v>4164</v>
      </c>
      <c r="AB21" s="4404">
        <v>21</v>
      </c>
      <c r="AC21" s="4404">
        <v>4491</v>
      </c>
      <c r="AD21" s="4404">
        <v>71</v>
      </c>
      <c r="AE21" s="4459"/>
      <c r="AF21" s="4459"/>
      <c r="AG21" s="4459"/>
      <c r="AH21" s="4459"/>
      <c r="AI21" s="4459"/>
      <c r="AJ21" s="4459"/>
      <c r="AK21" s="4459"/>
      <c r="AL21" s="4459"/>
      <c r="AM21" s="4459"/>
      <c r="AN21" s="4459"/>
      <c r="AO21" s="4459"/>
      <c r="AP21" s="4459"/>
      <c r="AQ21" s="4459"/>
      <c r="AR21" s="4459"/>
      <c r="AS21" s="4459"/>
      <c r="AT21" s="4459"/>
      <c r="AU21" s="4459"/>
      <c r="AV21" s="4459"/>
      <c r="AW21" s="4404">
        <v>1</v>
      </c>
      <c r="AX21" s="4458">
        <v>9400000</v>
      </c>
      <c r="AY21" s="4458">
        <v>0</v>
      </c>
      <c r="AZ21" s="4208">
        <v>0</v>
      </c>
      <c r="BA21" s="4457" t="s">
        <v>1478</v>
      </c>
      <c r="BB21" s="4457" t="s">
        <v>1465</v>
      </c>
      <c r="BC21" s="4456">
        <v>42774</v>
      </c>
      <c r="BD21" s="4456">
        <v>42774</v>
      </c>
      <c r="BE21" s="4456">
        <v>42923</v>
      </c>
      <c r="BF21" s="4456">
        <v>42923</v>
      </c>
      <c r="BG21" s="4457" t="s">
        <v>1466</v>
      </c>
    </row>
    <row r="22" spans="1:62" ht="28.5" x14ac:dyDescent="0.2">
      <c r="A22" s="4413"/>
      <c r="B22" s="4414"/>
      <c r="C22" s="4404"/>
      <c r="D22" s="4404"/>
      <c r="E22" s="4404"/>
      <c r="F22" s="4404"/>
      <c r="G22" s="4404"/>
      <c r="H22" s="4417"/>
      <c r="I22" s="4404"/>
      <c r="J22" s="4404"/>
      <c r="K22" s="4404"/>
      <c r="L22" s="4404"/>
      <c r="M22" s="4404"/>
      <c r="N22" s="4417"/>
      <c r="O22" s="4409"/>
      <c r="P22" s="4443"/>
      <c r="Q22" s="4417"/>
      <c r="R22" s="4417"/>
      <c r="S22" s="4417"/>
      <c r="T22" s="620">
        <v>5276896</v>
      </c>
      <c r="U22" s="620">
        <v>0</v>
      </c>
      <c r="V22" s="620">
        <v>0</v>
      </c>
      <c r="W22" s="620">
        <v>9</v>
      </c>
      <c r="X22" s="617" t="s">
        <v>1479</v>
      </c>
      <c r="Y22" s="4404"/>
      <c r="Z22" s="4459"/>
      <c r="AA22" s="4404"/>
      <c r="AB22" s="4404"/>
      <c r="AC22" s="4404"/>
      <c r="AD22" s="4404"/>
      <c r="AE22" s="4459"/>
      <c r="AF22" s="4459"/>
      <c r="AG22" s="4459"/>
      <c r="AH22" s="4459"/>
      <c r="AI22" s="4459"/>
      <c r="AJ22" s="4459"/>
      <c r="AK22" s="4459"/>
      <c r="AL22" s="4459"/>
      <c r="AM22" s="4459"/>
      <c r="AN22" s="4459"/>
      <c r="AO22" s="4459"/>
      <c r="AP22" s="4459"/>
      <c r="AQ22" s="4459"/>
      <c r="AR22" s="4459"/>
      <c r="AS22" s="4459"/>
      <c r="AT22" s="4459"/>
      <c r="AU22" s="4459"/>
      <c r="AV22" s="4459"/>
      <c r="AW22" s="4404"/>
      <c r="AX22" s="4458"/>
      <c r="AY22" s="4458"/>
      <c r="AZ22" s="4208"/>
      <c r="BA22" s="4457"/>
      <c r="BB22" s="4457"/>
      <c r="BC22" s="4456"/>
      <c r="BD22" s="4456"/>
      <c r="BE22" s="4456"/>
      <c r="BF22" s="4456"/>
      <c r="BG22" s="4457"/>
    </row>
    <row r="23" spans="1:62" ht="38.25" customHeight="1" x14ac:dyDescent="0.2">
      <c r="A23" s="4413"/>
      <c r="B23" s="4414"/>
      <c r="C23" s="4404"/>
      <c r="D23" s="4404"/>
      <c r="E23" s="245">
        <v>70</v>
      </c>
      <c r="F23" s="248" t="s">
        <v>1480</v>
      </c>
      <c r="G23" s="249"/>
      <c r="H23" s="250"/>
      <c r="I23" s="249"/>
      <c r="J23" s="249"/>
      <c r="K23" s="249"/>
      <c r="L23" s="249"/>
      <c r="M23" s="249"/>
      <c r="N23" s="250"/>
      <c r="O23" s="249"/>
      <c r="P23" s="249"/>
      <c r="Q23" s="250"/>
      <c r="R23" s="250"/>
      <c r="S23" s="2027"/>
      <c r="T23" s="251"/>
      <c r="U23" s="249"/>
      <c r="V23" s="251"/>
      <c r="W23" s="249"/>
      <c r="X23" s="250"/>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52"/>
      <c r="AX23" s="262"/>
      <c r="AY23" s="262"/>
      <c r="AZ23" s="262"/>
      <c r="BA23" s="252"/>
      <c r="BB23" s="252"/>
      <c r="BC23" s="252"/>
      <c r="BD23" s="252"/>
      <c r="BE23" s="252"/>
      <c r="BF23" s="252"/>
      <c r="BG23" s="253"/>
    </row>
    <row r="24" spans="1:62" ht="63" customHeight="1" x14ac:dyDescent="0.2">
      <c r="A24" s="4413"/>
      <c r="B24" s="4414"/>
      <c r="C24" s="4404"/>
      <c r="D24" s="4404"/>
      <c r="E24" s="4416"/>
      <c r="F24" s="4416"/>
      <c r="G24" s="4404">
        <v>205</v>
      </c>
      <c r="H24" s="4417" t="s">
        <v>1481</v>
      </c>
      <c r="I24" s="4404" t="s">
        <v>1457</v>
      </c>
      <c r="J24" s="4404">
        <v>1</v>
      </c>
      <c r="K24" s="4404">
        <v>0.3</v>
      </c>
      <c r="L24" s="256" t="s">
        <v>1482</v>
      </c>
      <c r="M24" s="4404">
        <v>162</v>
      </c>
      <c r="N24" s="4417" t="s">
        <v>1483</v>
      </c>
      <c r="O24" s="4409">
        <v>1</v>
      </c>
      <c r="P24" s="4443">
        <v>205652392</v>
      </c>
      <c r="Q24" s="4425" t="s">
        <v>1484</v>
      </c>
      <c r="R24" s="4460" t="s">
        <v>1485</v>
      </c>
      <c r="S24" s="4417" t="s">
        <v>1486</v>
      </c>
      <c r="T24" s="620">
        <v>80000000</v>
      </c>
      <c r="U24" s="620">
        <v>21675000</v>
      </c>
      <c r="V24" s="620">
        <v>8070000</v>
      </c>
      <c r="W24" s="620">
        <v>4</v>
      </c>
      <c r="X24" s="633" t="s">
        <v>1463</v>
      </c>
      <c r="Y24" s="4443">
        <v>3525</v>
      </c>
      <c r="Z24" s="4443"/>
      <c r="AA24" s="4404">
        <v>4164</v>
      </c>
      <c r="AB24" s="4404">
        <v>4164</v>
      </c>
      <c r="AC24" s="4404">
        <v>4491</v>
      </c>
      <c r="AD24" s="4404">
        <v>2201</v>
      </c>
      <c r="AE24" s="4443"/>
      <c r="AF24" s="4443"/>
      <c r="AG24" s="4443"/>
      <c r="AH24" s="4443"/>
      <c r="AI24" s="4443"/>
      <c r="AJ24" s="4443"/>
      <c r="AK24" s="4443"/>
      <c r="AL24" s="4443"/>
      <c r="AM24" s="4443"/>
      <c r="AN24" s="4443"/>
      <c r="AO24" s="4443"/>
      <c r="AP24" s="4443"/>
      <c r="AQ24" s="4443"/>
      <c r="AR24" s="4443"/>
      <c r="AS24" s="4443"/>
      <c r="AT24" s="4443"/>
      <c r="AU24" s="4443"/>
      <c r="AV24" s="4443"/>
      <c r="AW24" s="4404">
        <v>6</v>
      </c>
      <c r="AX24" s="4480">
        <v>21675000</v>
      </c>
      <c r="AY24" s="4480">
        <v>8070000</v>
      </c>
      <c r="AZ24" s="4482">
        <f>AY24/AX24</f>
        <v>0.37231833910034601</v>
      </c>
      <c r="BA24" s="4405" t="s">
        <v>1487</v>
      </c>
      <c r="BB24" s="4405" t="s">
        <v>1488</v>
      </c>
      <c r="BC24" s="4478">
        <v>42774</v>
      </c>
      <c r="BD24" s="4478">
        <v>42774</v>
      </c>
      <c r="BE24" s="4478">
        <v>42863</v>
      </c>
      <c r="BF24" s="4478">
        <v>42863</v>
      </c>
      <c r="BG24" s="4476" t="s">
        <v>1466</v>
      </c>
    </row>
    <row r="25" spans="1:62" ht="73.5" customHeight="1" x14ac:dyDescent="0.2">
      <c r="A25" s="4413"/>
      <c r="B25" s="4414"/>
      <c r="C25" s="4404"/>
      <c r="D25" s="4404"/>
      <c r="E25" s="4416"/>
      <c r="F25" s="4416"/>
      <c r="G25" s="4404"/>
      <c r="H25" s="4417"/>
      <c r="I25" s="4404"/>
      <c r="J25" s="4404"/>
      <c r="K25" s="4404"/>
      <c r="L25" s="618" t="s">
        <v>1489</v>
      </c>
      <c r="M25" s="4404"/>
      <c r="N25" s="4417"/>
      <c r="O25" s="4409"/>
      <c r="P25" s="4443"/>
      <c r="Q25" s="4425"/>
      <c r="R25" s="4460"/>
      <c r="S25" s="4417"/>
      <c r="T25" s="620">
        <v>125652392</v>
      </c>
      <c r="U25" s="620">
        <v>0</v>
      </c>
      <c r="V25" s="620">
        <v>0</v>
      </c>
      <c r="W25" s="620">
        <v>7</v>
      </c>
      <c r="X25" s="617" t="s">
        <v>1490</v>
      </c>
      <c r="Y25" s="4443"/>
      <c r="Z25" s="4443"/>
      <c r="AA25" s="4404"/>
      <c r="AB25" s="4404"/>
      <c r="AC25" s="4404"/>
      <c r="AD25" s="4404"/>
      <c r="AE25" s="4443"/>
      <c r="AF25" s="4443"/>
      <c r="AG25" s="4443"/>
      <c r="AH25" s="4443"/>
      <c r="AI25" s="4443"/>
      <c r="AJ25" s="4443"/>
      <c r="AK25" s="4443"/>
      <c r="AL25" s="4443"/>
      <c r="AM25" s="4443"/>
      <c r="AN25" s="4443"/>
      <c r="AO25" s="4443"/>
      <c r="AP25" s="4443"/>
      <c r="AQ25" s="4443"/>
      <c r="AR25" s="4443"/>
      <c r="AS25" s="4443"/>
      <c r="AT25" s="4443"/>
      <c r="AU25" s="4443"/>
      <c r="AV25" s="4443"/>
      <c r="AW25" s="4404"/>
      <c r="AX25" s="4481"/>
      <c r="AY25" s="4481"/>
      <c r="AZ25" s="4483"/>
      <c r="BA25" s="4407"/>
      <c r="BB25" s="4407"/>
      <c r="BC25" s="4479"/>
      <c r="BD25" s="4479"/>
      <c r="BE25" s="4479"/>
      <c r="BF25" s="4479"/>
      <c r="BG25" s="4477"/>
      <c r="BH25" s="263"/>
      <c r="BI25" s="263"/>
      <c r="BJ25" s="263"/>
    </row>
    <row r="26" spans="1:62" ht="36.75" customHeight="1" x14ac:dyDescent="0.2">
      <c r="A26" s="4413"/>
      <c r="B26" s="4414"/>
      <c r="C26" s="4404"/>
      <c r="D26" s="4404"/>
      <c r="E26" s="245">
        <v>71</v>
      </c>
      <c r="F26" s="246" t="s">
        <v>1491</v>
      </c>
      <c r="G26" s="246"/>
      <c r="H26" s="247"/>
      <c r="I26" s="246"/>
      <c r="J26" s="246"/>
      <c r="K26" s="246"/>
      <c r="L26" s="246"/>
      <c r="M26" s="246"/>
      <c r="N26" s="247"/>
      <c r="O26" s="246"/>
      <c r="P26" s="246"/>
      <c r="Q26" s="247"/>
      <c r="R26" s="247"/>
      <c r="S26" s="2029"/>
      <c r="T26" s="264"/>
      <c r="U26" s="246"/>
      <c r="V26" s="264"/>
      <c r="W26" s="246"/>
      <c r="X26" s="247"/>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65"/>
      <c r="AX26" s="265"/>
      <c r="AY26" s="265"/>
      <c r="AZ26" s="265"/>
      <c r="BA26" s="265"/>
      <c r="BB26" s="265"/>
      <c r="BC26" s="265"/>
      <c r="BD26" s="265"/>
      <c r="BE26" s="265"/>
      <c r="BF26" s="265"/>
      <c r="BG26" s="265"/>
    </row>
    <row r="27" spans="1:62" s="263" customFormat="1" ht="44.25" customHeight="1" x14ac:dyDescent="0.2">
      <c r="A27" s="4413"/>
      <c r="B27" s="4414"/>
      <c r="C27" s="4404"/>
      <c r="D27" s="4404"/>
      <c r="E27" s="4404"/>
      <c r="F27" s="4404"/>
      <c r="G27" s="4461">
        <v>206</v>
      </c>
      <c r="H27" s="4462" t="s">
        <v>1492</v>
      </c>
      <c r="I27" s="4463" t="s">
        <v>18</v>
      </c>
      <c r="J27" s="4463">
        <v>12</v>
      </c>
      <c r="K27" s="4405">
        <v>6</v>
      </c>
      <c r="L27" s="4405" t="s">
        <v>1493</v>
      </c>
      <c r="M27" s="4405">
        <v>163</v>
      </c>
      <c r="N27" s="4464" t="s">
        <v>1494</v>
      </c>
      <c r="O27" s="4468">
        <f>+(T27+T28)/P27</f>
        <v>0.7388871764968441</v>
      </c>
      <c r="P27" s="4470">
        <v>191898553</v>
      </c>
      <c r="Q27" s="4426" t="s">
        <v>1495</v>
      </c>
      <c r="R27" s="4473" t="s">
        <v>1496</v>
      </c>
      <c r="S27" s="4464" t="s">
        <v>1497</v>
      </c>
      <c r="T27" s="266">
        <v>106800000</v>
      </c>
      <c r="U27" s="620">
        <v>30800000</v>
      </c>
      <c r="V27" s="620">
        <v>1460000</v>
      </c>
      <c r="W27" s="4443">
        <v>20</v>
      </c>
      <c r="X27" s="621" t="s">
        <v>1498</v>
      </c>
      <c r="Y27" s="4459"/>
      <c r="Z27" s="4487"/>
      <c r="AA27" s="4404">
        <v>4164</v>
      </c>
      <c r="AB27" s="4405">
        <v>48</v>
      </c>
      <c r="AC27" s="4404">
        <v>5851</v>
      </c>
      <c r="AD27" s="4405">
        <v>96</v>
      </c>
      <c r="AE27" s="4459"/>
      <c r="AF27" s="4487"/>
      <c r="AG27" s="4459"/>
      <c r="AH27" s="4487"/>
      <c r="AI27" s="4459"/>
      <c r="AJ27" s="4487"/>
      <c r="AK27" s="4459"/>
      <c r="AL27" s="4487"/>
      <c r="AM27" s="4459"/>
      <c r="AN27" s="4487"/>
      <c r="AO27" s="4459"/>
      <c r="AP27" s="4487"/>
      <c r="AQ27" s="4459"/>
      <c r="AR27" s="4487"/>
      <c r="AS27" s="4459"/>
      <c r="AT27" s="4487"/>
      <c r="AU27" s="4459"/>
      <c r="AV27" s="4487"/>
      <c r="AW27" s="4405">
        <v>4</v>
      </c>
      <c r="AX27" s="4480">
        <v>30800000</v>
      </c>
      <c r="AY27" s="4480">
        <v>1460000</v>
      </c>
      <c r="AZ27" s="4482">
        <f>AY27/AX27</f>
        <v>4.7402597402597405E-2</v>
      </c>
      <c r="BA27" s="4405" t="s">
        <v>1499</v>
      </c>
      <c r="BB27" s="4405" t="s">
        <v>1465</v>
      </c>
      <c r="BC27" s="4478">
        <v>42774</v>
      </c>
      <c r="BD27" s="4478">
        <v>42774</v>
      </c>
      <c r="BE27" s="4478">
        <v>42923</v>
      </c>
      <c r="BF27" s="4478">
        <v>42923</v>
      </c>
      <c r="BG27" s="4452" t="s">
        <v>1466</v>
      </c>
    </row>
    <row r="28" spans="1:62" s="263" customFormat="1" ht="27" customHeight="1" x14ac:dyDescent="0.2">
      <c r="A28" s="4413"/>
      <c r="B28" s="4414"/>
      <c r="C28" s="4404"/>
      <c r="D28" s="4404"/>
      <c r="E28" s="4404"/>
      <c r="F28" s="4404"/>
      <c r="G28" s="4461"/>
      <c r="H28" s="4462"/>
      <c r="I28" s="4463"/>
      <c r="J28" s="4463"/>
      <c r="K28" s="4407"/>
      <c r="L28" s="4407"/>
      <c r="M28" s="4406"/>
      <c r="N28" s="4465"/>
      <c r="O28" s="4469"/>
      <c r="P28" s="4471"/>
      <c r="Q28" s="4427"/>
      <c r="R28" s="4474"/>
      <c r="S28" s="4466"/>
      <c r="T28" s="266">
        <f>80000000-45008620</f>
        <v>34991380</v>
      </c>
      <c r="U28" s="620"/>
      <c r="V28" s="620"/>
      <c r="W28" s="4443"/>
      <c r="X28" s="621" t="s">
        <v>1500</v>
      </c>
      <c r="Y28" s="4459"/>
      <c r="Z28" s="4488"/>
      <c r="AA28" s="4404"/>
      <c r="AB28" s="4406"/>
      <c r="AC28" s="4404"/>
      <c r="AD28" s="4406"/>
      <c r="AE28" s="4459"/>
      <c r="AF28" s="4488"/>
      <c r="AG28" s="4459"/>
      <c r="AH28" s="4488"/>
      <c r="AI28" s="4459"/>
      <c r="AJ28" s="4488"/>
      <c r="AK28" s="4459"/>
      <c r="AL28" s="4488"/>
      <c r="AM28" s="4459"/>
      <c r="AN28" s="4488"/>
      <c r="AO28" s="4459"/>
      <c r="AP28" s="4488"/>
      <c r="AQ28" s="4459"/>
      <c r="AR28" s="4488"/>
      <c r="AS28" s="4459"/>
      <c r="AT28" s="4488"/>
      <c r="AU28" s="4459"/>
      <c r="AV28" s="4488"/>
      <c r="AW28" s="4406"/>
      <c r="AX28" s="4485"/>
      <c r="AY28" s="4485"/>
      <c r="AZ28" s="4486"/>
      <c r="BA28" s="4406"/>
      <c r="BB28" s="4406"/>
      <c r="BC28" s="4492"/>
      <c r="BD28" s="4492"/>
      <c r="BE28" s="4492"/>
      <c r="BF28" s="4492"/>
      <c r="BG28" s="4452"/>
    </row>
    <row r="29" spans="1:62" s="263" customFormat="1" ht="55.5" customHeight="1" x14ac:dyDescent="0.2">
      <c r="A29" s="4413"/>
      <c r="B29" s="4414"/>
      <c r="C29" s="4404"/>
      <c r="D29" s="4404"/>
      <c r="E29" s="4404"/>
      <c r="F29" s="4404"/>
      <c r="G29" s="4461">
        <v>207</v>
      </c>
      <c r="H29" s="4462" t="s">
        <v>1501</v>
      </c>
      <c r="I29" s="4463" t="s">
        <v>18</v>
      </c>
      <c r="J29" s="4404">
        <v>1</v>
      </c>
      <c r="K29" s="4405">
        <v>0</v>
      </c>
      <c r="L29" s="4405" t="s">
        <v>1502</v>
      </c>
      <c r="M29" s="4406"/>
      <c r="N29" s="4465"/>
      <c r="O29" s="4468">
        <f>+(+T29+T30)/P27</f>
        <v>0.15689108400937238</v>
      </c>
      <c r="P29" s="4471"/>
      <c r="Q29" s="4427"/>
      <c r="R29" s="4474"/>
      <c r="S29" s="4464" t="s">
        <v>1503</v>
      </c>
      <c r="T29" s="266">
        <v>107172</v>
      </c>
      <c r="U29" s="620">
        <v>0</v>
      </c>
      <c r="V29" s="620">
        <v>0</v>
      </c>
      <c r="W29" s="4443"/>
      <c r="X29" s="621" t="s">
        <v>208</v>
      </c>
      <c r="Y29" s="4459"/>
      <c r="Z29" s="4488"/>
      <c r="AA29" s="4467"/>
      <c r="AB29" s="4406"/>
      <c r="AC29" s="4467"/>
      <c r="AD29" s="4406"/>
      <c r="AE29" s="4459"/>
      <c r="AF29" s="4488"/>
      <c r="AG29" s="4459"/>
      <c r="AH29" s="4488"/>
      <c r="AI29" s="4459"/>
      <c r="AJ29" s="4488"/>
      <c r="AK29" s="4459"/>
      <c r="AL29" s="4488"/>
      <c r="AM29" s="4459"/>
      <c r="AN29" s="4488"/>
      <c r="AO29" s="4459"/>
      <c r="AP29" s="4488"/>
      <c r="AQ29" s="4459"/>
      <c r="AR29" s="4488"/>
      <c r="AS29" s="4459"/>
      <c r="AT29" s="4488"/>
      <c r="AU29" s="4459"/>
      <c r="AV29" s="4488"/>
      <c r="AW29" s="4406"/>
      <c r="AX29" s="4485"/>
      <c r="AY29" s="4485"/>
      <c r="AZ29" s="4486"/>
      <c r="BA29" s="4406"/>
      <c r="BB29" s="4406"/>
      <c r="BC29" s="4492"/>
      <c r="BD29" s="4492"/>
      <c r="BE29" s="4492"/>
      <c r="BF29" s="4492"/>
      <c r="BG29" s="4484"/>
    </row>
    <row r="30" spans="1:62" s="263" customFormat="1" ht="55.5" customHeight="1" x14ac:dyDescent="0.2">
      <c r="A30" s="4413"/>
      <c r="B30" s="4414"/>
      <c r="C30" s="4404"/>
      <c r="D30" s="4404"/>
      <c r="E30" s="4404"/>
      <c r="F30" s="4404"/>
      <c r="G30" s="4461"/>
      <c r="H30" s="4462"/>
      <c r="I30" s="4463"/>
      <c r="J30" s="4404"/>
      <c r="K30" s="4407"/>
      <c r="L30" s="4407"/>
      <c r="M30" s="4406"/>
      <c r="N30" s="4465"/>
      <c r="O30" s="4469"/>
      <c r="P30" s="4471"/>
      <c r="Q30" s="4427"/>
      <c r="R30" s="4474"/>
      <c r="S30" s="4466"/>
      <c r="T30" s="266">
        <v>30000000</v>
      </c>
      <c r="U30" s="620"/>
      <c r="V30" s="620"/>
      <c r="W30" s="4443"/>
      <c r="X30" s="621" t="s">
        <v>1500</v>
      </c>
      <c r="Y30" s="4459"/>
      <c r="Z30" s="4488"/>
      <c r="AA30" s="4467"/>
      <c r="AB30" s="4406"/>
      <c r="AC30" s="4467"/>
      <c r="AD30" s="4406"/>
      <c r="AE30" s="4459"/>
      <c r="AF30" s="4488"/>
      <c r="AG30" s="4459"/>
      <c r="AH30" s="4488"/>
      <c r="AI30" s="4459"/>
      <c r="AJ30" s="4488"/>
      <c r="AK30" s="4459"/>
      <c r="AL30" s="4488"/>
      <c r="AM30" s="4459"/>
      <c r="AN30" s="4488"/>
      <c r="AO30" s="4459"/>
      <c r="AP30" s="4488"/>
      <c r="AQ30" s="4459"/>
      <c r="AR30" s="4488"/>
      <c r="AS30" s="4459"/>
      <c r="AT30" s="4488"/>
      <c r="AU30" s="4459"/>
      <c r="AV30" s="4488"/>
      <c r="AW30" s="4406"/>
      <c r="AX30" s="4485"/>
      <c r="AY30" s="4485"/>
      <c r="AZ30" s="4486"/>
      <c r="BA30" s="4406"/>
      <c r="BB30" s="4406"/>
      <c r="BC30" s="4492"/>
      <c r="BD30" s="4492"/>
      <c r="BE30" s="4492"/>
      <c r="BF30" s="4492"/>
      <c r="BG30" s="4484"/>
    </row>
    <row r="31" spans="1:62" s="263" customFormat="1" ht="55.5" customHeight="1" x14ac:dyDescent="0.2">
      <c r="A31" s="4413"/>
      <c r="B31" s="4414"/>
      <c r="C31" s="4404"/>
      <c r="D31" s="4404"/>
      <c r="E31" s="4404"/>
      <c r="F31" s="4404"/>
      <c r="G31" s="618">
        <v>208</v>
      </c>
      <c r="H31" s="617" t="s">
        <v>1504</v>
      </c>
      <c r="I31" s="618" t="s">
        <v>1457</v>
      </c>
      <c r="J31" s="618">
        <v>1</v>
      </c>
      <c r="K31" s="618">
        <v>0</v>
      </c>
      <c r="L31" s="256" t="s">
        <v>1505</v>
      </c>
      <c r="M31" s="4407"/>
      <c r="N31" s="4466"/>
      <c r="O31" s="622">
        <f>+T31/P27</f>
        <v>0.10422173428269675</v>
      </c>
      <c r="P31" s="4472"/>
      <c r="Q31" s="4428"/>
      <c r="R31" s="4475"/>
      <c r="S31" s="1956" t="s">
        <v>1503</v>
      </c>
      <c r="T31" s="267">
        <v>20000000</v>
      </c>
      <c r="U31" s="620">
        <v>0</v>
      </c>
      <c r="V31" s="620">
        <v>0</v>
      </c>
      <c r="W31" s="4443"/>
      <c r="X31" s="621" t="s">
        <v>208</v>
      </c>
      <c r="Y31" s="4459"/>
      <c r="Z31" s="4489"/>
      <c r="AA31" s="4467"/>
      <c r="AB31" s="4407"/>
      <c r="AC31" s="4467"/>
      <c r="AD31" s="4407"/>
      <c r="AE31" s="4459"/>
      <c r="AF31" s="4489"/>
      <c r="AG31" s="4459"/>
      <c r="AH31" s="4489"/>
      <c r="AI31" s="4459"/>
      <c r="AJ31" s="4489"/>
      <c r="AK31" s="4459"/>
      <c r="AL31" s="4489"/>
      <c r="AM31" s="4459"/>
      <c r="AN31" s="4489"/>
      <c r="AO31" s="4459"/>
      <c r="AP31" s="4489"/>
      <c r="AQ31" s="4459"/>
      <c r="AR31" s="4489"/>
      <c r="AS31" s="4459"/>
      <c r="AT31" s="4489"/>
      <c r="AU31" s="4459"/>
      <c r="AV31" s="4489"/>
      <c r="AW31" s="4407"/>
      <c r="AX31" s="4481"/>
      <c r="AY31" s="4481"/>
      <c r="AZ31" s="4483"/>
      <c r="BA31" s="4407"/>
      <c r="BB31" s="4406"/>
      <c r="BC31" s="4479"/>
      <c r="BD31" s="4479"/>
      <c r="BE31" s="4479"/>
      <c r="BF31" s="4479"/>
      <c r="BG31" s="4484"/>
    </row>
    <row r="32" spans="1:62" ht="36.75" customHeight="1" x14ac:dyDescent="0.2">
      <c r="A32" s="4413"/>
      <c r="B32" s="4414"/>
      <c r="C32" s="244">
        <v>21</v>
      </c>
      <c r="D32" s="268" t="s">
        <v>1506</v>
      </c>
      <c r="E32" s="269"/>
      <c r="F32" s="269"/>
      <c r="G32" s="269"/>
      <c r="H32" s="270"/>
      <c r="I32" s="269"/>
      <c r="J32" s="269"/>
      <c r="K32" s="269"/>
      <c r="L32" s="269"/>
      <c r="M32" s="269"/>
      <c r="N32" s="270"/>
      <c r="O32" s="269"/>
      <c r="P32" s="269"/>
      <c r="Q32" s="270"/>
      <c r="R32" s="270"/>
      <c r="S32" s="2030"/>
      <c r="T32" s="271"/>
      <c r="U32" s="269"/>
      <c r="V32" s="271"/>
      <c r="W32" s="269"/>
      <c r="X32" s="270"/>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72"/>
      <c r="AX32" s="272"/>
      <c r="AY32" s="272"/>
      <c r="AZ32" s="272"/>
      <c r="BA32" s="272"/>
      <c r="BB32" s="4490"/>
      <c r="BC32" s="4490"/>
      <c r="BD32" s="4490"/>
      <c r="BE32" s="4490"/>
      <c r="BF32" s="4490"/>
      <c r="BG32" s="273"/>
    </row>
    <row r="33" spans="1:59" ht="35.25" customHeight="1" x14ac:dyDescent="0.2">
      <c r="A33" s="4413"/>
      <c r="B33" s="4414"/>
      <c r="C33" s="4404"/>
      <c r="D33" s="4404"/>
      <c r="E33" s="245">
        <v>72</v>
      </c>
      <c r="F33" s="257" t="s">
        <v>1507</v>
      </c>
      <c r="G33" s="257"/>
      <c r="H33" s="247"/>
      <c r="I33" s="257"/>
      <c r="J33" s="257"/>
      <c r="K33" s="257"/>
      <c r="L33" s="257"/>
      <c r="M33" s="257"/>
      <c r="N33" s="247"/>
      <c r="O33" s="257"/>
      <c r="P33" s="257"/>
      <c r="Q33" s="247"/>
      <c r="R33" s="247"/>
      <c r="S33" s="2027"/>
      <c r="T33" s="251"/>
      <c r="U33" s="259"/>
      <c r="V33" s="251"/>
      <c r="W33" s="259"/>
      <c r="X33" s="250"/>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60"/>
      <c r="AX33" s="260"/>
      <c r="AY33" s="260"/>
      <c r="AZ33" s="260"/>
      <c r="BA33" s="260"/>
      <c r="BB33" s="4491"/>
      <c r="BC33" s="4491"/>
      <c r="BD33" s="4491"/>
      <c r="BE33" s="4491"/>
      <c r="BF33" s="4491"/>
      <c r="BG33" s="261"/>
    </row>
    <row r="34" spans="1:59" ht="60.75" customHeight="1" x14ac:dyDescent="0.2">
      <c r="A34" s="4413"/>
      <c r="B34" s="4414"/>
      <c r="C34" s="4404"/>
      <c r="D34" s="4404"/>
      <c r="E34" s="4404"/>
      <c r="F34" s="4404"/>
      <c r="G34" s="4463">
        <v>209</v>
      </c>
      <c r="H34" s="4462" t="s">
        <v>1508</v>
      </c>
      <c r="I34" s="4463" t="s">
        <v>18</v>
      </c>
      <c r="J34" s="4463">
        <v>1</v>
      </c>
      <c r="K34" s="4404">
        <v>0</v>
      </c>
      <c r="L34" s="4404" t="s">
        <v>1509</v>
      </c>
      <c r="M34" s="4404">
        <v>164</v>
      </c>
      <c r="N34" s="4417" t="s">
        <v>1510</v>
      </c>
      <c r="O34" s="4409">
        <f>+(T34+T35)/P34</f>
        <v>0.27356731189633926</v>
      </c>
      <c r="P34" s="4443">
        <v>95604200</v>
      </c>
      <c r="Q34" s="4417" t="s">
        <v>1511</v>
      </c>
      <c r="R34" s="4460" t="s">
        <v>1512</v>
      </c>
      <c r="S34" s="4493" t="s">
        <v>1513</v>
      </c>
      <c r="T34" s="266">
        <v>8000000</v>
      </c>
      <c r="U34" s="620">
        <v>0</v>
      </c>
      <c r="V34" s="620"/>
      <c r="W34" s="4443" t="s">
        <v>1514</v>
      </c>
      <c r="X34" s="621" t="s">
        <v>208</v>
      </c>
      <c r="Y34" s="4405">
        <v>3525</v>
      </c>
      <c r="Z34" s="4500"/>
      <c r="AA34" s="4405">
        <v>17139</v>
      </c>
      <c r="AB34" s="4503">
        <v>488</v>
      </c>
      <c r="AC34" s="4503">
        <v>4167</v>
      </c>
      <c r="AD34" s="4503">
        <v>88</v>
      </c>
      <c r="AE34" s="4405">
        <v>906</v>
      </c>
      <c r="AF34" s="4405"/>
      <c r="AG34" s="4404">
        <v>885</v>
      </c>
      <c r="AH34" s="4405">
        <v>0</v>
      </c>
      <c r="AI34" s="4405">
        <v>718</v>
      </c>
      <c r="AJ34" s="4500">
        <v>0</v>
      </c>
      <c r="AK34" s="4459"/>
      <c r="AL34" s="4487"/>
      <c r="AM34" s="4459"/>
      <c r="AN34" s="4487"/>
      <c r="AO34" s="4459"/>
      <c r="AP34" s="4487"/>
      <c r="AQ34" s="4459"/>
      <c r="AR34" s="4487"/>
      <c r="AS34" s="4404"/>
      <c r="AT34" s="4405"/>
      <c r="AU34" s="4459"/>
      <c r="AV34" s="4487"/>
      <c r="AW34" s="4405">
        <v>1</v>
      </c>
      <c r="AX34" s="4496">
        <v>8500000</v>
      </c>
      <c r="AY34" s="4496">
        <v>1700000</v>
      </c>
      <c r="AZ34" s="4482">
        <f>AY34/AX34</f>
        <v>0.2</v>
      </c>
      <c r="BA34" s="4405" t="s">
        <v>208</v>
      </c>
      <c r="BB34" s="4405" t="s">
        <v>1515</v>
      </c>
      <c r="BC34" s="4451">
        <v>42786</v>
      </c>
      <c r="BD34" s="4451">
        <v>42786</v>
      </c>
      <c r="BE34" s="4451">
        <v>42935</v>
      </c>
      <c r="BF34" s="4451">
        <v>42935</v>
      </c>
      <c r="BG34" s="4452" t="s">
        <v>1466</v>
      </c>
    </row>
    <row r="35" spans="1:59" ht="60.75" customHeight="1" x14ac:dyDescent="0.2">
      <c r="A35" s="4413"/>
      <c r="B35" s="4414"/>
      <c r="C35" s="4404"/>
      <c r="D35" s="4404"/>
      <c r="E35" s="4404"/>
      <c r="F35" s="4404"/>
      <c r="G35" s="4463"/>
      <c r="H35" s="4462"/>
      <c r="I35" s="4463"/>
      <c r="J35" s="4463"/>
      <c r="K35" s="4404"/>
      <c r="L35" s="4404"/>
      <c r="M35" s="4404"/>
      <c r="N35" s="4417"/>
      <c r="O35" s="4409"/>
      <c r="P35" s="4443"/>
      <c r="Q35" s="4417"/>
      <c r="R35" s="4460"/>
      <c r="S35" s="4493"/>
      <c r="T35" s="266">
        <f>30000000-11845816</f>
        <v>18154184</v>
      </c>
      <c r="U35" s="620"/>
      <c r="V35" s="620"/>
      <c r="W35" s="4443"/>
      <c r="X35" s="621" t="s">
        <v>1500</v>
      </c>
      <c r="Y35" s="4406"/>
      <c r="Z35" s="4501"/>
      <c r="AA35" s="4406"/>
      <c r="AB35" s="4504"/>
      <c r="AC35" s="4504"/>
      <c r="AD35" s="4504"/>
      <c r="AE35" s="4406"/>
      <c r="AF35" s="4406"/>
      <c r="AG35" s="4404"/>
      <c r="AH35" s="4406"/>
      <c r="AI35" s="4406"/>
      <c r="AJ35" s="4501"/>
      <c r="AK35" s="4459"/>
      <c r="AL35" s="4488"/>
      <c r="AM35" s="4459"/>
      <c r="AN35" s="4488"/>
      <c r="AO35" s="4459"/>
      <c r="AP35" s="4488"/>
      <c r="AQ35" s="4459"/>
      <c r="AR35" s="4488"/>
      <c r="AS35" s="4404"/>
      <c r="AT35" s="4406"/>
      <c r="AU35" s="4459"/>
      <c r="AV35" s="4488"/>
      <c r="AW35" s="4406"/>
      <c r="AX35" s="4497"/>
      <c r="AY35" s="4497"/>
      <c r="AZ35" s="4486"/>
      <c r="BA35" s="4406"/>
      <c r="BB35" s="4406"/>
      <c r="BC35" s="4451"/>
      <c r="BD35" s="4451"/>
      <c r="BE35" s="4451"/>
      <c r="BF35" s="4451"/>
      <c r="BG35" s="4452"/>
    </row>
    <row r="36" spans="1:59" ht="54" customHeight="1" x14ac:dyDescent="0.2">
      <c r="A36" s="4413"/>
      <c r="B36" s="4414"/>
      <c r="C36" s="4404"/>
      <c r="D36" s="4404"/>
      <c r="E36" s="4404"/>
      <c r="F36" s="4404"/>
      <c r="G36" s="4463">
        <v>210</v>
      </c>
      <c r="H36" s="4462" t="s">
        <v>1516</v>
      </c>
      <c r="I36" s="4463" t="s">
        <v>18</v>
      </c>
      <c r="J36" s="4463">
        <v>1</v>
      </c>
      <c r="K36" s="4404">
        <v>0</v>
      </c>
      <c r="L36" s="4404"/>
      <c r="M36" s="4404"/>
      <c r="N36" s="4417"/>
      <c r="O36" s="4409">
        <f>+(T36+T37)/P34</f>
        <v>0.59254735670608616</v>
      </c>
      <c r="P36" s="4404"/>
      <c r="Q36" s="4417"/>
      <c r="R36" s="4460"/>
      <c r="S36" s="4494" t="s">
        <v>1517</v>
      </c>
      <c r="T36" s="274">
        <v>42000000</v>
      </c>
      <c r="U36" s="620">
        <v>8500000</v>
      </c>
      <c r="V36" s="620">
        <v>1700000</v>
      </c>
      <c r="W36" s="4443"/>
      <c r="X36" s="621" t="s">
        <v>208</v>
      </c>
      <c r="Y36" s="4406"/>
      <c r="Z36" s="4501"/>
      <c r="AA36" s="4406"/>
      <c r="AB36" s="4504"/>
      <c r="AC36" s="4504"/>
      <c r="AD36" s="4504"/>
      <c r="AE36" s="4406"/>
      <c r="AF36" s="4406"/>
      <c r="AG36" s="4404"/>
      <c r="AH36" s="4406"/>
      <c r="AI36" s="4406"/>
      <c r="AJ36" s="4501"/>
      <c r="AK36" s="4459"/>
      <c r="AL36" s="4488"/>
      <c r="AM36" s="4459"/>
      <c r="AN36" s="4488"/>
      <c r="AO36" s="4459"/>
      <c r="AP36" s="4488"/>
      <c r="AQ36" s="4459"/>
      <c r="AR36" s="4488"/>
      <c r="AS36" s="4404"/>
      <c r="AT36" s="4406"/>
      <c r="AU36" s="4459"/>
      <c r="AV36" s="4488"/>
      <c r="AW36" s="4406"/>
      <c r="AX36" s="4497"/>
      <c r="AY36" s="4497"/>
      <c r="AZ36" s="4486"/>
      <c r="BA36" s="4406"/>
      <c r="BB36" s="4406"/>
      <c r="BC36" s="4499"/>
      <c r="BD36" s="4499"/>
      <c r="BE36" s="4499"/>
      <c r="BF36" s="4499"/>
      <c r="BG36" s="4484"/>
    </row>
    <row r="37" spans="1:59" ht="54" customHeight="1" x14ac:dyDescent="0.2">
      <c r="A37" s="4413"/>
      <c r="B37" s="4414"/>
      <c r="C37" s="4404"/>
      <c r="D37" s="4404"/>
      <c r="E37" s="4404"/>
      <c r="F37" s="4404"/>
      <c r="G37" s="4463"/>
      <c r="H37" s="4462"/>
      <c r="I37" s="4463"/>
      <c r="J37" s="4463"/>
      <c r="K37" s="4404"/>
      <c r="L37" s="4404"/>
      <c r="M37" s="4404"/>
      <c r="N37" s="4417"/>
      <c r="O37" s="4409"/>
      <c r="P37" s="4404"/>
      <c r="Q37" s="4417"/>
      <c r="R37" s="4460"/>
      <c r="S37" s="4495"/>
      <c r="T37" s="266">
        <f>38000000-23349984</f>
        <v>14650016</v>
      </c>
      <c r="U37" s="620"/>
      <c r="V37" s="620"/>
      <c r="W37" s="4443"/>
      <c r="X37" s="621" t="s">
        <v>1500</v>
      </c>
      <c r="Y37" s="4406"/>
      <c r="Z37" s="4501"/>
      <c r="AA37" s="4406"/>
      <c r="AB37" s="4504"/>
      <c r="AC37" s="4504"/>
      <c r="AD37" s="4504"/>
      <c r="AE37" s="4406"/>
      <c r="AF37" s="4406"/>
      <c r="AG37" s="4404"/>
      <c r="AH37" s="4406"/>
      <c r="AI37" s="4406"/>
      <c r="AJ37" s="4501"/>
      <c r="AK37" s="4459"/>
      <c r="AL37" s="4488"/>
      <c r="AM37" s="4459"/>
      <c r="AN37" s="4488"/>
      <c r="AO37" s="4459"/>
      <c r="AP37" s="4488"/>
      <c r="AQ37" s="4459"/>
      <c r="AR37" s="4488"/>
      <c r="AS37" s="4404"/>
      <c r="AT37" s="4406"/>
      <c r="AU37" s="4459"/>
      <c r="AV37" s="4488"/>
      <c r="AW37" s="4406"/>
      <c r="AX37" s="4497"/>
      <c r="AY37" s="4497"/>
      <c r="AZ37" s="4486"/>
      <c r="BA37" s="4406"/>
      <c r="BB37" s="4406"/>
      <c r="BC37" s="4499"/>
      <c r="BD37" s="4499"/>
      <c r="BE37" s="4499"/>
      <c r="BF37" s="4499"/>
      <c r="BG37" s="4484"/>
    </row>
    <row r="38" spans="1:59" ht="70.5" customHeight="1" x14ac:dyDescent="0.2">
      <c r="A38" s="4413"/>
      <c r="B38" s="4414"/>
      <c r="C38" s="4404"/>
      <c r="D38" s="4404"/>
      <c r="E38" s="4404"/>
      <c r="F38" s="4404"/>
      <c r="G38" s="618">
        <v>211</v>
      </c>
      <c r="H38" s="617" t="s">
        <v>1518</v>
      </c>
      <c r="I38" s="618" t="s">
        <v>1457</v>
      </c>
      <c r="J38" s="618">
        <v>1</v>
      </c>
      <c r="K38" s="618">
        <v>0</v>
      </c>
      <c r="L38" s="4404"/>
      <c r="M38" s="4404"/>
      <c r="N38" s="4417"/>
      <c r="O38" s="622">
        <f>+(T38)/P34</f>
        <v>0.13388533139757458</v>
      </c>
      <c r="P38" s="4404"/>
      <c r="Q38" s="4417"/>
      <c r="R38" s="4460"/>
      <c r="S38" s="1957" t="s">
        <v>1519</v>
      </c>
      <c r="T38" s="620">
        <f>30000000-17200000</f>
        <v>12800000</v>
      </c>
      <c r="U38" s="620">
        <v>0</v>
      </c>
      <c r="V38" s="620"/>
      <c r="W38" s="4443"/>
      <c r="X38" s="621" t="s">
        <v>1500</v>
      </c>
      <c r="Y38" s="4407"/>
      <c r="Z38" s="4502"/>
      <c r="AA38" s="4407"/>
      <c r="AB38" s="4505"/>
      <c r="AC38" s="4505"/>
      <c r="AD38" s="4505"/>
      <c r="AE38" s="4407"/>
      <c r="AF38" s="4407"/>
      <c r="AG38" s="4404"/>
      <c r="AH38" s="4407"/>
      <c r="AI38" s="4407"/>
      <c r="AJ38" s="4502"/>
      <c r="AK38" s="4459"/>
      <c r="AL38" s="4489"/>
      <c r="AM38" s="4459"/>
      <c r="AN38" s="4489"/>
      <c r="AO38" s="4459"/>
      <c r="AP38" s="4489"/>
      <c r="AQ38" s="4459"/>
      <c r="AR38" s="4489"/>
      <c r="AS38" s="4404"/>
      <c r="AT38" s="4407"/>
      <c r="AU38" s="4459"/>
      <c r="AV38" s="4489"/>
      <c r="AW38" s="4407"/>
      <c r="AX38" s="4498"/>
      <c r="AY38" s="4498"/>
      <c r="AZ38" s="4483"/>
      <c r="BA38" s="4407"/>
      <c r="BB38" s="4407"/>
      <c r="BC38" s="4499"/>
      <c r="BD38" s="4499"/>
      <c r="BE38" s="4499"/>
      <c r="BF38" s="4499"/>
      <c r="BG38" s="4484"/>
    </row>
    <row r="39" spans="1:59" ht="39" customHeight="1" x14ac:dyDescent="0.2">
      <c r="A39" s="4413"/>
      <c r="B39" s="4414"/>
      <c r="C39" s="4404"/>
      <c r="D39" s="4404"/>
      <c r="E39" s="245">
        <v>73</v>
      </c>
      <c r="F39" s="257" t="s">
        <v>1520</v>
      </c>
      <c r="G39" s="257"/>
      <c r="H39" s="247"/>
      <c r="I39" s="257"/>
      <c r="J39" s="257"/>
      <c r="K39" s="257"/>
      <c r="L39" s="257"/>
      <c r="M39" s="257"/>
      <c r="N39" s="247"/>
      <c r="O39" s="257"/>
      <c r="P39" s="257"/>
      <c r="Q39" s="247"/>
      <c r="R39" s="247"/>
      <c r="S39" s="2027"/>
      <c r="T39" s="251"/>
      <c r="U39" s="259"/>
      <c r="V39" s="251"/>
      <c r="W39" s="259"/>
      <c r="X39" s="250"/>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60"/>
      <c r="AX39" s="260"/>
      <c r="AY39" s="260"/>
      <c r="AZ39" s="260"/>
      <c r="BA39" s="260"/>
      <c r="BB39" s="260"/>
      <c r="BC39" s="260"/>
      <c r="BD39" s="260"/>
      <c r="BE39" s="260"/>
      <c r="BF39" s="260"/>
      <c r="BG39" s="261"/>
    </row>
    <row r="40" spans="1:59" ht="111" customHeight="1" x14ac:dyDescent="0.2">
      <c r="A40" s="4413"/>
      <c r="B40" s="4414"/>
      <c r="C40" s="4404"/>
      <c r="D40" s="4404"/>
      <c r="E40" s="4404"/>
      <c r="F40" s="4404"/>
      <c r="G40" s="4404">
        <v>212</v>
      </c>
      <c r="H40" s="4417" t="s">
        <v>1521</v>
      </c>
      <c r="I40" s="4404" t="s">
        <v>1457</v>
      </c>
      <c r="J40" s="4404">
        <v>1</v>
      </c>
      <c r="K40" s="4404">
        <v>0</v>
      </c>
      <c r="L40" s="4404" t="s">
        <v>1522</v>
      </c>
      <c r="M40" s="4404">
        <v>165</v>
      </c>
      <c r="N40" s="4417" t="s">
        <v>1523</v>
      </c>
      <c r="O40" s="4208">
        <v>1</v>
      </c>
      <c r="P40" s="4404">
        <v>154700000</v>
      </c>
      <c r="Q40" s="4417" t="s">
        <v>1524</v>
      </c>
      <c r="R40" s="4417" t="s">
        <v>1525</v>
      </c>
      <c r="S40" s="4417" t="s">
        <v>1526</v>
      </c>
      <c r="T40" s="620">
        <v>51200000</v>
      </c>
      <c r="U40" s="620">
        <v>0</v>
      </c>
      <c r="V40" s="620">
        <v>0</v>
      </c>
      <c r="W40" s="620">
        <v>54</v>
      </c>
      <c r="X40" s="617" t="s">
        <v>1527</v>
      </c>
      <c r="Y40" s="4447">
        <v>3525</v>
      </c>
      <c r="Z40" s="4447"/>
      <c r="AA40" s="4447">
        <v>17139</v>
      </c>
      <c r="AB40" s="4447"/>
      <c r="AC40" s="4447">
        <v>4167</v>
      </c>
      <c r="AD40" s="4447"/>
      <c r="AE40" s="4447">
        <v>906</v>
      </c>
      <c r="AF40" s="4447"/>
      <c r="AG40" s="4447">
        <v>885</v>
      </c>
      <c r="AH40" s="4447"/>
      <c r="AI40" s="4447">
        <v>718</v>
      </c>
      <c r="AJ40" s="4447"/>
      <c r="AK40" s="4447"/>
      <c r="AL40" s="4447"/>
      <c r="AM40" s="4447"/>
      <c r="AN40" s="4447"/>
      <c r="AO40" s="4447"/>
      <c r="AP40" s="4447"/>
      <c r="AQ40" s="4447"/>
      <c r="AR40" s="4447"/>
      <c r="AS40" s="4447"/>
      <c r="AT40" s="4447"/>
      <c r="AU40" s="4447"/>
      <c r="AV40" s="4447"/>
      <c r="AW40" s="4447">
        <v>0</v>
      </c>
      <c r="AX40" s="4447">
        <v>0</v>
      </c>
      <c r="AY40" s="4447">
        <v>0</v>
      </c>
      <c r="AZ40" s="4447">
        <v>0</v>
      </c>
      <c r="BA40" s="4447" t="s">
        <v>154</v>
      </c>
      <c r="BB40" s="4447" t="s">
        <v>154</v>
      </c>
      <c r="BC40" s="4447"/>
      <c r="BD40" s="4447"/>
      <c r="BE40" s="4447"/>
      <c r="BF40" s="4447"/>
      <c r="BG40" s="4447" t="s">
        <v>1528</v>
      </c>
    </row>
    <row r="41" spans="1:59" ht="111" customHeight="1" x14ac:dyDescent="0.2">
      <c r="A41" s="4413"/>
      <c r="B41" s="4414"/>
      <c r="C41" s="4404"/>
      <c r="D41" s="4404"/>
      <c r="E41" s="4404"/>
      <c r="F41" s="4404"/>
      <c r="G41" s="4404"/>
      <c r="H41" s="4417"/>
      <c r="I41" s="4404"/>
      <c r="J41" s="4404"/>
      <c r="K41" s="4404"/>
      <c r="L41" s="4404"/>
      <c r="M41" s="4404"/>
      <c r="N41" s="4417"/>
      <c r="O41" s="4208"/>
      <c r="P41" s="4404"/>
      <c r="Q41" s="4417"/>
      <c r="R41" s="4417"/>
      <c r="S41" s="4417"/>
      <c r="T41" s="620">
        <v>103500000</v>
      </c>
      <c r="U41" s="620"/>
      <c r="V41" s="620"/>
      <c r="W41" s="620"/>
      <c r="X41" s="617" t="s">
        <v>1500</v>
      </c>
      <c r="Y41" s="4447"/>
      <c r="Z41" s="4447"/>
      <c r="AA41" s="4447"/>
      <c r="AB41" s="4447"/>
      <c r="AC41" s="4447"/>
      <c r="AD41" s="4447"/>
      <c r="AE41" s="4447"/>
      <c r="AF41" s="4447"/>
      <c r="AG41" s="4447"/>
      <c r="AH41" s="4447"/>
      <c r="AI41" s="4447"/>
      <c r="AJ41" s="4447"/>
      <c r="AK41" s="4447"/>
      <c r="AL41" s="4447"/>
      <c r="AM41" s="4447"/>
      <c r="AN41" s="4447"/>
      <c r="AO41" s="4447"/>
      <c r="AP41" s="4447"/>
      <c r="AQ41" s="4447"/>
      <c r="AR41" s="4447"/>
      <c r="AS41" s="4447"/>
      <c r="AT41" s="4447"/>
      <c r="AU41" s="4447"/>
      <c r="AV41" s="4447"/>
      <c r="AW41" s="4447"/>
      <c r="AX41" s="4447"/>
      <c r="AY41" s="4447"/>
      <c r="AZ41" s="4447"/>
      <c r="BA41" s="4447"/>
      <c r="BB41" s="4447"/>
      <c r="BC41" s="4447"/>
      <c r="BD41" s="4447"/>
      <c r="BE41" s="4447"/>
      <c r="BF41" s="4447"/>
      <c r="BG41" s="4447"/>
    </row>
    <row r="42" spans="1:59" ht="36" customHeight="1" x14ac:dyDescent="0.2">
      <c r="A42" s="4413"/>
      <c r="B42" s="4414"/>
      <c r="C42" s="275">
        <v>22</v>
      </c>
      <c r="D42" s="276" t="s">
        <v>1529</v>
      </c>
      <c r="E42" s="277"/>
      <c r="F42" s="277"/>
      <c r="G42" s="277"/>
      <c r="H42" s="278"/>
      <c r="I42" s="277"/>
      <c r="J42" s="277"/>
      <c r="K42" s="277"/>
      <c r="L42" s="277"/>
      <c r="M42" s="277"/>
      <c r="N42" s="278"/>
      <c r="O42" s="277"/>
      <c r="P42" s="277"/>
      <c r="Q42" s="278"/>
      <c r="R42" s="278"/>
      <c r="S42" s="2031"/>
      <c r="T42" s="279"/>
      <c r="U42" s="277"/>
      <c r="V42" s="279"/>
      <c r="W42" s="277"/>
      <c r="X42" s="278"/>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80"/>
      <c r="AX42" s="280"/>
      <c r="AY42" s="280"/>
      <c r="AZ42" s="280"/>
      <c r="BA42" s="280"/>
      <c r="BB42" s="280"/>
      <c r="BC42" s="280"/>
      <c r="BD42" s="280"/>
      <c r="BE42" s="280"/>
      <c r="BF42" s="280"/>
      <c r="BG42" s="281"/>
    </row>
    <row r="43" spans="1:59" ht="33.75" customHeight="1" x14ac:dyDescent="0.2">
      <c r="A43" s="4413"/>
      <c r="B43" s="4414"/>
      <c r="C43" s="4506"/>
      <c r="D43" s="4507"/>
      <c r="E43" s="245">
        <v>74</v>
      </c>
      <c r="F43" s="282" t="s">
        <v>1530</v>
      </c>
      <c r="G43" s="283"/>
      <c r="H43" s="284"/>
      <c r="I43" s="283"/>
      <c r="J43" s="283"/>
      <c r="K43" s="283"/>
      <c r="L43" s="283"/>
      <c r="M43" s="283"/>
      <c r="N43" s="284"/>
      <c r="O43" s="283"/>
      <c r="P43" s="283"/>
      <c r="Q43" s="284"/>
      <c r="R43" s="284"/>
      <c r="S43" s="2032"/>
      <c r="T43" s="285"/>
      <c r="U43" s="283"/>
      <c r="V43" s="285"/>
      <c r="W43" s="283"/>
      <c r="X43" s="284"/>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6"/>
      <c r="AX43" s="286"/>
      <c r="AY43" s="286"/>
      <c r="AZ43" s="286"/>
      <c r="BA43" s="286"/>
      <c r="BB43" s="286"/>
      <c r="BC43" s="286"/>
      <c r="BD43" s="286"/>
      <c r="BE43" s="286"/>
      <c r="BF43" s="286"/>
      <c r="BG43" s="287"/>
    </row>
    <row r="44" spans="1:59" ht="146.25" customHeight="1" thickBot="1" x14ac:dyDescent="0.25">
      <c r="A44" s="4413"/>
      <c r="B44" s="4414"/>
      <c r="C44" s="4508"/>
      <c r="D44" s="4509"/>
      <c r="E44" s="4506"/>
      <c r="F44" s="4510"/>
      <c r="G44" s="619">
        <v>213</v>
      </c>
      <c r="H44" s="625" t="s">
        <v>1531</v>
      </c>
      <c r="I44" s="619" t="s">
        <v>1457</v>
      </c>
      <c r="J44" s="619">
        <v>12</v>
      </c>
      <c r="K44" s="619">
        <v>0</v>
      </c>
      <c r="L44" s="619" t="s">
        <v>1532</v>
      </c>
      <c r="M44" s="619">
        <v>166</v>
      </c>
      <c r="N44" s="625" t="s">
        <v>1533</v>
      </c>
      <c r="O44" s="624">
        <v>1</v>
      </c>
      <c r="P44" s="628">
        <v>236949833</v>
      </c>
      <c r="Q44" s="1958" t="s">
        <v>1534</v>
      </c>
      <c r="R44" s="288" t="s">
        <v>1535</v>
      </c>
      <c r="S44" s="1958" t="s">
        <v>1536</v>
      </c>
      <c r="T44" s="627">
        <v>236949833.46000001</v>
      </c>
      <c r="U44" s="627">
        <v>0</v>
      </c>
      <c r="V44" s="627">
        <v>0</v>
      </c>
      <c r="W44" s="627">
        <v>2</v>
      </c>
      <c r="X44" s="625" t="s">
        <v>1537</v>
      </c>
      <c r="Y44" s="289">
        <v>64149</v>
      </c>
      <c r="Z44" s="289"/>
      <c r="AA44" s="289">
        <v>72224</v>
      </c>
      <c r="AB44" s="289"/>
      <c r="AC44" s="289">
        <v>27477</v>
      </c>
      <c r="AD44" s="289"/>
      <c r="AE44" s="619">
        <v>86843</v>
      </c>
      <c r="AF44" s="623"/>
      <c r="AG44" s="619">
        <v>221686</v>
      </c>
      <c r="AH44" s="623"/>
      <c r="AI44" s="289">
        <v>81384</v>
      </c>
      <c r="AJ44" s="289"/>
      <c r="AK44" s="619">
        <v>13208</v>
      </c>
      <c r="AL44" s="623"/>
      <c r="AM44" s="619">
        <v>1817</v>
      </c>
      <c r="AN44" s="623"/>
      <c r="AO44" s="623"/>
      <c r="AP44" s="623"/>
      <c r="AQ44" s="623"/>
      <c r="AR44" s="623"/>
      <c r="AS44" s="289">
        <v>16897</v>
      </c>
      <c r="AT44" s="289"/>
      <c r="AU44" s="290"/>
      <c r="AV44" s="290"/>
      <c r="AW44" s="619">
        <v>0</v>
      </c>
      <c r="AX44" s="619">
        <v>0</v>
      </c>
      <c r="AY44" s="619">
        <v>0</v>
      </c>
      <c r="AZ44" s="619">
        <v>0</v>
      </c>
      <c r="BA44" s="290"/>
      <c r="BB44" s="619" t="s">
        <v>154</v>
      </c>
      <c r="BC44" s="626"/>
      <c r="BD44" s="626"/>
      <c r="BE44" s="626"/>
      <c r="BF44" s="626"/>
      <c r="BG44" s="629" t="s">
        <v>1466</v>
      </c>
    </row>
    <row r="45" spans="1:59" s="297" customFormat="1" ht="29.25" customHeight="1" thickBot="1" x14ac:dyDescent="0.3">
      <c r="A45" s="4511" t="s">
        <v>140</v>
      </c>
      <c r="B45" s="4512"/>
      <c r="C45" s="4512"/>
      <c r="D45" s="4512"/>
      <c r="E45" s="4512"/>
      <c r="F45" s="4512"/>
      <c r="G45" s="4512"/>
      <c r="H45" s="4512"/>
      <c r="I45" s="4512"/>
      <c r="J45" s="4512"/>
      <c r="K45" s="4512"/>
      <c r="L45" s="4512"/>
      <c r="M45" s="4512"/>
      <c r="N45" s="4512"/>
      <c r="O45" s="4513"/>
      <c r="P45" s="291">
        <f>SUM(P20:P44)</f>
        <v>1601481874</v>
      </c>
      <c r="Q45" s="292"/>
      <c r="R45" s="293"/>
      <c r="S45" s="2033"/>
      <c r="T45" s="294">
        <f>SUM(T13:T44)</f>
        <v>1601481873.46</v>
      </c>
      <c r="U45" s="294">
        <f t="shared" ref="U45:V45" si="0">SUM(U13:U44)</f>
        <v>339047127</v>
      </c>
      <c r="V45" s="294">
        <f t="shared" si="0"/>
        <v>62876127</v>
      </c>
      <c r="W45" s="295"/>
      <c r="X45" s="293"/>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455">
        <f>+AX44+AX40+AX34+AX27+AX25+AX21+AX13</f>
        <v>326772127</v>
      </c>
      <c r="AY45" s="456">
        <f>+AY44+AY40+AY34+AY27+AY25+AY21+AY13</f>
        <v>54806127</v>
      </c>
      <c r="AZ45" s="457">
        <f>AY45/AX45</f>
        <v>0.16771971190798657</v>
      </c>
      <c r="BA45" s="296"/>
      <c r="BB45" s="296"/>
      <c r="BC45" s="296"/>
      <c r="BD45" s="296"/>
      <c r="BE45" s="296"/>
      <c r="BF45" s="296"/>
      <c r="BG45" s="458"/>
    </row>
    <row r="47" spans="1:59" x14ac:dyDescent="0.2">
      <c r="Q47" s="299"/>
      <c r="T47" s="300"/>
      <c r="U47" s="301"/>
      <c r="V47" s="300"/>
    </row>
    <row r="52" spans="8:16" x14ac:dyDescent="0.2">
      <c r="P52" s="302"/>
    </row>
    <row r="54" spans="8:16" ht="15" x14ac:dyDescent="0.25">
      <c r="H54" s="303" t="s">
        <v>1466</v>
      </c>
      <c r="I54" s="227"/>
      <c r="J54" s="227"/>
      <c r="K54" s="304"/>
    </row>
    <row r="55" spans="8:16" x14ac:dyDescent="0.2">
      <c r="H55" s="226" t="s">
        <v>1538</v>
      </c>
    </row>
  </sheetData>
  <sheetProtection password="CBEB" sheet="1" objects="1" scenarios="1"/>
  <mergeCells count="377">
    <mergeCell ref="BG40:BG41"/>
    <mergeCell ref="C43:D44"/>
    <mergeCell ref="E44:F44"/>
    <mergeCell ref="A45:O45"/>
    <mergeCell ref="BA40:BA41"/>
    <mergeCell ref="BB40:BB41"/>
    <mergeCell ref="BC40:BC41"/>
    <mergeCell ref="BD40:BD41"/>
    <mergeCell ref="BE40:BE41"/>
    <mergeCell ref="BF40:BF41"/>
    <mergeCell ref="AU40:AU41"/>
    <mergeCell ref="AV40:AV41"/>
    <mergeCell ref="AW40:AW41"/>
    <mergeCell ref="AX40:AX41"/>
    <mergeCell ref="AY40:AY41"/>
    <mergeCell ref="AZ40:AZ41"/>
    <mergeCell ref="AO40:AO41"/>
    <mergeCell ref="AP40:AP41"/>
    <mergeCell ref="AQ40:AQ41"/>
    <mergeCell ref="AR40:AR41"/>
    <mergeCell ref="AS40:AS41"/>
    <mergeCell ref="AT40:AT41"/>
    <mergeCell ref="AI40:AI41"/>
    <mergeCell ref="AJ40:AJ41"/>
    <mergeCell ref="AK40:AK41"/>
    <mergeCell ref="AL40:AL41"/>
    <mergeCell ref="AM40:AM41"/>
    <mergeCell ref="AN40:AN41"/>
    <mergeCell ref="AC40:AC41"/>
    <mergeCell ref="AD40:AD41"/>
    <mergeCell ref="AE40:AE41"/>
    <mergeCell ref="AF40:AF41"/>
    <mergeCell ref="AG40:AG41"/>
    <mergeCell ref="AH40:AH41"/>
    <mergeCell ref="R40:R41"/>
    <mergeCell ref="S40:S41"/>
    <mergeCell ref="Y40:Y41"/>
    <mergeCell ref="Z40:Z41"/>
    <mergeCell ref="AA40:AA41"/>
    <mergeCell ref="AB40:AB41"/>
    <mergeCell ref="L40:L41"/>
    <mergeCell ref="M40:M41"/>
    <mergeCell ref="N40:N41"/>
    <mergeCell ref="O40:O41"/>
    <mergeCell ref="P40:P41"/>
    <mergeCell ref="Q40:Q41"/>
    <mergeCell ref="E40:F41"/>
    <mergeCell ref="G40:G41"/>
    <mergeCell ref="H40:H41"/>
    <mergeCell ref="I40:I41"/>
    <mergeCell ref="J40:J41"/>
    <mergeCell ref="K40:K41"/>
    <mergeCell ref="BD34:BD38"/>
    <mergeCell ref="BE34:BE38"/>
    <mergeCell ref="BF34:BF38"/>
    <mergeCell ref="AQ34:AQ38"/>
    <mergeCell ref="AF34:AF38"/>
    <mergeCell ref="AG34:AG38"/>
    <mergeCell ref="AH34:AH38"/>
    <mergeCell ref="AI34:AI38"/>
    <mergeCell ref="AJ34:AJ38"/>
    <mergeCell ref="AK34:AK38"/>
    <mergeCell ref="Z34:Z38"/>
    <mergeCell ref="AA34:AA38"/>
    <mergeCell ref="AB34:AB38"/>
    <mergeCell ref="AC34:AC38"/>
    <mergeCell ref="AD34:AD38"/>
    <mergeCell ref="AE34:AE38"/>
    <mergeCell ref="P34:P38"/>
    <mergeCell ref="Q34:Q38"/>
    <mergeCell ref="BG34:BG38"/>
    <mergeCell ref="G36:G37"/>
    <mergeCell ref="H36:H37"/>
    <mergeCell ref="I36:I37"/>
    <mergeCell ref="J36:J37"/>
    <mergeCell ref="K36:K37"/>
    <mergeCell ref="O36:O37"/>
    <mergeCell ref="AX34:AX38"/>
    <mergeCell ref="AY34:AY38"/>
    <mergeCell ref="AZ34:AZ38"/>
    <mergeCell ref="BA34:BA38"/>
    <mergeCell ref="BB34:BB38"/>
    <mergeCell ref="BC34:BC38"/>
    <mergeCell ref="AR34:AR38"/>
    <mergeCell ref="AS34:AS38"/>
    <mergeCell ref="AT34:AT38"/>
    <mergeCell ref="AU34:AU38"/>
    <mergeCell ref="AV34:AV38"/>
    <mergeCell ref="AW34:AW38"/>
    <mergeCell ref="AL34:AL38"/>
    <mergeCell ref="AM34:AM38"/>
    <mergeCell ref="AN34:AN38"/>
    <mergeCell ref="AO34:AO38"/>
    <mergeCell ref="AP34:AP38"/>
    <mergeCell ref="S34:S35"/>
    <mergeCell ref="W34:W38"/>
    <mergeCell ref="Y34:Y38"/>
    <mergeCell ref="S36:S37"/>
    <mergeCell ref="J34:J35"/>
    <mergeCell ref="K34:K35"/>
    <mergeCell ref="L34:L38"/>
    <mergeCell ref="M34:M38"/>
    <mergeCell ref="N34:N38"/>
    <mergeCell ref="O34:O35"/>
    <mergeCell ref="O29:O30"/>
    <mergeCell ref="S29:S30"/>
    <mergeCell ref="BB32:BF32"/>
    <mergeCell ref="C33:D41"/>
    <mergeCell ref="BB33:BF33"/>
    <mergeCell ref="E34:F38"/>
    <mergeCell ref="G34:G35"/>
    <mergeCell ref="H34:H35"/>
    <mergeCell ref="I34:I35"/>
    <mergeCell ref="BC27:BC31"/>
    <mergeCell ref="BD27:BD31"/>
    <mergeCell ref="BE27:BE31"/>
    <mergeCell ref="BF27:BF31"/>
    <mergeCell ref="AE27:AE31"/>
    <mergeCell ref="AF27:AF31"/>
    <mergeCell ref="AG27:AG31"/>
    <mergeCell ref="AH27:AH31"/>
    <mergeCell ref="AI27:AI31"/>
    <mergeCell ref="AJ27:AJ31"/>
    <mergeCell ref="Y27:Y31"/>
    <mergeCell ref="Z27:Z31"/>
    <mergeCell ref="AA27:AA31"/>
    <mergeCell ref="AB27:AB31"/>
    <mergeCell ref="R34:R38"/>
    <mergeCell ref="BG27:BG31"/>
    <mergeCell ref="G29:G30"/>
    <mergeCell ref="H29:H30"/>
    <mergeCell ref="I29:I30"/>
    <mergeCell ref="J29:J30"/>
    <mergeCell ref="K29:K30"/>
    <mergeCell ref="AW27:AW31"/>
    <mergeCell ref="AX27:AX31"/>
    <mergeCell ref="AY27:AY31"/>
    <mergeCell ref="AZ27:AZ31"/>
    <mergeCell ref="BA27:BA31"/>
    <mergeCell ref="BB27:BB31"/>
    <mergeCell ref="AQ27:AQ31"/>
    <mergeCell ref="AR27:AR31"/>
    <mergeCell ref="AS27:AS31"/>
    <mergeCell ref="AT27:AT31"/>
    <mergeCell ref="AU27:AU31"/>
    <mergeCell ref="AV27:AV31"/>
    <mergeCell ref="AK27:AK31"/>
    <mergeCell ref="AL27:AL31"/>
    <mergeCell ref="AM27:AM31"/>
    <mergeCell ref="AN27:AN31"/>
    <mergeCell ref="AO27:AO31"/>
    <mergeCell ref="AP27:AP31"/>
    <mergeCell ref="AC27:AC31"/>
    <mergeCell ref="AD27:AD31"/>
    <mergeCell ref="O27:O28"/>
    <mergeCell ref="P27:P31"/>
    <mergeCell ref="Q27:Q31"/>
    <mergeCell ref="R27:R31"/>
    <mergeCell ref="S27:S28"/>
    <mergeCell ref="W27:W31"/>
    <mergeCell ref="BG24:BG25"/>
    <mergeCell ref="BA24:BA25"/>
    <mergeCell ref="BB24:BB25"/>
    <mergeCell ref="BC24:BC25"/>
    <mergeCell ref="BD24:BD25"/>
    <mergeCell ref="BE24:BE25"/>
    <mergeCell ref="BF24:BF25"/>
    <mergeCell ref="AU24:AU25"/>
    <mergeCell ref="AV24:AV25"/>
    <mergeCell ref="AW24:AW25"/>
    <mergeCell ref="AX24:AX25"/>
    <mergeCell ref="AY24:AY25"/>
    <mergeCell ref="AZ24:AZ25"/>
    <mergeCell ref="AO24:AO25"/>
    <mergeCell ref="AP24:AP25"/>
    <mergeCell ref="AQ24:AQ25"/>
    <mergeCell ref="E27:F31"/>
    <mergeCell ref="G27:G28"/>
    <mergeCell ref="H27:H28"/>
    <mergeCell ref="I27:I28"/>
    <mergeCell ref="J27:J28"/>
    <mergeCell ref="K27:K28"/>
    <mergeCell ref="L27:L28"/>
    <mergeCell ref="M27:M31"/>
    <mergeCell ref="N27:N31"/>
    <mergeCell ref="L29:L30"/>
    <mergeCell ref="AR24:AR25"/>
    <mergeCell ref="AS24:AS25"/>
    <mergeCell ref="AT24:AT25"/>
    <mergeCell ref="AI24:AI25"/>
    <mergeCell ref="AJ24:AJ25"/>
    <mergeCell ref="AK24:AK25"/>
    <mergeCell ref="AL24:AL25"/>
    <mergeCell ref="AM24:AM25"/>
    <mergeCell ref="AN24:AN25"/>
    <mergeCell ref="AC24:AC25"/>
    <mergeCell ref="AD24:AD25"/>
    <mergeCell ref="AE24:AE25"/>
    <mergeCell ref="AF24:AF25"/>
    <mergeCell ref="AG24:AG25"/>
    <mergeCell ref="AH24:AH25"/>
    <mergeCell ref="R24:R25"/>
    <mergeCell ref="S24:S25"/>
    <mergeCell ref="Y24:Y25"/>
    <mergeCell ref="Z24:Z25"/>
    <mergeCell ref="AA24:AA25"/>
    <mergeCell ref="AB24:AB25"/>
    <mergeCell ref="K24:K25"/>
    <mergeCell ref="M24:M25"/>
    <mergeCell ref="N24:N25"/>
    <mergeCell ref="O24:O25"/>
    <mergeCell ref="P24:P25"/>
    <mergeCell ref="Q24:Q25"/>
    <mergeCell ref="BC21:BC22"/>
    <mergeCell ref="BD21:BD22"/>
    <mergeCell ref="BE21:BE22"/>
    <mergeCell ref="AP21:AP22"/>
    <mergeCell ref="AE21:AE22"/>
    <mergeCell ref="AF21:AF22"/>
    <mergeCell ref="AG21:AG22"/>
    <mergeCell ref="AH21:AH22"/>
    <mergeCell ref="AI21:AI22"/>
    <mergeCell ref="AJ21:AJ22"/>
    <mergeCell ref="Y21:Y22"/>
    <mergeCell ref="Z21:Z22"/>
    <mergeCell ref="AA21:AA22"/>
    <mergeCell ref="AB21:AB22"/>
    <mergeCell ref="AC21:AC22"/>
    <mergeCell ref="AD21:AD22"/>
    <mergeCell ref="N21:N22"/>
    <mergeCell ref="O21:O22"/>
    <mergeCell ref="BF21:BF22"/>
    <mergeCell ref="BG21:BG22"/>
    <mergeCell ref="E24:F25"/>
    <mergeCell ref="G24:G25"/>
    <mergeCell ref="H24:H25"/>
    <mergeCell ref="I24:I25"/>
    <mergeCell ref="J24:J25"/>
    <mergeCell ref="AW21:AW22"/>
    <mergeCell ref="AX21:AX22"/>
    <mergeCell ref="AY21:AY22"/>
    <mergeCell ref="AZ21:AZ22"/>
    <mergeCell ref="BA21:BA22"/>
    <mergeCell ref="BB21:BB22"/>
    <mergeCell ref="AQ21:AQ22"/>
    <mergeCell ref="AR21:AR22"/>
    <mergeCell ref="AS21:AS22"/>
    <mergeCell ref="AT21:AT22"/>
    <mergeCell ref="AU21:AU22"/>
    <mergeCell ref="AV21:AV22"/>
    <mergeCell ref="AK21:AK22"/>
    <mergeCell ref="AL21:AL22"/>
    <mergeCell ref="AM21:AM22"/>
    <mergeCell ref="AN21:AN22"/>
    <mergeCell ref="AO21:AO22"/>
    <mergeCell ref="P21:P22"/>
    <mergeCell ref="Q21:Q22"/>
    <mergeCell ref="R21:R22"/>
    <mergeCell ref="S21:S22"/>
    <mergeCell ref="BF13:BF19"/>
    <mergeCell ref="BG13:BG19"/>
    <mergeCell ref="E21:F22"/>
    <mergeCell ref="G21:G22"/>
    <mergeCell ref="H21:H22"/>
    <mergeCell ref="I21:I22"/>
    <mergeCell ref="J21:J22"/>
    <mergeCell ref="K21:K22"/>
    <mergeCell ref="L21:L22"/>
    <mergeCell ref="M21:M22"/>
    <mergeCell ref="AZ13:AZ19"/>
    <mergeCell ref="BA13:BA19"/>
    <mergeCell ref="BB13:BB19"/>
    <mergeCell ref="BC13:BC19"/>
    <mergeCell ref="BD13:BD19"/>
    <mergeCell ref="BE13:BE19"/>
    <mergeCell ref="AT13:AT19"/>
    <mergeCell ref="AU13:AU19"/>
    <mergeCell ref="AV13:AV19"/>
    <mergeCell ref="AW13:AW19"/>
    <mergeCell ref="AB13:AB19"/>
    <mergeCell ref="AX13:AX19"/>
    <mergeCell ref="AY13:AY19"/>
    <mergeCell ref="AN13:AN19"/>
    <mergeCell ref="AO13:AO19"/>
    <mergeCell ref="AP13:AP19"/>
    <mergeCell ref="AQ13:AQ19"/>
    <mergeCell ref="AR13:AR19"/>
    <mergeCell ref="AS13:AS19"/>
    <mergeCell ref="AH13:AH19"/>
    <mergeCell ref="AI13:AI19"/>
    <mergeCell ref="AJ13:AJ19"/>
    <mergeCell ref="AK13:AK19"/>
    <mergeCell ref="AL13:AL19"/>
    <mergeCell ref="AM13:AM19"/>
    <mergeCell ref="AO8:AP8"/>
    <mergeCell ref="W8:W9"/>
    <mergeCell ref="X8:X9"/>
    <mergeCell ref="M8:M9"/>
    <mergeCell ref="N8:N9"/>
    <mergeCell ref="O8:O9"/>
    <mergeCell ref="P8:P9"/>
    <mergeCell ref="AC13:AC19"/>
    <mergeCell ref="AD13:AD19"/>
    <mergeCell ref="P13:P19"/>
    <mergeCell ref="Q13:Q19"/>
    <mergeCell ref="R13:R19"/>
    <mergeCell ref="S13:S17"/>
    <mergeCell ref="T13:T16"/>
    <mergeCell ref="U13:U16"/>
    <mergeCell ref="AE13:AE19"/>
    <mergeCell ref="AF13:AF19"/>
    <mergeCell ref="AG13:AG19"/>
    <mergeCell ref="V13:V16"/>
    <mergeCell ref="W13:W16"/>
    <mergeCell ref="X13:X16"/>
    <mergeCell ref="Y13:Y19"/>
    <mergeCell ref="Z13:Z19"/>
    <mergeCell ref="AA13:AA19"/>
    <mergeCell ref="T8:V8"/>
    <mergeCell ref="J13:J18"/>
    <mergeCell ref="K13:K18"/>
    <mergeCell ref="L13:L16"/>
    <mergeCell ref="M13:M19"/>
    <mergeCell ref="N13:N19"/>
    <mergeCell ref="O13:O18"/>
    <mergeCell ref="BE8:BF8"/>
    <mergeCell ref="B10:BG10"/>
    <mergeCell ref="A11:B44"/>
    <mergeCell ref="D11:BG11"/>
    <mergeCell ref="C12:D31"/>
    <mergeCell ref="E13:F19"/>
    <mergeCell ref="G13:G18"/>
    <mergeCell ref="H13:H18"/>
    <mergeCell ref="I13:I18"/>
    <mergeCell ref="AW8:AW9"/>
    <mergeCell ref="AX8:AX9"/>
    <mergeCell ref="AY8:AY9"/>
    <mergeCell ref="AZ8:AZ9"/>
    <mergeCell ref="BA8:BA9"/>
    <mergeCell ref="BB8:BB9"/>
    <mergeCell ref="AK8:AL8"/>
    <mergeCell ref="AM8:AN8"/>
    <mergeCell ref="BC8:BD8"/>
    <mergeCell ref="AA8:AB8"/>
    <mergeCell ref="A8:A9"/>
    <mergeCell ref="B8:B9"/>
    <mergeCell ref="C8:C9"/>
    <mergeCell ref="D8:D9"/>
    <mergeCell ref="E8:E9"/>
    <mergeCell ref="F8:F9"/>
    <mergeCell ref="G8:G9"/>
    <mergeCell ref="H8:H9"/>
    <mergeCell ref="I8:I9"/>
    <mergeCell ref="AQ8:AR8"/>
    <mergeCell ref="AS8:AT8"/>
    <mergeCell ref="AU8:AV8"/>
    <mergeCell ref="J8:K8"/>
    <mergeCell ref="L8:L9"/>
    <mergeCell ref="Y8:Z8"/>
    <mergeCell ref="AC8:AD8"/>
    <mergeCell ref="AE8:AF8"/>
    <mergeCell ref="AG8:AH8"/>
    <mergeCell ref="AI8:AJ8"/>
    <mergeCell ref="Q8:Q9"/>
    <mergeCell ref="R8:R9"/>
    <mergeCell ref="S8:S9"/>
    <mergeCell ref="A1:BE4"/>
    <mergeCell ref="A5:K7"/>
    <mergeCell ref="L5:BG5"/>
    <mergeCell ref="L6:X6"/>
    <mergeCell ref="Y6:AV6"/>
    <mergeCell ref="AW6:BG6"/>
    <mergeCell ref="L7:X7"/>
    <mergeCell ref="Y7:AI7"/>
    <mergeCell ref="AK7:AV7"/>
    <mergeCell ref="AW7:BB7"/>
    <mergeCell ref="BC7:BG7"/>
  </mergeCells>
  <pageMargins left="0.7" right="0.7" top="0.75" bottom="0.75" header="0.3" footer="0.3"/>
  <pageSetup paperSize="5" scale="9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BH664"/>
  <sheetViews>
    <sheetView showGridLines="0" zoomScale="60" zoomScaleNormal="60" workbookViewId="0">
      <selection sqref="A1:BE4"/>
    </sheetView>
  </sheetViews>
  <sheetFormatPr baseColWidth="10" defaultColWidth="11.42578125" defaultRowHeight="15" x14ac:dyDescent="0.2"/>
  <cols>
    <col min="1" max="1" width="11.28515625" style="2329" customWidth="1"/>
    <col min="2" max="2" width="20.140625" style="2329" customWidth="1"/>
    <col min="3" max="3" width="10.42578125" style="2329" customWidth="1"/>
    <col min="4" max="4" width="21.7109375" style="2329" customWidth="1"/>
    <col min="5" max="5" width="12.28515625" style="2404" customWidth="1"/>
    <col min="6" max="6" width="21.7109375" style="2329" customWidth="1"/>
    <col min="7" max="7" width="10.85546875" style="2404" customWidth="1"/>
    <col min="8" max="8" width="28.140625" style="2405" customWidth="1"/>
    <col min="9" max="9" width="22" style="2405" customWidth="1"/>
    <col min="10" max="11" width="15.28515625" style="2405" customWidth="1"/>
    <col min="12" max="13" width="19" style="2405" customWidth="1"/>
    <col min="14" max="14" width="27.140625" style="2406" bestFit="1" customWidth="1"/>
    <col min="15" max="15" width="14.85546875" style="2407" customWidth="1"/>
    <col min="16" max="16" width="25.85546875" style="2405" customWidth="1"/>
    <col min="17" max="17" width="29.7109375" style="2405" customWidth="1"/>
    <col min="18" max="18" width="43.7109375" style="2405" customWidth="1"/>
    <col min="19" max="19" width="28.7109375" style="2408" customWidth="1"/>
    <col min="20" max="22" width="25.7109375" style="2408" customWidth="1"/>
    <col min="23" max="23" width="11.28515625" style="2408" bestFit="1" customWidth="1"/>
    <col min="24" max="24" width="20.85546875" style="2408" customWidth="1"/>
    <col min="25" max="48" width="9.85546875" style="2329" customWidth="1"/>
    <col min="49" max="49" width="17.42578125" style="2329" customWidth="1"/>
    <col min="50" max="50" width="25.7109375" style="2329" customWidth="1"/>
    <col min="51" max="51" width="26.42578125" style="2329" customWidth="1"/>
    <col min="52" max="53" width="17.42578125" style="2329" customWidth="1"/>
    <col min="54" max="54" width="17.42578125" style="2395" customWidth="1"/>
    <col min="55" max="55" width="15.7109375" style="2396" customWidth="1"/>
    <col min="56" max="57" width="16.42578125" style="2409" customWidth="1"/>
    <col min="58" max="58" width="16.42578125" style="2410" customWidth="1"/>
    <col min="59" max="59" width="16" style="2329" customWidth="1"/>
    <col min="60" max="275" width="11.42578125" style="2329"/>
    <col min="276" max="276" width="9.140625" style="2329" customWidth="1"/>
    <col min="277" max="277" width="20.140625" style="2329" customWidth="1"/>
    <col min="278" max="278" width="9.140625" style="2329" customWidth="1"/>
    <col min="279" max="279" width="21.7109375" style="2329" customWidth="1"/>
    <col min="280" max="280" width="9.140625" style="2329" customWidth="1"/>
    <col min="281" max="281" width="21.7109375" style="2329" customWidth="1"/>
    <col min="282" max="282" width="9.140625" style="2329" customWidth="1"/>
    <col min="283" max="283" width="28.140625" style="2329" customWidth="1"/>
    <col min="284" max="284" width="22" style="2329" customWidth="1"/>
    <col min="285" max="285" width="39.85546875" style="2329" customWidth="1"/>
    <col min="286" max="286" width="19" style="2329" customWidth="1"/>
    <col min="287" max="287" width="27.140625" style="2329" bestFit="1" customWidth="1"/>
    <col min="288" max="288" width="14.85546875" style="2329" customWidth="1"/>
    <col min="289" max="289" width="20.28515625" style="2329" customWidth="1"/>
    <col min="290" max="290" width="16.42578125" style="2329" customWidth="1"/>
    <col min="291" max="291" width="43.7109375" style="2329" customWidth="1"/>
    <col min="292" max="292" width="28.7109375" style="2329" customWidth="1"/>
    <col min="293" max="294" width="20.85546875" style="2329" customWidth="1"/>
    <col min="295" max="306" width="9.85546875" style="2329" customWidth="1"/>
    <col min="307" max="307" width="15.7109375" style="2329" customWidth="1"/>
    <col min="308" max="308" width="16.42578125" style="2329" customWidth="1"/>
    <col min="309" max="309" width="28.7109375" style="2329" customWidth="1"/>
    <col min="310" max="310" width="21.42578125" style="2329" customWidth="1"/>
    <col min="311" max="311" width="15.7109375" style="2329" bestFit="1" customWidth="1"/>
    <col min="312" max="531" width="11.42578125" style="2329"/>
    <col min="532" max="532" width="9.140625" style="2329" customWidth="1"/>
    <col min="533" max="533" width="20.140625" style="2329" customWidth="1"/>
    <col min="534" max="534" width="9.140625" style="2329" customWidth="1"/>
    <col min="535" max="535" width="21.7109375" style="2329" customWidth="1"/>
    <col min="536" max="536" width="9.140625" style="2329" customWidth="1"/>
    <col min="537" max="537" width="21.7109375" style="2329" customWidth="1"/>
    <col min="538" max="538" width="9.140625" style="2329" customWidth="1"/>
    <col min="539" max="539" width="28.140625" style="2329" customWidth="1"/>
    <col min="540" max="540" width="22" style="2329" customWidth="1"/>
    <col min="541" max="541" width="39.85546875" style="2329" customWidth="1"/>
    <col min="542" max="542" width="19" style="2329" customWidth="1"/>
    <col min="543" max="543" width="27.140625" style="2329" bestFit="1" customWidth="1"/>
    <col min="544" max="544" width="14.85546875" style="2329" customWidth="1"/>
    <col min="545" max="545" width="20.28515625" style="2329" customWidth="1"/>
    <col min="546" max="546" width="16.42578125" style="2329" customWidth="1"/>
    <col min="547" max="547" width="43.7109375" style="2329" customWidth="1"/>
    <col min="548" max="548" width="28.7109375" style="2329" customWidth="1"/>
    <col min="549" max="550" width="20.85546875" style="2329" customWidth="1"/>
    <col min="551" max="562" width="9.85546875" style="2329" customWidth="1"/>
    <col min="563" max="563" width="15.7109375" style="2329" customWidth="1"/>
    <col min="564" max="564" width="16.42578125" style="2329" customWidth="1"/>
    <col min="565" max="565" width="28.7109375" style="2329" customWidth="1"/>
    <col min="566" max="566" width="21.42578125" style="2329" customWidth="1"/>
    <col min="567" max="567" width="15.7109375" style="2329" bestFit="1" customWidth="1"/>
    <col min="568" max="787" width="11.42578125" style="2329"/>
    <col min="788" max="788" width="9.140625" style="2329" customWidth="1"/>
    <col min="789" max="789" width="20.140625" style="2329" customWidth="1"/>
    <col min="790" max="790" width="9.140625" style="2329" customWidth="1"/>
    <col min="791" max="791" width="21.7109375" style="2329" customWidth="1"/>
    <col min="792" max="792" width="9.140625" style="2329" customWidth="1"/>
    <col min="793" max="793" width="21.7109375" style="2329" customWidth="1"/>
    <col min="794" max="794" width="9.140625" style="2329" customWidth="1"/>
    <col min="795" max="795" width="28.140625" style="2329" customWidth="1"/>
    <col min="796" max="796" width="22" style="2329" customWidth="1"/>
    <col min="797" max="797" width="39.85546875" style="2329" customWidth="1"/>
    <col min="798" max="798" width="19" style="2329" customWidth="1"/>
    <col min="799" max="799" width="27.140625" style="2329" bestFit="1" customWidth="1"/>
    <col min="800" max="800" width="14.85546875" style="2329" customWidth="1"/>
    <col min="801" max="801" width="20.28515625" style="2329" customWidth="1"/>
    <col min="802" max="802" width="16.42578125" style="2329" customWidth="1"/>
    <col min="803" max="803" width="43.7109375" style="2329" customWidth="1"/>
    <col min="804" max="804" width="28.7109375" style="2329" customWidth="1"/>
    <col min="805" max="806" width="20.85546875" style="2329" customWidth="1"/>
    <col min="807" max="818" width="9.85546875" style="2329" customWidth="1"/>
    <col min="819" max="819" width="15.7109375" style="2329" customWidth="1"/>
    <col min="820" max="820" width="16.42578125" style="2329" customWidth="1"/>
    <col min="821" max="821" width="28.7109375" style="2329" customWidth="1"/>
    <col min="822" max="822" width="21.42578125" style="2329" customWidth="1"/>
    <col min="823" max="823" width="15.7109375" style="2329" bestFit="1" customWidth="1"/>
    <col min="824" max="1043" width="11.42578125" style="2329"/>
    <col min="1044" max="1044" width="9.140625" style="2329" customWidth="1"/>
    <col min="1045" max="1045" width="20.140625" style="2329" customWidth="1"/>
    <col min="1046" max="1046" width="9.140625" style="2329" customWidth="1"/>
    <col min="1047" max="1047" width="21.7109375" style="2329" customWidth="1"/>
    <col min="1048" max="1048" width="9.140625" style="2329" customWidth="1"/>
    <col min="1049" max="1049" width="21.7109375" style="2329" customWidth="1"/>
    <col min="1050" max="1050" width="9.140625" style="2329" customWidth="1"/>
    <col min="1051" max="1051" width="28.140625" style="2329" customWidth="1"/>
    <col min="1052" max="1052" width="22" style="2329" customWidth="1"/>
    <col min="1053" max="1053" width="39.85546875" style="2329" customWidth="1"/>
    <col min="1054" max="1054" width="19" style="2329" customWidth="1"/>
    <col min="1055" max="1055" width="27.140625" style="2329" bestFit="1" customWidth="1"/>
    <col min="1056" max="1056" width="14.85546875" style="2329" customWidth="1"/>
    <col min="1057" max="1057" width="20.28515625" style="2329" customWidth="1"/>
    <col min="1058" max="1058" width="16.42578125" style="2329" customWidth="1"/>
    <col min="1059" max="1059" width="43.7109375" style="2329" customWidth="1"/>
    <col min="1060" max="1060" width="28.7109375" style="2329" customWidth="1"/>
    <col min="1061" max="1062" width="20.85546875" style="2329" customWidth="1"/>
    <col min="1063" max="1074" width="9.85546875" style="2329" customWidth="1"/>
    <col min="1075" max="1075" width="15.7109375" style="2329" customWidth="1"/>
    <col min="1076" max="1076" width="16.42578125" style="2329" customWidth="1"/>
    <col min="1077" max="1077" width="28.7109375" style="2329" customWidth="1"/>
    <col min="1078" max="1078" width="21.42578125" style="2329" customWidth="1"/>
    <col min="1079" max="1079" width="15.7109375" style="2329" bestFit="1" customWidth="1"/>
    <col min="1080" max="1299" width="11.42578125" style="2329"/>
    <col min="1300" max="1300" width="9.140625" style="2329" customWidth="1"/>
    <col min="1301" max="1301" width="20.140625" style="2329" customWidth="1"/>
    <col min="1302" max="1302" width="9.140625" style="2329" customWidth="1"/>
    <col min="1303" max="1303" width="21.7109375" style="2329" customWidth="1"/>
    <col min="1304" max="1304" width="9.140625" style="2329" customWidth="1"/>
    <col min="1305" max="1305" width="21.7109375" style="2329" customWidth="1"/>
    <col min="1306" max="1306" width="9.140625" style="2329" customWidth="1"/>
    <col min="1307" max="1307" width="28.140625" style="2329" customWidth="1"/>
    <col min="1308" max="1308" width="22" style="2329" customWidth="1"/>
    <col min="1309" max="1309" width="39.85546875" style="2329" customWidth="1"/>
    <col min="1310" max="1310" width="19" style="2329" customWidth="1"/>
    <col min="1311" max="1311" width="27.140625" style="2329" bestFit="1" customWidth="1"/>
    <col min="1312" max="1312" width="14.85546875" style="2329" customWidth="1"/>
    <col min="1313" max="1313" width="20.28515625" style="2329" customWidth="1"/>
    <col min="1314" max="1314" width="16.42578125" style="2329" customWidth="1"/>
    <col min="1315" max="1315" width="43.7109375" style="2329" customWidth="1"/>
    <col min="1316" max="1316" width="28.7109375" style="2329" customWidth="1"/>
    <col min="1317" max="1318" width="20.85546875" style="2329" customWidth="1"/>
    <col min="1319" max="1330" width="9.85546875" style="2329" customWidth="1"/>
    <col min="1331" max="1331" width="15.7109375" style="2329" customWidth="1"/>
    <col min="1332" max="1332" width="16.42578125" style="2329" customWidth="1"/>
    <col min="1333" max="1333" width="28.7109375" style="2329" customWidth="1"/>
    <col min="1334" max="1334" width="21.42578125" style="2329" customWidth="1"/>
    <col min="1335" max="1335" width="15.7109375" style="2329" bestFit="1" customWidth="1"/>
    <col min="1336" max="1555" width="11.42578125" style="2329"/>
    <col min="1556" max="1556" width="9.140625" style="2329" customWidth="1"/>
    <col min="1557" max="1557" width="20.140625" style="2329" customWidth="1"/>
    <col min="1558" max="1558" width="9.140625" style="2329" customWidth="1"/>
    <col min="1559" max="1559" width="21.7109375" style="2329" customWidth="1"/>
    <col min="1560" max="1560" width="9.140625" style="2329" customWidth="1"/>
    <col min="1561" max="1561" width="21.7109375" style="2329" customWidth="1"/>
    <col min="1562" max="1562" width="9.140625" style="2329" customWidth="1"/>
    <col min="1563" max="1563" width="28.140625" style="2329" customWidth="1"/>
    <col min="1564" max="1564" width="22" style="2329" customWidth="1"/>
    <col min="1565" max="1565" width="39.85546875" style="2329" customWidth="1"/>
    <col min="1566" max="1566" width="19" style="2329" customWidth="1"/>
    <col min="1567" max="1567" width="27.140625" style="2329" bestFit="1" customWidth="1"/>
    <col min="1568" max="1568" width="14.85546875" style="2329" customWidth="1"/>
    <col min="1569" max="1569" width="20.28515625" style="2329" customWidth="1"/>
    <col min="1570" max="1570" width="16.42578125" style="2329" customWidth="1"/>
    <col min="1571" max="1571" width="43.7109375" style="2329" customWidth="1"/>
    <col min="1572" max="1572" width="28.7109375" style="2329" customWidth="1"/>
    <col min="1573" max="1574" width="20.85546875" style="2329" customWidth="1"/>
    <col min="1575" max="1586" width="9.85546875" style="2329" customWidth="1"/>
    <col min="1587" max="1587" width="15.7109375" style="2329" customWidth="1"/>
    <col min="1588" max="1588" width="16.42578125" style="2329" customWidth="1"/>
    <col min="1589" max="1589" width="28.7109375" style="2329" customWidth="1"/>
    <col min="1590" max="1590" width="21.42578125" style="2329" customWidth="1"/>
    <col min="1591" max="1591" width="15.7109375" style="2329" bestFit="1" customWidth="1"/>
    <col min="1592" max="1811" width="11.42578125" style="2329"/>
    <col min="1812" max="1812" width="9.140625" style="2329" customWidth="1"/>
    <col min="1813" max="1813" width="20.140625" style="2329" customWidth="1"/>
    <col min="1814" max="1814" width="9.140625" style="2329" customWidth="1"/>
    <col min="1815" max="1815" width="21.7109375" style="2329" customWidth="1"/>
    <col min="1816" max="1816" width="9.140625" style="2329" customWidth="1"/>
    <col min="1817" max="1817" width="21.7109375" style="2329" customWidth="1"/>
    <col min="1818" max="1818" width="9.140625" style="2329" customWidth="1"/>
    <col min="1819" max="1819" width="28.140625" style="2329" customWidth="1"/>
    <col min="1820" max="1820" width="22" style="2329" customWidth="1"/>
    <col min="1821" max="1821" width="39.85546875" style="2329" customWidth="1"/>
    <col min="1822" max="1822" width="19" style="2329" customWidth="1"/>
    <col min="1823" max="1823" width="27.140625" style="2329" bestFit="1" customWidth="1"/>
    <col min="1824" max="1824" width="14.85546875" style="2329" customWidth="1"/>
    <col min="1825" max="1825" width="20.28515625" style="2329" customWidth="1"/>
    <col min="1826" max="1826" width="16.42578125" style="2329" customWidth="1"/>
    <col min="1827" max="1827" width="43.7109375" style="2329" customWidth="1"/>
    <col min="1828" max="1828" width="28.7109375" style="2329" customWidth="1"/>
    <col min="1829" max="1830" width="20.85546875" style="2329" customWidth="1"/>
    <col min="1831" max="1842" width="9.85546875" style="2329" customWidth="1"/>
    <col min="1843" max="1843" width="15.7109375" style="2329" customWidth="1"/>
    <col min="1844" max="1844" width="16.42578125" style="2329" customWidth="1"/>
    <col min="1845" max="1845" width="28.7109375" style="2329" customWidth="1"/>
    <col min="1846" max="1846" width="21.42578125" style="2329" customWidth="1"/>
    <col min="1847" max="1847" width="15.7109375" style="2329" bestFit="1" customWidth="1"/>
    <col min="1848" max="2067" width="11.42578125" style="2329"/>
    <col min="2068" max="2068" width="9.140625" style="2329" customWidth="1"/>
    <col min="2069" max="2069" width="20.140625" style="2329" customWidth="1"/>
    <col min="2070" max="2070" width="9.140625" style="2329" customWidth="1"/>
    <col min="2071" max="2071" width="21.7109375" style="2329" customWidth="1"/>
    <col min="2072" max="2072" width="9.140625" style="2329" customWidth="1"/>
    <col min="2073" max="2073" width="21.7109375" style="2329" customWidth="1"/>
    <col min="2074" max="2074" width="9.140625" style="2329" customWidth="1"/>
    <col min="2075" max="2075" width="28.140625" style="2329" customWidth="1"/>
    <col min="2076" max="2076" width="22" style="2329" customWidth="1"/>
    <col min="2077" max="2077" width="39.85546875" style="2329" customWidth="1"/>
    <col min="2078" max="2078" width="19" style="2329" customWidth="1"/>
    <col min="2079" max="2079" width="27.140625" style="2329" bestFit="1" customWidth="1"/>
    <col min="2080" max="2080" width="14.85546875" style="2329" customWidth="1"/>
    <col min="2081" max="2081" width="20.28515625" style="2329" customWidth="1"/>
    <col min="2082" max="2082" width="16.42578125" style="2329" customWidth="1"/>
    <col min="2083" max="2083" width="43.7109375" style="2329" customWidth="1"/>
    <col min="2084" max="2084" width="28.7109375" style="2329" customWidth="1"/>
    <col min="2085" max="2086" width="20.85546875" style="2329" customWidth="1"/>
    <col min="2087" max="2098" width="9.85546875" style="2329" customWidth="1"/>
    <col min="2099" max="2099" width="15.7109375" style="2329" customWidth="1"/>
    <col min="2100" max="2100" width="16.42578125" style="2329" customWidth="1"/>
    <col min="2101" max="2101" width="28.7109375" style="2329" customWidth="1"/>
    <col min="2102" max="2102" width="21.42578125" style="2329" customWidth="1"/>
    <col min="2103" max="2103" width="15.7109375" style="2329" bestFit="1" customWidth="1"/>
    <col min="2104" max="2323" width="11.42578125" style="2329"/>
    <col min="2324" max="2324" width="9.140625" style="2329" customWidth="1"/>
    <col min="2325" max="2325" width="20.140625" style="2329" customWidth="1"/>
    <col min="2326" max="2326" width="9.140625" style="2329" customWidth="1"/>
    <col min="2327" max="2327" width="21.7109375" style="2329" customWidth="1"/>
    <col min="2328" max="2328" width="9.140625" style="2329" customWidth="1"/>
    <col min="2329" max="2329" width="21.7109375" style="2329" customWidth="1"/>
    <col min="2330" max="2330" width="9.140625" style="2329" customWidth="1"/>
    <col min="2331" max="2331" width="28.140625" style="2329" customWidth="1"/>
    <col min="2332" max="2332" width="22" style="2329" customWidth="1"/>
    <col min="2333" max="2333" width="39.85546875" style="2329" customWidth="1"/>
    <col min="2334" max="2334" width="19" style="2329" customWidth="1"/>
    <col min="2335" max="2335" width="27.140625" style="2329" bestFit="1" customWidth="1"/>
    <col min="2336" max="2336" width="14.85546875" style="2329" customWidth="1"/>
    <col min="2337" max="2337" width="20.28515625" style="2329" customWidth="1"/>
    <col min="2338" max="2338" width="16.42578125" style="2329" customWidth="1"/>
    <col min="2339" max="2339" width="43.7109375" style="2329" customWidth="1"/>
    <col min="2340" max="2340" width="28.7109375" style="2329" customWidth="1"/>
    <col min="2341" max="2342" width="20.85546875" style="2329" customWidth="1"/>
    <col min="2343" max="2354" width="9.85546875" style="2329" customWidth="1"/>
    <col min="2355" max="2355" width="15.7109375" style="2329" customWidth="1"/>
    <col min="2356" max="2356" width="16.42578125" style="2329" customWidth="1"/>
    <col min="2357" max="2357" width="28.7109375" style="2329" customWidth="1"/>
    <col min="2358" max="2358" width="21.42578125" style="2329" customWidth="1"/>
    <col min="2359" max="2359" width="15.7109375" style="2329" bestFit="1" customWidth="1"/>
    <col min="2360" max="2579" width="11.42578125" style="2329"/>
    <col min="2580" max="2580" width="9.140625" style="2329" customWidth="1"/>
    <col min="2581" max="2581" width="20.140625" style="2329" customWidth="1"/>
    <col min="2582" max="2582" width="9.140625" style="2329" customWidth="1"/>
    <col min="2583" max="2583" width="21.7109375" style="2329" customWidth="1"/>
    <col min="2584" max="2584" width="9.140625" style="2329" customWidth="1"/>
    <col min="2585" max="2585" width="21.7109375" style="2329" customWidth="1"/>
    <col min="2586" max="2586" width="9.140625" style="2329" customWidth="1"/>
    <col min="2587" max="2587" width="28.140625" style="2329" customWidth="1"/>
    <col min="2588" max="2588" width="22" style="2329" customWidth="1"/>
    <col min="2589" max="2589" width="39.85546875" style="2329" customWidth="1"/>
    <col min="2590" max="2590" width="19" style="2329" customWidth="1"/>
    <col min="2591" max="2591" width="27.140625" style="2329" bestFit="1" customWidth="1"/>
    <col min="2592" max="2592" width="14.85546875" style="2329" customWidth="1"/>
    <col min="2593" max="2593" width="20.28515625" style="2329" customWidth="1"/>
    <col min="2594" max="2594" width="16.42578125" style="2329" customWidth="1"/>
    <col min="2595" max="2595" width="43.7109375" style="2329" customWidth="1"/>
    <col min="2596" max="2596" width="28.7109375" style="2329" customWidth="1"/>
    <col min="2597" max="2598" width="20.85546875" style="2329" customWidth="1"/>
    <col min="2599" max="2610" width="9.85546875" style="2329" customWidth="1"/>
    <col min="2611" max="2611" width="15.7109375" style="2329" customWidth="1"/>
    <col min="2612" max="2612" width="16.42578125" style="2329" customWidth="1"/>
    <col min="2613" max="2613" width="28.7109375" style="2329" customWidth="1"/>
    <col min="2614" max="2614" width="21.42578125" style="2329" customWidth="1"/>
    <col min="2615" max="2615" width="15.7109375" style="2329" bestFit="1" customWidth="1"/>
    <col min="2616" max="2835" width="11.42578125" style="2329"/>
    <col min="2836" max="2836" width="9.140625" style="2329" customWidth="1"/>
    <col min="2837" max="2837" width="20.140625" style="2329" customWidth="1"/>
    <col min="2838" max="2838" width="9.140625" style="2329" customWidth="1"/>
    <col min="2839" max="2839" width="21.7109375" style="2329" customWidth="1"/>
    <col min="2840" max="2840" width="9.140625" style="2329" customWidth="1"/>
    <col min="2841" max="2841" width="21.7109375" style="2329" customWidth="1"/>
    <col min="2842" max="2842" width="9.140625" style="2329" customWidth="1"/>
    <col min="2843" max="2843" width="28.140625" style="2329" customWidth="1"/>
    <col min="2844" max="2844" width="22" style="2329" customWidth="1"/>
    <col min="2845" max="2845" width="39.85546875" style="2329" customWidth="1"/>
    <col min="2846" max="2846" width="19" style="2329" customWidth="1"/>
    <col min="2847" max="2847" width="27.140625" style="2329" bestFit="1" customWidth="1"/>
    <col min="2848" max="2848" width="14.85546875" style="2329" customWidth="1"/>
    <col min="2849" max="2849" width="20.28515625" style="2329" customWidth="1"/>
    <col min="2850" max="2850" width="16.42578125" style="2329" customWidth="1"/>
    <col min="2851" max="2851" width="43.7109375" style="2329" customWidth="1"/>
    <col min="2852" max="2852" width="28.7109375" style="2329" customWidth="1"/>
    <col min="2853" max="2854" width="20.85546875" style="2329" customWidth="1"/>
    <col min="2855" max="2866" width="9.85546875" style="2329" customWidth="1"/>
    <col min="2867" max="2867" width="15.7109375" style="2329" customWidth="1"/>
    <col min="2868" max="2868" width="16.42578125" style="2329" customWidth="1"/>
    <col min="2869" max="2869" width="28.7109375" style="2329" customWidth="1"/>
    <col min="2870" max="2870" width="21.42578125" style="2329" customWidth="1"/>
    <col min="2871" max="2871" width="15.7109375" style="2329" bestFit="1" customWidth="1"/>
    <col min="2872" max="3091" width="11.42578125" style="2329"/>
    <col min="3092" max="3092" width="9.140625" style="2329" customWidth="1"/>
    <col min="3093" max="3093" width="20.140625" style="2329" customWidth="1"/>
    <col min="3094" max="3094" width="9.140625" style="2329" customWidth="1"/>
    <col min="3095" max="3095" width="21.7109375" style="2329" customWidth="1"/>
    <col min="3096" max="3096" width="9.140625" style="2329" customWidth="1"/>
    <col min="3097" max="3097" width="21.7109375" style="2329" customWidth="1"/>
    <col min="3098" max="3098" width="9.140625" style="2329" customWidth="1"/>
    <col min="3099" max="3099" width="28.140625" style="2329" customWidth="1"/>
    <col min="3100" max="3100" width="22" style="2329" customWidth="1"/>
    <col min="3101" max="3101" width="39.85546875" style="2329" customWidth="1"/>
    <col min="3102" max="3102" width="19" style="2329" customWidth="1"/>
    <col min="3103" max="3103" width="27.140625" style="2329" bestFit="1" customWidth="1"/>
    <col min="3104" max="3104" width="14.85546875" style="2329" customWidth="1"/>
    <col min="3105" max="3105" width="20.28515625" style="2329" customWidth="1"/>
    <col min="3106" max="3106" width="16.42578125" style="2329" customWidth="1"/>
    <col min="3107" max="3107" width="43.7109375" style="2329" customWidth="1"/>
    <col min="3108" max="3108" width="28.7109375" style="2329" customWidth="1"/>
    <col min="3109" max="3110" width="20.85546875" style="2329" customWidth="1"/>
    <col min="3111" max="3122" width="9.85546875" style="2329" customWidth="1"/>
    <col min="3123" max="3123" width="15.7109375" style="2329" customWidth="1"/>
    <col min="3124" max="3124" width="16.42578125" style="2329" customWidth="1"/>
    <col min="3125" max="3125" width="28.7109375" style="2329" customWidth="1"/>
    <col min="3126" max="3126" width="21.42578125" style="2329" customWidth="1"/>
    <col min="3127" max="3127" width="15.7109375" style="2329" bestFit="1" customWidth="1"/>
    <col min="3128" max="3347" width="11.42578125" style="2329"/>
    <col min="3348" max="3348" width="9.140625" style="2329" customWidth="1"/>
    <col min="3349" max="3349" width="20.140625" style="2329" customWidth="1"/>
    <col min="3350" max="3350" width="9.140625" style="2329" customWidth="1"/>
    <col min="3351" max="3351" width="21.7109375" style="2329" customWidth="1"/>
    <col min="3352" max="3352" width="9.140625" style="2329" customWidth="1"/>
    <col min="3353" max="3353" width="21.7109375" style="2329" customWidth="1"/>
    <col min="3354" max="3354" width="9.140625" style="2329" customWidth="1"/>
    <col min="3355" max="3355" width="28.140625" style="2329" customWidth="1"/>
    <col min="3356" max="3356" width="22" style="2329" customWidth="1"/>
    <col min="3357" max="3357" width="39.85546875" style="2329" customWidth="1"/>
    <col min="3358" max="3358" width="19" style="2329" customWidth="1"/>
    <col min="3359" max="3359" width="27.140625" style="2329" bestFit="1" customWidth="1"/>
    <col min="3360" max="3360" width="14.85546875" style="2329" customWidth="1"/>
    <col min="3361" max="3361" width="20.28515625" style="2329" customWidth="1"/>
    <col min="3362" max="3362" width="16.42578125" style="2329" customWidth="1"/>
    <col min="3363" max="3363" width="43.7109375" style="2329" customWidth="1"/>
    <col min="3364" max="3364" width="28.7109375" style="2329" customWidth="1"/>
    <col min="3365" max="3366" width="20.85546875" style="2329" customWidth="1"/>
    <col min="3367" max="3378" width="9.85546875" style="2329" customWidth="1"/>
    <col min="3379" max="3379" width="15.7109375" style="2329" customWidth="1"/>
    <col min="3380" max="3380" width="16.42578125" style="2329" customWidth="1"/>
    <col min="3381" max="3381" width="28.7109375" style="2329" customWidth="1"/>
    <col min="3382" max="3382" width="21.42578125" style="2329" customWidth="1"/>
    <col min="3383" max="3383" width="15.7109375" style="2329" bestFit="1" customWidth="1"/>
    <col min="3384" max="3603" width="11.42578125" style="2329"/>
    <col min="3604" max="3604" width="9.140625" style="2329" customWidth="1"/>
    <col min="3605" max="3605" width="20.140625" style="2329" customWidth="1"/>
    <col min="3606" max="3606" width="9.140625" style="2329" customWidth="1"/>
    <col min="3607" max="3607" width="21.7109375" style="2329" customWidth="1"/>
    <col min="3608" max="3608" width="9.140625" style="2329" customWidth="1"/>
    <col min="3609" max="3609" width="21.7109375" style="2329" customWidth="1"/>
    <col min="3610" max="3610" width="9.140625" style="2329" customWidth="1"/>
    <col min="3611" max="3611" width="28.140625" style="2329" customWidth="1"/>
    <col min="3612" max="3612" width="22" style="2329" customWidth="1"/>
    <col min="3613" max="3613" width="39.85546875" style="2329" customWidth="1"/>
    <col min="3614" max="3614" width="19" style="2329" customWidth="1"/>
    <col min="3615" max="3615" width="27.140625" style="2329" bestFit="1" customWidth="1"/>
    <col min="3616" max="3616" width="14.85546875" style="2329" customWidth="1"/>
    <col min="3617" max="3617" width="20.28515625" style="2329" customWidth="1"/>
    <col min="3618" max="3618" width="16.42578125" style="2329" customWidth="1"/>
    <col min="3619" max="3619" width="43.7109375" style="2329" customWidth="1"/>
    <col min="3620" max="3620" width="28.7109375" style="2329" customWidth="1"/>
    <col min="3621" max="3622" width="20.85546875" style="2329" customWidth="1"/>
    <col min="3623" max="3634" width="9.85546875" style="2329" customWidth="1"/>
    <col min="3635" max="3635" width="15.7109375" style="2329" customWidth="1"/>
    <col min="3636" max="3636" width="16.42578125" style="2329" customWidth="1"/>
    <col min="3637" max="3637" width="28.7109375" style="2329" customWidth="1"/>
    <col min="3638" max="3638" width="21.42578125" style="2329" customWidth="1"/>
    <col min="3639" max="3639" width="15.7109375" style="2329" bestFit="1" customWidth="1"/>
    <col min="3640" max="3859" width="11.42578125" style="2329"/>
    <col min="3860" max="3860" width="9.140625" style="2329" customWidth="1"/>
    <col min="3861" max="3861" width="20.140625" style="2329" customWidth="1"/>
    <col min="3862" max="3862" width="9.140625" style="2329" customWidth="1"/>
    <col min="3863" max="3863" width="21.7109375" style="2329" customWidth="1"/>
    <col min="3864" max="3864" width="9.140625" style="2329" customWidth="1"/>
    <col min="3865" max="3865" width="21.7109375" style="2329" customWidth="1"/>
    <col min="3866" max="3866" width="9.140625" style="2329" customWidth="1"/>
    <col min="3867" max="3867" width="28.140625" style="2329" customWidth="1"/>
    <col min="3868" max="3868" width="22" style="2329" customWidth="1"/>
    <col min="3869" max="3869" width="39.85546875" style="2329" customWidth="1"/>
    <col min="3870" max="3870" width="19" style="2329" customWidth="1"/>
    <col min="3871" max="3871" width="27.140625" style="2329" bestFit="1" customWidth="1"/>
    <col min="3872" max="3872" width="14.85546875" style="2329" customWidth="1"/>
    <col min="3873" max="3873" width="20.28515625" style="2329" customWidth="1"/>
    <col min="3874" max="3874" width="16.42578125" style="2329" customWidth="1"/>
    <col min="3875" max="3875" width="43.7109375" style="2329" customWidth="1"/>
    <col min="3876" max="3876" width="28.7109375" style="2329" customWidth="1"/>
    <col min="3877" max="3878" width="20.85546875" style="2329" customWidth="1"/>
    <col min="3879" max="3890" width="9.85546875" style="2329" customWidth="1"/>
    <col min="3891" max="3891" width="15.7109375" style="2329" customWidth="1"/>
    <col min="3892" max="3892" width="16.42578125" style="2329" customWidth="1"/>
    <col min="3893" max="3893" width="28.7109375" style="2329" customWidth="1"/>
    <col min="3894" max="3894" width="21.42578125" style="2329" customWidth="1"/>
    <col min="3895" max="3895" width="15.7109375" style="2329" bestFit="1" customWidth="1"/>
    <col min="3896" max="4115" width="11.42578125" style="2329"/>
    <col min="4116" max="4116" width="9.140625" style="2329" customWidth="1"/>
    <col min="4117" max="4117" width="20.140625" style="2329" customWidth="1"/>
    <col min="4118" max="4118" width="9.140625" style="2329" customWidth="1"/>
    <col min="4119" max="4119" width="21.7109375" style="2329" customWidth="1"/>
    <col min="4120" max="4120" width="9.140625" style="2329" customWidth="1"/>
    <col min="4121" max="4121" width="21.7109375" style="2329" customWidth="1"/>
    <col min="4122" max="4122" width="9.140625" style="2329" customWidth="1"/>
    <col min="4123" max="4123" width="28.140625" style="2329" customWidth="1"/>
    <col min="4124" max="4124" width="22" style="2329" customWidth="1"/>
    <col min="4125" max="4125" width="39.85546875" style="2329" customWidth="1"/>
    <col min="4126" max="4126" width="19" style="2329" customWidth="1"/>
    <col min="4127" max="4127" width="27.140625" style="2329" bestFit="1" customWidth="1"/>
    <col min="4128" max="4128" width="14.85546875" style="2329" customWidth="1"/>
    <col min="4129" max="4129" width="20.28515625" style="2329" customWidth="1"/>
    <col min="4130" max="4130" width="16.42578125" style="2329" customWidth="1"/>
    <col min="4131" max="4131" width="43.7109375" style="2329" customWidth="1"/>
    <col min="4132" max="4132" width="28.7109375" style="2329" customWidth="1"/>
    <col min="4133" max="4134" width="20.85546875" style="2329" customWidth="1"/>
    <col min="4135" max="4146" width="9.85546875" style="2329" customWidth="1"/>
    <col min="4147" max="4147" width="15.7109375" style="2329" customWidth="1"/>
    <col min="4148" max="4148" width="16.42578125" style="2329" customWidth="1"/>
    <col min="4149" max="4149" width="28.7109375" style="2329" customWidth="1"/>
    <col min="4150" max="4150" width="21.42578125" style="2329" customWidth="1"/>
    <col min="4151" max="4151" width="15.7109375" style="2329" bestFit="1" customWidth="1"/>
    <col min="4152" max="4371" width="11.42578125" style="2329"/>
    <col min="4372" max="4372" width="9.140625" style="2329" customWidth="1"/>
    <col min="4373" max="4373" width="20.140625" style="2329" customWidth="1"/>
    <col min="4374" max="4374" width="9.140625" style="2329" customWidth="1"/>
    <col min="4375" max="4375" width="21.7109375" style="2329" customWidth="1"/>
    <col min="4376" max="4376" width="9.140625" style="2329" customWidth="1"/>
    <col min="4377" max="4377" width="21.7109375" style="2329" customWidth="1"/>
    <col min="4378" max="4378" width="9.140625" style="2329" customWidth="1"/>
    <col min="4379" max="4379" width="28.140625" style="2329" customWidth="1"/>
    <col min="4380" max="4380" width="22" style="2329" customWidth="1"/>
    <col min="4381" max="4381" width="39.85546875" style="2329" customWidth="1"/>
    <col min="4382" max="4382" width="19" style="2329" customWidth="1"/>
    <col min="4383" max="4383" width="27.140625" style="2329" bestFit="1" customWidth="1"/>
    <col min="4384" max="4384" width="14.85546875" style="2329" customWidth="1"/>
    <col min="4385" max="4385" width="20.28515625" style="2329" customWidth="1"/>
    <col min="4386" max="4386" width="16.42578125" style="2329" customWidth="1"/>
    <col min="4387" max="4387" width="43.7109375" style="2329" customWidth="1"/>
    <col min="4388" max="4388" width="28.7109375" style="2329" customWidth="1"/>
    <col min="4389" max="4390" width="20.85546875" style="2329" customWidth="1"/>
    <col min="4391" max="4402" width="9.85546875" style="2329" customWidth="1"/>
    <col min="4403" max="4403" width="15.7109375" style="2329" customWidth="1"/>
    <col min="4404" max="4404" width="16.42578125" style="2329" customWidth="1"/>
    <col min="4405" max="4405" width="28.7109375" style="2329" customWidth="1"/>
    <col min="4406" max="4406" width="21.42578125" style="2329" customWidth="1"/>
    <col min="4407" max="4407" width="15.7109375" style="2329" bestFit="1" customWidth="1"/>
    <col min="4408" max="4627" width="11.42578125" style="2329"/>
    <col min="4628" max="4628" width="9.140625" style="2329" customWidth="1"/>
    <col min="4629" max="4629" width="20.140625" style="2329" customWidth="1"/>
    <col min="4630" max="4630" width="9.140625" style="2329" customWidth="1"/>
    <col min="4631" max="4631" width="21.7109375" style="2329" customWidth="1"/>
    <col min="4632" max="4632" width="9.140625" style="2329" customWidth="1"/>
    <col min="4633" max="4633" width="21.7109375" style="2329" customWidth="1"/>
    <col min="4634" max="4634" width="9.140625" style="2329" customWidth="1"/>
    <col min="4635" max="4635" width="28.140625" style="2329" customWidth="1"/>
    <col min="4636" max="4636" width="22" style="2329" customWidth="1"/>
    <col min="4637" max="4637" width="39.85546875" style="2329" customWidth="1"/>
    <col min="4638" max="4638" width="19" style="2329" customWidth="1"/>
    <col min="4639" max="4639" width="27.140625" style="2329" bestFit="1" customWidth="1"/>
    <col min="4640" max="4640" width="14.85546875" style="2329" customWidth="1"/>
    <col min="4641" max="4641" width="20.28515625" style="2329" customWidth="1"/>
    <col min="4642" max="4642" width="16.42578125" style="2329" customWidth="1"/>
    <col min="4643" max="4643" width="43.7109375" style="2329" customWidth="1"/>
    <col min="4644" max="4644" width="28.7109375" style="2329" customWidth="1"/>
    <col min="4645" max="4646" width="20.85546875" style="2329" customWidth="1"/>
    <col min="4647" max="4658" width="9.85546875" style="2329" customWidth="1"/>
    <col min="4659" max="4659" width="15.7109375" style="2329" customWidth="1"/>
    <col min="4660" max="4660" width="16.42578125" style="2329" customWidth="1"/>
    <col min="4661" max="4661" width="28.7109375" style="2329" customWidth="1"/>
    <col min="4662" max="4662" width="21.42578125" style="2329" customWidth="1"/>
    <col min="4663" max="4663" width="15.7109375" style="2329" bestFit="1" customWidth="1"/>
    <col min="4664" max="4883" width="11.42578125" style="2329"/>
    <col min="4884" max="4884" width="9.140625" style="2329" customWidth="1"/>
    <col min="4885" max="4885" width="20.140625" style="2329" customWidth="1"/>
    <col min="4886" max="4886" width="9.140625" style="2329" customWidth="1"/>
    <col min="4887" max="4887" width="21.7109375" style="2329" customWidth="1"/>
    <col min="4888" max="4888" width="9.140625" style="2329" customWidth="1"/>
    <col min="4889" max="4889" width="21.7109375" style="2329" customWidth="1"/>
    <col min="4890" max="4890" width="9.140625" style="2329" customWidth="1"/>
    <col min="4891" max="4891" width="28.140625" style="2329" customWidth="1"/>
    <col min="4892" max="4892" width="22" style="2329" customWidth="1"/>
    <col min="4893" max="4893" width="39.85546875" style="2329" customWidth="1"/>
    <col min="4894" max="4894" width="19" style="2329" customWidth="1"/>
    <col min="4895" max="4895" width="27.140625" style="2329" bestFit="1" customWidth="1"/>
    <col min="4896" max="4896" width="14.85546875" style="2329" customWidth="1"/>
    <col min="4897" max="4897" width="20.28515625" style="2329" customWidth="1"/>
    <col min="4898" max="4898" width="16.42578125" style="2329" customWidth="1"/>
    <col min="4899" max="4899" width="43.7109375" style="2329" customWidth="1"/>
    <col min="4900" max="4900" width="28.7109375" style="2329" customWidth="1"/>
    <col min="4901" max="4902" width="20.85546875" style="2329" customWidth="1"/>
    <col min="4903" max="4914" width="9.85546875" style="2329" customWidth="1"/>
    <col min="4915" max="4915" width="15.7109375" style="2329" customWidth="1"/>
    <col min="4916" max="4916" width="16.42578125" style="2329" customWidth="1"/>
    <col min="4917" max="4917" width="28.7109375" style="2329" customWidth="1"/>
    <col min="4918" max="4918" width="21.42578125" style="2329" customWidth="1"/>
    <col min="4919" max="4919" width="15.7109375" style="2329" bestFit="1" customWidth="1"/>
    <col min="4920" max="5139" width="11.42578125" style="2329"/>
    <col min="5140" max="5140" width="9.140625" style="2329" customWidth="1"/>
    <col min="5141" max="5141" width="20.140625" style="2329" customWidth="1"/>
    <col min="5142" max="5142" width="9.140625" style="2329" customWidth="1"/>
    <col min="5143" max="5143" width="21.7109375" style="2329" customWidth="1"/>
    <col min="5144" max="5144" width="9.140625" style="2329" customWidth="1"/>
    <col min="5145" max="5145" width="21.7109375" style="2329" customWidth="1"/>
    <col min="5146" max="5146" width="9.140625" style="2329" customWidth="1"/>
    <col min="5147" max="5147" width="28.140625" style="2329" customWidth="1"/>
    <col min="5148" max="5148" width="22" style="2329" customWidth="1"/>
    <col min="5149" max="5149" width="39.85546875" style="2329" customWidth="1"/>
    <col min="5150" max="5150" width="19" style="2329" customWidth="1"/>
    <col min="5151" max="5151" width="27.140625" style="2329" bestFit="1" customWidth="1"/>
    <col min="5152" max="5152" width="14.85546875" style="2329" customWidth="1"/>
    <col min="5153" max="5153" width="20.28515625" style="2329" customWidth="1"/>
    <col min="5154" max="5154" width="16.42578125" style="2329" customWidth="1"/>
    <col min="5155" max="5155" width="43.7109375" style="2329" customWidth="1"/>
    <col min="5156" max="5156" width="28.7109375" style="2329" customWidth="1"/>
    <col min="5157" max="5158" width="20.85546875" style="2329" customWidth="1"/>
    <col min="5159" max="5170" width="9.85546875" style="2329" customWidth="1"/>
    <col min="5171" max="5171" width="15.7109375" style="2329" customWidth="1"/>
    <col min="5172" max="5172" width="16.42578125" style="2329" customWidth="1"/>
    <col min="5173" max="5173" width="28.7109375" style="2329" customWidth="1"/>
    <col min="5174" max="5174" width="21.42578125" style="2329" customWidth="1"/>
    <col min="5175" max="5175" width="15.7109375" style="2329" bestFit="1" customWidth="1"/>
    <col min="5176" max="5395" width="11.42578125" style="2329"/>
    <col min="5396" max="5396" width="9.140625" style="2329" customWidth="1"/>
    <col min="5397" max="5397" width="20.140625" style="2329" customWidth="1"/>
    <col min="5398" max="5398" width="9.140625" style="2329" customWidth="1"/>
    <col min="5399" max="5399" width="21.7109375" style="2329" customWidth="1"/>
    <col min="5400" max="5400" width="9.140625" style="2329" customWidth="1"/>
    <col min="5401" max="5401" width="21.7109375" style="2329" customWidth="1"/>
    <col min="5402" max="5402" width="9.140625" style="2329" customWidth="1"/>
    <col min="5403" max="5403" width="28.140625" style="2329" customWidth="1"/>
    <col min="5404" max="5404" width="22" style="2329" customWidth="1"/>
    <col min="5405" max="5405" width="39.85546875" style="2329" customWidth="1"/>
    <col min="5406" max="5406" width="19" style="2329" customWidth="1"/>
    <col min="5407" max="5407" width="27.140625" style="2329" bestFit="1" customWidth="1"/>
    <col min="5408" max="5408" width="14.85546875" style="2329" customWidth="1"/>
    <col min="5409" max="5409" width="20.28515625" style="2329" customWidth="1"/>
    <col min="5410" max="5410" width="16.42578125" style="2329" customWidth="1"/>
    <col min="5411" max="5411" width="43.7109375" style="2329" customWidth="1"/>
    <col min="5412" max="5412" width="28.7109375" style="2329" customWidth="1"/>
    <col min="5413" max="5414" width="20.85546875" style="2329" customWidth="1"/>
    <col min="5415" max="5426" width="9.85546875" style="2329" customWidth="1"/>
    <col min="5427" max="5427" width="15.7109375" style="2329" customWidth="1"/>
    <col min="5428" max="5428" width="16.42578125" style="2329" customWidth="1"/>
    <col min="5429" max="5429" width="28.7109375" style="2329" customWidth="1"/>
    <col min="5430" max="5430" width="21.42578125" style="2329" customWidth="1"/>
    <col min="5431" max="5431" width="15.7109375" style="2329" bestFit="1" customWidth="1"/>
    <col min="5432" max="5651" width="11.42578125" style="2329"/>
    <col min="5652" max="5652" width="9.140625" style="2329" customWidth="1"/>
    <col min="5653" max="5653" width="20.140625" style="2329" customWidth="1"/>
    <col min="5654" max="5654" width="9.140625" style="2329" customWidth="1"/>
    <col min="5655" max="5655" width="21.7109375" style="2329" customWidth="1"/>
    <col min="5656" max="5656" width="9.140625" style="2329" customWidth="1"/>
    <col min="5657" max="5657" width="21.7109375" style="2329" customWidth="1"/>
    <col min="5658" max="5658" width="9.140625" style="2329" customWidth="1"/>
    <col min="5659" max="5659" width="28.140625" style="2329" customWidth="1"/>
    <col min="5660" max="5660" width="22" style="2329" customWidth="1"/>
    <col min="5661" max="5661" width="39.85546875" style="2329" customWidth="1"/>
    <col min="5662" max="5662" width="19" style="2329" customWidth="1"/>
    <col min="5663" max="5663" width="27.140625" style="2329" bestFit="1" customWidth="1"/>
    <col min="5664" max="5664" width="14.85546875" style="2329" customWidth="1"/>
    <col min="5665" max="5665" width="20.28515625" style="2329" customWidth="1"/>
    <col min="5666" max="5666" width="16.42578125" style="2329" customWidth="1"/>
    <col min="5667" max="5667" width="43.7109375" style="2329" customWidth="1"/>
    <col min="5668" max="5668" width="28.7109375" style="2329" customWidth="1"/>
    <col min="5669" max="5670" width="20.85546875" style="2329" customWidth="1"/>
    <col min="5671" max="5682" width="9.85546875" style="2329" customWidth="1"/>
    <col min="5683" max="5683" width="15.7109375" style="2329" customWidth="1"/>
    <col min="5684" max="5684" width="16.42578125" style="2329" customWidth="1"/>
    <col min="5685" max="5685" width="28.7109375" style="2329" customWidth="1"/>
    <col min="5686" max="5686" width="21.42578125" style="2329" customWidth="1"/>
    <col min="5687" max="5687" width="15.7109375" style="2329" bestFit="1" customWidth="1"/>
    <col min="5688" max="5907" width="11.42578125" style="2329"/>
    <col min="5908" max="5908" width="9.140625" style="2329" customWidth="1"/>
    <col min="5909" max="5909" width="20.140625" style="2329" customWidth="1"/>
    <col min="5910" max="5910" width="9.140625" style="2329" customWidth="1"/>
    <col min="5911" max="5911" width="21.7109375" style="2329" customWidth="1"/>
    <col min="5912" max="5912" width="9.140625" style="2329" customWidth="1"/>
    <col min="5913" max="5913" width="21.7109375" style="2329" customWidth="1"/>
    <col min="5914" max="5914" width="9.140625" style="2329" customWidth="1"/>
    <col min="5915" max="5915" width="28.140625" style="2329" customWidth="1"/>
    <col min="5916" max="5916" width="22" style="2329" customWidth="1"/>
    <col min="5917" max="5917" width="39.85546875" style="2329" customWidth="1"/>
    <col min="5918" max="5918" width="19" style="2329" customWidth="1"/>
    <col min="5919" max="5919" width="27.140625" style="2329" bestFit="1" customWidth="1"/>
    <col min="5920" max="5920" width="14.85546875" style="2329" customWidth="1"/>
    <col min="5921" max="5921" width="20.28515625" style="2329" customWidth="1"/>
    <col min="5922" max="5922" width="16.42578125" style="2329" customWidth="1"/>
    <col min="5923" max="5923" width="43.7109375" style="2329" customWidth="1"/>
    <col min="5924" max="5924" width="28.7109375" style="2329" customWidth="1"/>
    <col min="5925" max="5926" width="20.85546875" style="2329" customWidth="1"/>
    <col min="5927" max="5938" width="9.85546875" style="2329" customWidth="1"/>
    <col min="5939" max="5939" width="15.7109375" style="2329" customWidth="1"/>
    <col min="5940" max="5940" width="16.42578125" style="2329" customWidth="1"/>
    <col min="5941" max="5941" width="28.7109375" style="2329" customWidth="1"/>
    <col min="5942" max="5942" width="21.42578125" style="2329" customWidth="1"/>
    <col min="5943" max="5943" width="15.7109375" style="2329" bestFit="1" customWidth="1"/>
    <col min="5944" max="6163" width="11.42578125" style="2329"/>
    <col min="6164" max="6164" width="9.140625" style="2329" customWidth="1"/>
    <col min="6165" max="6165" width="20.140625" style="2329" customWidth="1"/>
    <col min="6166" max="6166" width="9.140625" style="2329" customWidth="1"/>
    <col min="6167" max="6167" width="21.7109375" style="2329" customWidth="1"/>
    <col min="6168" max="6168" width="9.140625" style="2329" customWidth="1"/>
    <col min="6169" max="6169" width="21.7109375" style="2329" customWidth="1"/>
    <col min="6170" max="6170" width="9.140625" style="2329" customWidth="1"/>
    <col min="6171" max="6171" width="28.140625" style="2329" customWidth="1"/>
    <col min="6172" max="6172" width="22" style="2329" customWidth="1"/>
    <col min="6173" max="6173" width="39.85546875" style="2329" customWidth="1"/>
    <col min="6174" max="6174" width="19" style="2329" customWidth="1"/>
    <col min="6175" max="6175" width="27.140625" style="2329" bestFit="1" customWidth="1"/>
    <col min="6176" max="6176" width="14.85546875" style="2329" customWidth="1"/>
    <col min="6177" max="6177" width="20.28515625" style="2329" customWidth="1"/>
    <col min="6178" max="6178" width="16.42578125" style="2329" customWidth="1"/>
    <col min="6179" max="6179" width="43.7109375" style="2329" customWidth="1"/>
    <col min="6180" max="6180" width="28.7109375" style="2329" customWidth="1"/>
    <col min="6181" max="6182" width="20.85546875" style="2329" customWidth="1"/>
    <col min="6183" max="6194" width="9.85546875" style="2329" customWidth="1"/>
    <col min="6195" max="6195" width="15.7109375" style="2329" customWidth="1"/>
    <col min="6196" max="6196" width="16.42578125" style="2329" customWidth="1"/>
    <col min="6197" max="6197" width="28.7109375" style="2329" customWidth="1"/>
    <col min="6198" max="6198" width="21.42578125" style="2329" customWidth="1"/>
    <col min="6199" max="6199" width="15.7109375" style="2329" bestFit="1" customWidth="1"/>
    <col min="6200" max="6419" width="11.42578125" style="2329"/>
    <col min="6420" max="6420" width="9.140625" style="2329" customWidth="1"/>
    <col min="6421" max="6421" width="20.140625" style="2329" customWidth="1"/>
    <col min="6422" max="6422" width="9.140625" style="2329" customWidth="1"/>
    <col min="6423" max="6423" width="21.7109375" style="2329" customWidth="1"/>
    <col min="6424" max="6424" width="9.140625" style="2329" customWidth="1"/>
    <col min="6425" max="6425" width="21.7109375" style="2329" customWidth="1"/>
    <col min="6426" max="6426" width="9.140625" style="2329" customWidth="1"/>
    <col min="6427" max="6427" width="28.140625" style="2329" customWidth="1"/>
    <col min="6428" max="6428" width="22" style="2329" customWidth="1"/>
    <col min="6429" max="6429" width="39.85546875" style="2329" customWidth="1"/>
    <col min="6430" max="6430" width="19" style="2329" customWidth="1"/>
    <col min="6431" max="6431" width="27.140625" style="2329" bestFit="1" customWidth="1"/>
    <col min="6432" max="6432" width="14.85546875" style="2329" customWidth="1"/>
    <col min="6433" max="6433" width="20.28515625" style="2329" customWidth="1"/>
    <col min="6434" max="6434" width="16.42578125" style="2329" customWidth="1"/>
    <col min="6435" max="6435" width="43.7109375" style="2329" customWidth="1"/>
    <col min="6436" max="6436" width="28.7109375" style="2329" customWidth="1"/>
    <col min="6437" max="6438" width="20.85546875" style="2329" customWidth="1"/>
    <col min="6439" max="6450" width="9.85546875" style="2329" customWidth="1"/>
    <col min="6451" max="6451" width="15.7109375" style="2329" customWidth="1"/>
    <col min="6452" max="6452" width="16.42578125" style="2329" customWidth="1"/>
    <col min="6453" max="6453" width="28.7109375" style="2329" customWidth="1"/>
    <col min="6454" max="6454" width="21.42578125" style="2329" customWidth="1"/>
    <col min="6455" max="6455" width="15.7109375" style="2329" bestFit="1" customWidth="1"/>
    <col min="6456" max="6675" width="11.42578125" style="2329"/>
    <col min="6676" max="6676" width="9.140625" style="2329" customWidth="1"/>
    <col min="6677" max="6677" width="20.140625" style="2329" customWidth="1"/>
    <col min="6678" max="6678" width="9.140625" style="2329" customWidth="1"/>
    <col min="6679" max="6679" width="21.7109375" style="2329" customWidth="1"/>
    <col min="6680" max="6680" width="9.140625" style="2329" customWidth="1"/>
    <col min="6681" max="6681" width="21.7109375" style="2329" customWidth="1"/>
    <col min="6682" max="6682" width="9.140625" style="2329" customWidth="1"/>
    <col min="6683" max="6683" width="28.140625" style="2329" customWidth="1"/>
    <col min="6684" max="6684" width="22" style="2329" customWidth="1"/>
    <col min="6685" max="6685" width="39.85546875" style="2329" customWidth="1"/>
    <col min="6686" max="6686" width="19" style="2329" customWidth="1"/>
    <col min="6687" max="6687" width="27.140625" style="2329" bestFit="1" customWidth="1"/>
    <col min="6688" max="6688" width="14.85546875" style="2329" customWidth="1"/>
    <col min="6689" max="6689" width="20.28515625" style="2329" customWidth="1"/>
    <col min="6690" max="6690" width="16.42578125" style="2329" customWidth="1"/>
    <col min="6691" max="6691" width="43.7109375" style="2329" customWidth="1"/>
    <col min="6692" max="6692" width="28.7109375" style="2329" customWidth="1"/>
    <col min="6693" max="6694" width="20.85546875" style="2329" customWidth="1"/>
    <col min="6695" max="6706" width="9.85546875" style="2329" customWidth="1"/>
    <col min="6707" max="6707" width="15.7109375" style="2329" customWidth="1"/>
    <col min="6708" max="6708" width="16.42578125" style="2329" customWidth="1"/>
    <col min="6709" max="6709" width="28.7109375" style="2329" customWidth="1"/>
    <col min="6710" max="6710" width="21.42578125" style="2329" customWidth="1"/>
    <col min="6711" max="6711" width="15.7109375" style="2329" bestFit="1" customWidth="1"/>
    <col min="6712" max="6931" width="11.42578125" style="2329"/>
    <col min="6932" max="6932" width="9.140625" style="2329" customWidth="1"/>
    <col min="6933" max="6933" width="20.140625" style="2329" customWidth="1"/>
    <col min="6934" max="6934" width="9.140625" style="2329" customWidth="1"/>
    <col min="6935" max="6935" width="21.7109375" style="2329" customWidth="1"/>
    <col min="6936" max="6936" width="9.140625" style="2329" customWidth="1"/>
    <col min="6937" max="6937" width="21.7109375" style="2329" customWidth="1"/>
    <col min="6938" max="6938" width="9.140625" style="2329" customWidth="1"/>
    <col min="6939" max="6939" width="28.140625" style="2329" customWidth="1"/>
    <col min="6940" max="6940" width="22" style="2329" customWidth="1"/>
    <col min="6941" max="6941" width="39.85546875" style="2329" customWidth="1"/>
    <col min="6942" max="6942" width="19" style="2329" customWidth="1"/>
    <col min="6943" max="6943" width="27.140625" style="2329" bestFit="1" customWidth="1"/>
    <col min="6944" max="6944" width="14.85546875" style="2329" customWidth="1"/>
    <col min="6945" max="6945" width="20.28515625" style="2329" customWidth="1"/>
    <col min="6946" max="6946" width="16.42578125" style="2329" customWidth="1"/>
    <col min="6947" max="6947" width="43.7109375" style="2329" customWidth="1"/>
    <col min="6948" max="6948" width="28.7109375" style="2329" customWidth="1"/>
    <col min="6949" max="6950" width="20.85546875" style="2329" customWidth="1"/>
    <col min="6951" max="6962" width="9.85546875" style="2329" customWidth="1"/>
    <col min="6963" max="6963" width="15.7109375" style="2329" customWidth="1"/>
    <col min="6964" max="6964" width="16.42578125" style="2329" customWidth="1"/>
    <col min="6965" max="6965" width="28.7109375" style="2329" customWidth="1"/>
    <col min="6966" max="6966" width="21.42578125" style="2329" customWidth="1"/>
    <col min="6967" max="6967" width="15.7109375" style="2329" bestFit="1" customWidth="1"/>
    <col min="6968" max="7187" width="11.42578125" style="2329"/>
    <col min="7188" max="7188" width="9.140625" style="2329" customWidth="1"/>
    <col min="7189" max="7189" width="20.140625" style="2329" customWidth="1"/>
    <col min="7190" max="7190" width="9.140625" style="2329" customWidth="1"/>
    <col min="7191" max="7191" width="21.7109375" style="2329" customWidth="1"/>
    <col min="7192" max="7192" width="9.140625" style="2329" customWidth="1"/>
    <col min="7193" max="7193" width="21.7109375" style="2329" customWidth="1"/>
    <col min="7194" max="7194" width="9.140625" style="2329" customWidth="1"/>
    <col min="7195" max="7195" width="28.140625" style="2329" customWidth="1"/>
    <col min="7196" max="7196" width="22" style="2329" customWidth="1"/>
    <col min="7197" max="7197" width="39.85546875" style="2329" customWidth="1"/>
    <col min="7198" max="7198" width="19" style="2329" customWidth="1"/>
    <col min="7199" max="7199" width="27.140625" style="2329" bestFit="1" customWidth="1"/>
    <col min="7200" max="7200" width="14.85546875" style="2329" customWidth="1"/>
    <col min="7201" max="7201" width="20.28515625" style="2329" customWidth="1"/>
    <col min="7202" max="7202" width="16.42578125" style="2329" customWidth="1"/>
    <col min="7203" max="7203" width="43.7109375" style="2329" customWidth="1"/>
    <col min="7204" max="7204" width="28.7109375" style="2329" customWidth="1"/>
    <col min="7205" max="7206" width="20.85546875" style="2329" customWidth="1"/>
    <col min="7207" max="7218" width="9.85546875" style="2329" customWidth="1"/>
    <col min="7219" max="7219" width="15.7109375" style="2329" customWidth="1"/>
    <col min="7220" max="7220" width="16.42578125" style="2329" customWidth="1"/>
    <col min="7221" max="7221" width="28.7109375" style="2329" customWidth="1"/>
    <col min="7222" max="7222" width="21.42578125" style="2329" customWidth="1"/>
    <col min="7223" max="7223" width="15.7109375" style="2329" bestFit="1" customWidth="1"/>
    <col min="7224" max="7443" width="11.42578125" style="2329"/>
    <col min="7444" max="7444" width="9.140625" style="2329" customWidth="1"/>
    <col min="7445" max="7445" width="20.140625" style="2329" customWidth="1"/>
    <col min="7446" max="7446" width="9.140625" style="2329" customWidth="1"/>
    <col min="7447" max="7447" width="21.7109375" style="2329" customWidth="1"/>
    <col min="7448" max="7448" width="9.140625" style="2329" customWidth="1"/>
    <col min="7449" max="7449" width="21.7109375" style="2329" customWidth="1"/>
    <col min="7450" max="7450" width="9.140625" style="2329" customWidth="1"/>
    <col min="7451" max="7451" width="28.140625" style="2329" customWidth="1"/>
    <col min="7452" max="7452" width="22" style="2329" customWidth="1"/>
    <col min="7453" max="7453" width="39.85546875" style="2329" customWidth="1"/>
    <col min="7454" max="7454" width="19" style="2329" customWidth="1"/>
    <col min="7455" max="7455" width="27.140625" style="2329" bestFit="1" customWidth="1"/>
    <col min="7456" max="7456" width="14.85546875" style="2329" customWidth="1"/>
    <col min="7457" max="7457" width="20.28515625" style="2329" customWidth="1"/>
    <col min="7458" max="7458" width="16.42578125" style="2329" customWidth="1"/>
    <col min="7459" max="7459" width="43.7109375" style="2329" customWidth="1"/>
    <col min="7460" max="7460" width="28.7109375" style="2329" customWidth="1"/>
    <col min="7461" max="7462" width="20.85546875" style="2329" customWidth="1"/>
    <col min="7463" max="7474" width="9.85546875" style="2329" customWidth="1"/>
    <col min="7475" max="7475" width="15.7109375" style="2329" customWidth="1"/>
    <col min="7476" max="7476" width="16.42578125" style="2329" customWidth="1"/>
    <col min="7477" max="7477" width="28.7109375" style="2329" customWidth="1"/>
    <col min="7478" max="7478" width="21.42578125" style="2329" customWidth="1"/>
    <col min="7479" max="7479" width="15.7109375" style="2329" bestFit="1" customWidth="1"/>
    <col min="7480" max="7699" width="11.42578125" style="2329"/>
    <col min="7700" max="7700" width="9.140625" style="2329" customWidth="1"/>
    <col min="7701" max="7701" width="20.140625" style="2329" customWidth="1"/>
    <col min="7702" max="7702" width="9.140625" style="2329" customWidth="1"/>
    <col min="7703" max="7703" width="21.7109375" style="2329" customWidth="1"/>
    <col min="7704" max="7704" width="9.140625" style="2329" customWidth="1"/>
    <col min="7705" max="7705" width="21.7109375" style="2329" customWidth="1"/>
    <col min="7706" max="7706" width="9.140625" style="2329" customWidth="1"/>
    <col min="7707" max="7707" width="28.140625" style="2329" customWidth="1"/>
    <col min="7708" max="7708" width="22" style="2329" customWidth="1"/>
    <col min="7709" max="7709" width="39.85546875" style="2329" customWidth="1"/>
    <col min="7710" max="7710" width="19" style="2329" customWidth="1"/>
    <col min="7711" max="7711" width="27.140625" style="2329" bestFit="1" customWidth="1"/>
    <col min="7712" max="7712" width="14.85546875" style="2329" customWidth="1"/>
    <col min="7713" max="7713" width="20.28515625" style="2329" customWidth="1"/>
    <col min="7714" max="7714" width="16.42578125" style="2329" customWidth="1"/>
    <col min="7715" max="7715" width="43.7109375" style="2329" customWidth="1"/>
    <col min="7716" max="7716" width="28.7109375" style="2329" customWidth="1"/>
    <col min="7717" max="7718" width="20.85546875" style="2329" customWidth="1"/>
    <col min="7719" max="7730" width="9.85546875" style="2329" customWidth="1"/>
    <col min="7731" max="7731" width="15.7109375" style="2329" customWidth="1"/>
    <col min="7732" max="7732" width="16.42578125" style="2329" customWidth="1"/>
    <col min="7733" max="7733" width="28.7109375" style="2329" customWidth="1"/>
    <col min="7734" max="7734" width="21.42578125" style="2329" customWidth="1"/>
    <col min="7735" max="7735" width="15.7109375" style="2329" bestFit="1" customWidth="1"/>
    <col min="7736" max="7955" width="11.42578125" style="2329"/>
    <col min="7956" max="7956" width="9.140625" style="2329" customWidth="1"/>
    <col min="7957" max="7957" width="20.140625" style="2329" customWidth="1"/>
    <col min="7958" max="7958" width="9.140625" style="2329" customWidth="1"/>
    <col min="7959" max="7959" width="21.7109375" style="2329" customWidth="1"/>
    <col min="7960" max="7960" width="9.140625" style="2329" customWidth="1"/>
    <col min="7961" max="7961" width="21.7109375" style="2329" customWidth="1"/>
    <col min="7962" max="7962" width="9.140625" style="2329" customWidth="1"/>
    <col min="7963" max="7963" width="28.140625" style="2329" customWidth="1"/>
    <col min="7964" max="7964" width="22" style="2329" customWidth="1"/>
    <col min="7965" max="7965" width="39.85546875" style="2329" customWidth="1"/>
    <col min="7966" max="7966" width="19" style="2329" customWidth="1"/>
    <col min="7967" max="7967" width="27.140625" style="2329" bestFit="1" customWidth="1"/>
    <col min="7968" max="7968" width="14.85546875" style="2329" customWidth="1"/>
    <col min="7969" max="7969" width="20.28515625" style="2329" customWidth="1"/>
    <col min="7970" max="7970" width="16.42578125" style="2329" customWidth="1"/>
    <col min="7971" max="7971" width="43.7109375" style="2329" customWidth="1"/>
    <col min="7972" max="7972" width="28.7109375" style="2329" customWidth="1"/>
    <col min="7973" max="7974" width="20.85546875" style="2329" customWidth="1"/>
    <col min="7975" max="7986" width="9.85546875" style="2329" customWidth="1"/>
    <col min="7987" max="7987" width="15.7109375" style="2329" customWidth="1"/>
    <col min="7988" max="7988" width="16.42578125" style="2329" customWidth="1"/>
    <col min="7989" max="7989" width="28.7109375" style="2329" customWidth="1"/>
    <col min="7990" max="7990" width="21.42578125" style="2329" customWidth="1"/>
    <col min="7991" max="7991" width="15.7109375" style="2329" bestFit="1" customWidth="1"/>
    <col min="7992" max="8211" width="11.42578125" style="2329"/>
    <col min="8212" max="8212" width="9.140625" style="2329" customWidth="1"/>
    <col min="8213" max="8213" width="20.140625" style="2329" customWidth="1"/>
    <col min="8214" max="8214" width="9.140625" style="2329" customWidth="1"/>
    <col min="8215" max="8215" width="21.7109375" style="2329" customWidth="1"/>
    <col min="8216" max="8216" width="9.140625" style="2329" customWidth="1"/>
    <col min="8217" max="8217" width="21.7109375" style="2329" customWidth="1"/>
    <col min="8218" max="8218" width="9.140625" style="2329" customWidth="1"/>
    <col min="8219" max="8219" width="28.140625" style="2329" customWidth="1"/>
    <col min="8220" max="8220" width="22" style="2329" customWidth="1"/>
    <col min="8221" max="8221" width="39.85546875" style="2329" customWidth="1"/>
    <col min="8222" max="8222" width="19" style="2329" customWidth="1"/>
    <col min="8223" max="8223" width="27.140625" style="2329" bestFit="1" customWidth="1"/>
    <col min="8224" max="8224" width="14.85546875" style="2329" customWidth="1"/>
    <col min="8225" max="8225" width="20.28515625" style="2329" customWidth="1"/>
    <col min="8226" max="8226" width="16.42578125" style="2329" customWidth="1"/>
    <col min="8227" max="8227" width="43.7109375" style="2329" customWidth="1"/>
    <col min="8228" max="8228" width="28.7109375" style="2329" customWidth="1"/>
    <col min="8229" max="8230" width="20.85546875" style="2329" customWidth="1"/>
    <col min="8231" max="8242" width="9.85546875" style="2329" customWidth="1"/>
    <col min="8243" max="8243" width="15.7109375" style="2329" customWidth="1"/>
    <col min="8244" max="8244" width="16.42578125" style="2329" customWidth="1"/>
    <col min="8245" max="8245" width="28.7109375" style="2329" customWidth="1"/>
    <col min="8246" max="8246" width="21.42578125" style="2329" customWidth="1"/>
    <col min="8247" max="8247" width="15.7109375" style="2329" bestFit="1" customWidth="1"/>
    <col min="8248" max="8467" width="11.42578125" style="2329"/>
    <col min="8468" max="8468" width="9.140625" style="2329" customWidth="1"/>
    <col min="8469" max="8469" width="20.140625" style="2329" customWidth="1"/>
    <col min="8470" max="8470" width="9.140625" style="2329" customWidth="1"/>
    <col min="8471" max="8471" width="21.7109375" style="2329" customWidth="1"/>
    <col min="8472" max="8472" width="9.140625" style="2329" customWidth="1"/>
    <col min="8473" max="8473" width="21.7109375" style="2329" customWidth="1"/>
    <col min="8474" max="8474" width="9.140625" style="2329" customWidth="1"/>
    <col min="8475" max="8475" width="28.140625" style="2329" customWidth="1"/>
    <col min="8476" max="8476" width="22" style="2329" customWidth="1"/>
    <col min="8477" max="8477" width="39.85546875" style="2329" customWidth="1"/>
    <col min="8478" max="8478" width="19" style="2329" customWidth="1"/>
    <col min="8479" max="8479" width="27.140625" style="2329" bestFit="1" customWidth="1"/>
    <col min="8480" max="8480" width="14.85546875" style="2329" customWidth="1"/>
    <col min="8481" max="8481" width="20.28515625" style="2329" customWidth="1"/>
    <col min="8482" max="8482" width="16.42578125" style="2329" customWidth="1"/>
    <col min="8483" max="8483" width="43.7109375" style="2329" customWidth="1"/>
    <col min="8484" max="8484" width="28.7109375" style="2329" customWidth="1"/>
    <col min="8485" max="8486" width="20.85546875" style="2329" customWidth="1"/>
    <col min="8487" max="8498" width="9.85546875" style="2329" customWidth="1"/>
    <col min="8499" max="8499" width="15.7109375" style="2329" customWidth="1"/>
    <col min="8500" max="8500" width="16.42578125" style="2329" customWidth="1"/>
    <col min="8501" max="8501" width="28.7109375" style="2329" customWidth="1"/>
    <col min="8502" max="8502" width="21.42578125" style="2329" customWidth="1"/>
    <col min="8503" max="8503" width="15.7109375" style="2329" bestFit="1" customWidth="1"/>
    <col min="8504" max="8723" width="11.42578125" style="2329"/>
    <col min="8724" max="8724" width="9.140625" style="2329" customWidth="1"/>
    <col min="8725" max="8725" width="20.140625" style="2329" customWidth="1"/>
    <col min="8726" max="8726" width="9.140625" style="2329" customWidth="1"/>
    <col min="8727" max="8727" width="21.7109375" style="2329" customWidth="1"/>
    <col min="8728" max="8728" width="9.140625" style="2329" customWidth="1"/>
    <col min="8729" max="8729" width="21.7109375" style="2329" customWidth="1"/>
    <col min="8730" max="8730" width="9.140625" style="2329" customWidth="1"/>
    <col min="8731" max="8731" width="28.140625" style="2329" customWidth="1"/>
    <col min="8732" max="8732" width="22" style="2329" customWidth="1"/>
    <col min="8733" max="8733" width="39.85546875" style="2329" customWidth="1"/>
    <col min="8734" max="8734" width="19" style="2329" customWidth="1"/>
    <col min="8735" max="8735" width="27.140625" style="2329" bestFit="1" customWidth="1"/>
    <col min="8736" max="8736" width="14.85546875" style="2329" customWidth="1"/>
    <col min="8737" max="8737" width="20.28515625" style="2329" customWidth="1"/>
    <col min="8738" max="8738" width="16.42578125" style="2329" customWidth="1"/>
    <col min="8739" max="8739" width="43.7109375" style="2329" customWidth="1"/>
    <col min="8740" max="8740" width="28.7109375" style="2329" customWidth="1"/>
    <col min="8741" max="8742" width="20.85546875" style="2329" customWidth="1"/>
    <col min="8743" max="8754" width="9.85546875" style="2329" customWidth="1"/>
    <col min="8755" max="8755" width="15.7109375" style="2329" customWidth="1"/>
    <col min="8756" max="8756" width="16.42578125" style="2329" customWidth="1"/>
    <col min="8757" max="8757" width="28.7109375" style="2329" customWidth="1"/>
    <col min="8758" max="8758" width="21.42578125" style="2329" customWidth="1"/>
    <col min="8759" max="8759" width="15.7109375" style="2329" bestFit="1" customWidth="1"/>
    <col min="8760" max="8979" width="11.42578125" style="2329"/>
    <col min="8980" max="8980" width="9.140625" style="2329" customWidth="1"/>
    <col min="8981" max="8981" width="20.140625" style="2329" customWidth="1"/>
    <col min="8982" max="8982" width="9.140625" style="2329" customWidth="1"/>
    <col min="8983" max="8983" width="21.7109375" style="2329" customWidth="1"/>
    <col min="8984" max="8984" width="9.140625" style="2329" customWidth="1"/>
    <col min="8985" max="8985" width="21.7109375" style="2329" customWidth="1"/>
    <col min="8986" max="8986" width="9.140625" style="2329" customWidth="1"/>
    <col min="8987" max="8987" width="28.140625" style="2329" customWidth="1"/>
    <col min="8988" max="8988" width="22" style="2329" customWidth="1"/>
    <col min="8989" max="8989" width="39.85546875" style="2329" customWidth="1"/>
    <col min="8990" max="8990" width="19" style="2329" customWidth="1"/>
    <col min="8991" max="8991" width="27.140625" style="2329" bestFit="1" customWidth="1"/>
    <col min="8992" max="8992" width="14.85546875" style="2329" customWidth="1"/>
    <col min="8993" max="8993" width="20.28515625" style="2329" customWidth="1"/>
    <col min="8994" max="8994" width="16.42578125" style="2329" customWidth="1"/>
    <col min="8995" max="8995" width="43.7109375" style="2329" customWidth="1"/>
    <col min="8996" max="8996" width="28.7109375" style="2329" customWidth="1"/>
    <col min="8997" max="8998" width="20.85546875" style="2329" customWidth="1"/>
    <col min="8999" max="9010" width="9.85546875" style="2329" customWidth="1"/>
    <col min="9011" max="9011" width="15.7109375" style="2329" customWidth="1"/>
    <col min="9012" max="9012" width="16.42578125" style="2329" customWidth="1"/>
    <col min="9013" max="9013" width="28.7109375" style="2329" customWidth="1"/>
    <col min="9014" max="9014" width="21.42578125" style="2329" customWidth="1"/>
    <col min="9015" max="9015" width="15.7109375" style="2329" bestFit="1" customWidth="1"/>
    <col min="9016" max="9235" width="11.42578125" style="2329"/>
    <col min="9236" max="9236" width="9.140625" style="2329" customWidth="1"/>
    <col min="9237" max="9237" width="20.140625" style="2329" customWidth="1"/>
    <col min="9238" max="9238" width="9.140625" style="2329" customWidth="1"/>
    <col min="9239" max="9239" width="21.7109375" style="2329" customWidth="1"/>
    <col min="9240" max="9240" width="9.140625" style="2329" customWidth="1"/>
    <col min="9241" max="9241" width="21.7109375" style="2329" customWidth="1"/>
    <col min="9242" max="9242" width="9.140625" style="2329" customWidth="1"/>
    <col min="9243" max="9243" width="28.140625" style="2329" customWidth="1"/>
    <col min="9244" max="9244" width="22" style="2329" customWidth="1"/>
    <col min="9245" max="9245" width="39.85546875" style="2329" customWidth="1"/>
    <col min="9246" max="9246" width="19" style="2329" customWidth="1"/>
    <col min="9247" max="9247" width="27.140625" style="2329" bestFit="1" customWidth="1"/>
    <col min="9248" max="9248" width="14.85546875" style="2329" customWidth="1"/>
    <col min="9249" max="9249" width="20.28515625" style="2329" customWidth="1"/>
    <col min="9250" max="9250" width="16.42578125" style="2329" customWidth="1"/>
    <col min="9251" max="9251" width="43.7109375" style="2329" customWidth="1"/>
    <col min="9252" max="9252" width="28.7109375" style="2329" customWidth="1"/>
    <col min="9253" max="9254" width="20.85546875" style="2329" customWidth="1"/>
    <col min="9255" max="9266" width="9.85546875" style="2329" customWidth="1"/>
    <col min="9267" max="9267" width="15.7109375" style="2329" customWidth="1"/>
    <col min="9268" max="9268" width="16.42578125" style="2329" customWidth="1"/>
    <col min="9269" max="9269" width="28.7109375" style="2329" customWidth="1"/>
    <col min="9270" max="9270" width="21.42578125" style="2329" customWidth="1"/>
    <col min="9271" max="9271" width="15.7109375" style="2329" bestFit="1" customWidth="1"/>
    <col min="9272" max="9491" width="11.42578125" style="2329"/>
    <col min="9492" max="9492" width="9.140625" style="2329" customWidth="1"/>
    <col min="9493" max="9493" width="20.140625" style="2329" customWidth="1"/>
    <col min="9494" max="9494" width="9.140625" style="2329" customWidth="1"/>
    <col min="9495" max="9495" width="21.7109375" style="2329" customWidth="1"/>
    <col min="9496" max="9496" width="9.140625" style="2329" customWidth="1"/>
    <col min="9497" max="9497" width="21.7109375" style="2329" customWidth="1"/>
    <col min="9498" max="9498" width="9.140625" style="2329" customWidth="1"/>
    <col min="9499" max="9499" width="28.140625" style="2329" customWidth="1"/>
    <col min="9500" max="9500" width="22" style="2329" customWidth="1"/>
    <col min="9501" max="9501" width="39.85546875" style="2329" customWidth="1"/>
    <col min="9502" max="9502" width="19" style="2329" customWidth="1"/>
    <col min="9503" max="9503" width="27.140625" style="2329" bestFit="1" customWidth="1"/>
    <col min="9504" max="9504" width="14.85546875" style="2329" customWidth="1"/>
    <col min="9505" max="9505" width="20.28515625" style="2329" customWidth="1"/>
    <col min="9506" max="9506" width="16.42578125" style="2329" customWidth="1"/>
    <col min="9507" max="9507" width="43.7109375" style="2329" customWidth="1"/>
    <col min="9508" max="9508" width="28.7109375" style="2329" customWidth="1"/>
    <col min="9509" max="9510" width="20.85546875" style="2329" customWidth="1"/>
    <col min="9511" max="9522" width="9.85546875" style="2329" customWidth="1"/>
    <col min="9523" max="9523" width="15.7109375" style="2329" customWidth="1"/>
    <col min="9524" max="9524" width="16.42578125" style="2329" customWidth="1"/>
    <col min="9525" max="9525" width="28.7109375" style="2329" customWidth="1"/>
    <col min="9526" max="9526" width="21.42578125" style="2329" customWidth="1"/>
    <col min="9527" max="9527" width="15.7109375" style="2329" bestFit="1" customWidth="1"/>
    <col min="9528" max="9747" width="11.42578125" style="2329"/>
    <col min="9748" max="9748" width="9.140625" style="2329" customWidth="1"/>
    <col min="9749" max="9749" width="20.140625" style="2329" customWidth="1"/>
    <col min="9750" max="9750" width="9.140625" style="2329" customWidth="1"/>
    <col min="9751" max="9751" width="21.7109375" style="2329" customWidth="1"/>
    <col min="9752" max="9752" width="9.140625" style="2329" customWidth="1"/>
    <col min="9753" max="9753" width="21.7109375" style="2329" customWidth="1"/>
    <col min="9754" max="9754" width="9.140625" style="2329" customWidth="1"/>
    <col min="9755" max="9755" width="28.140625" style="2329" customWidth="1"/>
    <col min="9756" max="9756" width="22" style="2329" customWidth="1"/>
    <col min="9757" max="9757" width="39.85546875" style="2329" customWidth="1"/>
    <col min="9758" max="9758" width="19" style="2329" customWidth="1"/>
    <col min="9759" max="9759" width="27.140625" style="2329" bestFit="1" customWidth="1"/>
    <col min="9760" max="9760" width="14.85546875" style="2329" customWidth="1"/>
    <col min="9761" max="9761" width="20.28515625" style="2329" customWidth="1"/>
    <col min="9762" max="9762" width="16.42578125" style="2329" customWidth="1"/>
    <col min="9763" max="9763" width="43.7109375" style="2329" customWidth="1"/>
    <col min="9764" max="9764" width="28.7109375" style="2329" customWidth="1"/>
    <col min="9765" max="9766" width="20.85546875" style="2329" customWidth="1"/>
    <col min="9767" max="9778" width="9.85546875" style="2329" customWidth="1"/>
    <col min="9779" max="9779" width="15.7109375" style="2329" customWidth="1"/>
    <col min="9780" max="9780" width="16.42578125" style="2329" customWidth="1"/>
    <col min="9781" max="9781" width="28.7109375" style="2329" customWidth="1"/>
    <col min="9782" max="9782" width="21.42578125" style="2329" customWidth="1"/>
    <col min="9783" max="9783" width="15.7109375" style="2329" bestFit="1" customWidth="1"/>
    <col min="9784" max="10003" width="11.42578125" style="2329"/>
    <col min="10004" max="10004" width="9.140625" style="2329" customWidth="1"/>
    <col min="10005" max="10005" width="20.140625" style="2329" customWidth="1"/>
    <col min="10006" max="10006" width="9.140625" style="2329" customWidth="1"/>
    <col min="10007" max="10007" width="21.7109375" style="2329" customWidth="1"/>
    <col min="10008" max="10008" width="9.140625" style="2329" customWidth="1"/>
    <col min="10009" max="10009" width="21.7109375" style="2329" customWidth="1"/>
    <col min="10010" max="10010" width="9.140625" style="2329" customWidth="1"/>
    <col min="10011" max="10011" width="28.140625" style="2329" customWidth="1"/>
    <col min="10012" max="10012" width="22" style="2329" customWidth="1"/>
    <col min="10013" max="10013" width="39.85546875" style="2329" customWidth="1"/>
    <col min="10014" max="10014" width="19" style="2329" customWidth="1"/>
    <col min="10015" max="10015" width="27.140625" style="2329" bestFit="1" customWidth="1"/>
    <col min="10016" max="10016" width="14.85546875" style="2329" customWidth="1"/>
    <col min="10017" max="10017" width="20.28515625" style="2329" customWidth="1"/>
    <col min="10018" max="10018" width="16.42578125" style="2329" customWidth="1"/>
    <col min="10019" max="10019" width="43.7109375" style="2329" customWidth="1"/>
    <col min="10020" max="10020" width="28.7109375" style="2329" customWidth="1"/>
    <col min="10021" max="10022" width="20.85546875" style="2329" customWidth="1"/>
    <col min="10023" max="10034" width="9.85546875" style="2329" customWidth="1"/>
    <col min="10035" max="10035" width="15.7109375" style="2329" customWidth="1"/>
    <col min="10036" max="10036" width="16.42578125" style="2329" customWidth="1"/>
    <col min="10037" max="10037" width="28.7109375" style="2329" customWidth="1"/>
    <col min="10038" max="10038" width="21.42578125" style="2329" customWidth="1"/>
    <col min="10039" max="10039" width="15.7109375" style="2329" bestFit="1" customWidth="1"/>
    <col min="10040" max="10259" width="11.42578125" style="2329"/>
    <col min="10260" max="10260" width="9.140625" style="2329" customWidth="1"/>
    <col min="10261" max="10261" width="20.140625" style="2329" customWidth="1"/>
    <col min="10262" max="10262" width="9.140625" style="2329" customWidth="1"/>
    <col min="10263" max="10263" width="21.7109375" style="2329" customWidth="1"/>
    <col min="10264" max="10264" width="9.140625" style="2329" customWidth="1"/>
    <col min="10265" max="10265" width="21.7109375" style="2329" customWidth="1"/>
    <col min="10266" max="10266" width="9.140625" style="2329" customWidth="1"/>
    <col min="10267" max="10267" width="28.140625" style="2329" customWidth="1"/>
    <col min="10268" max="10268" width="22" style="2329" customWidth="1"/>
    <col min="10269" max="10269" width="39.85546875" style="2329" customWidth="1"/>
    <col min="10270" max="10270" width="19" style="2329" customWidth="1"/>
    <col min="10271" max="10271" width="27.140625" style="2329" bestFit="1" customWidth="1"/>
    <col min="10272" max="10272" width="14.85546875" style="2329" customWidth="1"/>
    <col min="10273" max="10273" width="20.28515625" style="2329" customWidth="1"/>
    <col min="10274" max="10274" width="16.42578125" style="2329" customWidth="1"/>
    <col min="10275" max="10275" width="43.7109375" style="2329" customWidth="1"/>
    <col min="10276" max="10276" width="28.7109375" style="2329" customWidth="1"/>
    <col min="10277" max="10278" width="20.85546875" style="2329" customWidth="1"/>
    <col min="10279" max="10290" width="9.85546875" style="2329" customWidth="1"/>
    <col min="10291" max="10291" width="15.7109375" style="2329" customWidth="1"/>
    <col min="10292" max="10292" width="16.42578125" style="2329" customWidth="1"/>
    <col min="10293" max="10293" width="28.7109375" style="2329" customWidth="1"/>
    <col min="10294" max="10294" width="21.42578125" style="2329" customWidth="1"/>
    <col min="10295" max="10295" width="15.7109375" style="2329" bestFit="1" customWidth="1"/>
    <col min="10296" max="10515" width="11.42578125" style="2329"/>
    <col min="10516" max="10516" width="9.140625" style="2329" customWidth="1"/>
    <col min="10517" max="10517" width="20.140625" style="2329" customWidth="1"/>
    <col min="10518" max="10518" width="9.140625" style="2329" customWidth="1"/>
    <col min="10519" max="10519" width="21.7109375" style="2329" customWidth="1"/>
    <col min="10520" max="10520" width="9.140625" style="2329" customWidth="1"/>
    <col min="10521" max="10521" width="21.7109375" style="2329" customWidth="1"/>
    <col min="10522" max="10522" width="9.140625" style="2329" customWidth="1"/>
    <col min="10523" max="10523" width="28.140625" style="2329" customWidth="1"/>
    <col min="10524" max="10524" width="22" style="2329" customWidth="1"/>
    <col min="10525" max="10525" width="39.85546875" style="2329" customWidth="1"/>
    <col min="10526" max="10526" width="19" style="2329" customWidth="1"/>
    <col min="10527" max="10527" width="27.140625" style="2329" bestFit="1" customWidth="1"/>
    <col min="10528" max="10528" width="14.85546875" style="2329" customWidth="1"/>
    <col min="10529" max="10529" width="20.28515625" style="2329" customWidth="1"/>
    <col min="10530" max="10530" width="16.42578125" style="2329" customWidth="1"/>
    <col min="10531" max="10531" width="43.7109375" style="2329" customWidth="1"/>
    <col min="10532" max="10532" width="28.7109375" style="2329" customWidth="1"/>
    <col min="10533" max="10534" width="20.85546875" style="2329" customWidth="1"/>
    <col min="10535" max="10546" width="9.85546875" style="2329" customWidth="1"/>
    <col min="10547" max="10547" width="15.7109375" style="2329" customWidth="1"/>
    <col min="10548" max="10548" width="16.42578125" style="2329" customWidth="1"/>
    <col min="10549" max="10549" width="28.7109375" style="2329" customWidth="1"/>
    <col min="10550" max="10550" width="21.42578125" style="2329" customWidth="1"/>
    <col min="10551" max="10551" width="15.7109375" style="2329" bestFit="1" customWidth="1"/>
    <col min="10552" max="10771" width="11.42578125" style="2329"/>
    <col min="10772" max="10772" width="9.140625" style="2329" customWidth="1"/>
    <col min="10773" max="10773" width="20.140625" style="2329" customWidth="1"/>
    <col min="10774" max="10774" width="9.140625" style="2329" customWidth="1"/>
    <col min="10775" max="10775" width="21.7109375" style="2329" customWidth="1"/>
    <col min="10776" max="10776" width="9.140625" style="2329" customWidth="1"/>
    <col min="10777" max="10777" width="21.7109375" style="2329" customWidth="1"/>
    <col min="10778" max="10778" width="9.140625" style="2329" customWidth="1"/>
    <col min="10779" max="10779" width="28.140625" style="2329" customWidth="1"/>
    <col min="10780" max="10780" width="22" style="2329" customWidth="1"/>
    <col min="10781" max="10781" width="39.85546875" style="2329" customWidth="1"/>
    <col min="10782" max="10782" width="19" style="2329" customWidth="1"/>
    <col min="10783" max="10783" width="27.140625" style="2329" bestFit="1" customWidth="1"/>
    <col min="10784" max="10784" width="14.85546875" style="2329" customWidth="1"/>
    <col min="10785" max="10785" width="20.28515625" style="2329" customWidth="1"/>
    <col min="10786" max="10786" width="16.42578125" style="2329" customWidth="1"/>
    <col min="10787" max="10787" width="43.7109375" style="2329" customWidth="1"/>
    <col min="10788" max="10788" width="28.7109375" style="2329" customWidth="1"/>
    <col min="10789" max="10790" width="20.85546875" style="2329" customWidth="1"/>
    <col min="10791" max="10802" width="9.85546875" style="2329" customWidth="1"/>
    <col min="10803" max="10803" width="15.7109375" style="2329" customWidth="1"/>
    <col min="10804" max="10804" width="16.42578125" style="2329" customWidth="1"/>
    <col min="10805" max="10805" width="28.7109375" style="2329" customWidth="1"/>
    <col min="10806" max="10806" width="21.42578125" style="2329" customWidth="1"/>
    <col min="10807" max="10807" width="15.7109375" style="2329" bestFit="1" customWidth="1"/>
    <col min="10808" max="11027" width="11.42578125" style="2329"/>
    <col min="11028" max="11028" width="9.140625" style="2329" customWidth="1"/>
    <col min="11029" max="11029" width="20.140625" style="2329" customWidth="1"/>
    <col min="11030" max="11030" width="9.140625" style="2329" customWidth="1"/>
    <col min="11031" max="11031" width="21.7109375" style="2329" customWidth="1"/>
    <col min="11032" max="11032" width="9.140625" style="2329" customWidth="1"/>
    <col min="11033" max="11033" width="21.7109375" style="2329" customWidth="1"/>
    <col min="11034" max="11034" width="9.140625" style="2329" customWidth="1"/>
    <col min="11035" max="11035" width="28.140625" style="2329" customWidth="1"/>
    <col min="11036" max="11036" width="22" style="2329" customWidth="1"/>
    <col min="11037" max="11037" width="39.85546875" style="2329" customWidth="1"/>
    <col min="11038" max="11038" width="19" style="2329" customWidth="1"/>
    <col min="11039" max="11039" width="27.140625" style="2329" bestFit="1" customWidth="1"/>
    <col min="11040" max="11040" width="14.85546875" style="2329" customWidth="1"/>
    <col min="11041" max="11041" width="20.28515625" style="2329" customWidth="1"/>
    <col min="11042" max="11042" width="16.42578125" style="2329" customWidth="1"/>
    <col min="11043" max="11043" width="43.7109375" style="2329" customWidth="1"/>
    <col min="11044" max="11044" width="28.7109375" style="2329" customWidth="1"/>
    <col min="11045" max="11046" width="20.85546875" style="2329" customWidth="1"/>
    <col min="11047" max="11058" width="9.85546875" style="2329" customWidth="1"/>
    <col min="11059" max="11059" width="15.7109375" style="2329" customWidth="1"/>
    <col min="11060" max="11060" width="16.42578125" style="2329" customWidth="1"/>
    <col min="11061" max="11061" width="28.7109375" style="2329" customWidth="1"/>
    <col min="11062" max="11062" width="21.42578125" style="2329" customWidth="1"/>
    <col min="11063" max="11063" width="15.7109375" style="2329" bestFit="1" customWidth="1"/>
    <col min="11064" max="11283" width="11.42578125" style="2329"/>
    <col min="11284" max="11284" width="9.140625" style="2329" customWidth="1"/>
    <col min="11285" max="11285" width="20.140625" style="2329" customWidth="1"/>
    <col min="11286" max="11286" width="9.140625" style="2329" customWidth="1"/>
    <col min="11287" max="11287" width="21.7109375" style="2329" customWidth="1"/>
    <col min="11288" max="11288" width="9.140625" style="2329" customWidth="1"/>
    <col min="11289" max="11289" width="21.7109375" style="2329" customWidth="1"/>
    <col min="11290" max="11290" width="9.140625" style="2329" customWidth="1"/>
    <col min="11291" max="11291" width="28.140625" style="2329" customWidth="1"/>
    <col min="11292" max="11292" width="22" style="2329" customWidth="1"/>
    <col min="11293" max="11293" width="39.85546875" style="2329" customWidth="1"/>
    <col min="11294" max="11294" width="19" style="2329" customWidth="1"/>
    <col min="11295" max="11295" width="27.140625" style="2329" bestFit="1" customWidth="1"/>
    <col min="11296" max="11296" width="14.85546875" style="2329" customWidth="1"/>
    <col min="11297" max="11297" width="20.28515625" style="2329" customWidth="1"/>
    <col min="11298" max="11298" width="16.42578125" style="2329" customWidth="1"/>
    <col min="11299" max="11299" width="43.7109375" style="2329" customWidth="1"/>
    <col min="11300" max="11300" width="28.7109375" style="2329" customWidth="1"/>
    <col min="11301" max="11302" width="20.85546875" style="2329" customWidth="1"/>
    <col min="11303" max="11314" width="9.85546875" style="2329" customWidth="1"/>
    <col min="11315" max="11315" width="15.7109375" style="2329" customWidth="1"/>
    <col min="11316" max="11316" width="16.42578125" style="2329" customWidth="1"/>
    <col min="11317" max="11317" width="28.7109375" style="2329" customWidth="1"/>
    <col min="11318" max="11318" width="21.42578125" style="2329" customWidth="1"/>
    <col min="11319" max="11319" width="15.7109375" style="2329" bestFit="1" customWidth="1"/>
    <col min="11320" max="11539" width="11.42578125" style="2329"/>
    <col min="11540" max="11540" width="9.140625" style="2329" customWidth="1"/>
    <col min="11541" max="11541" width="20.140625" style="2329" customWidth="1"/>
    <col min="11542" max="11542" width="9.140625" style="2329" customWidth="1"/>
    <col min="11543" max="11543" width="21.7109375" style="2329" customWidth="1"/>
    <col min="11544" max="11544" width="9.140625" style="2329" customWidth="1"/>
    <col min="11545" max="11545" width="21.7109375" style="2329" customWidth="1"/>
    <col min="11546" max="11546" width="9.140625" style="2329" customWidth="1"/>
    <col min="11547" max="11547" width="28.140625" style="2329" customWidth="1"/>
    <col min="11548" max="11548" width="22" style="2329" customWidth="1"/>
    <col min="11549" max="11549" width="39.85546875" style="2329" customWidth="1"/>
    <col min="11550" max="11550" width="19" style="2329" customWidth="1"/>
    <col min="11551" max="11551" width="27.140625" style="2329" bestFit="1" customWidth="1"/>
    <col min="11552" max="11552" width="14.85546875" style="2329" customWidth="1"/>
    <col min="11553" max="11553" width="20.28515625" style="2329" customWidth="1"/>
    <col min="11554" max="11554" width="16.42578125" style="2329" customWidth="1"/>
    <col min="11555" max="11555" width="43.7109375" style="2329" customWidth="1"/>
    <col min="11556" max="11556" width="28.7109375" style="2329" customWidth="1"/>
    <col min="11557" max="11558" width="20.85546875" style="2329" customWidth="1"/>
    <col min="11559" max="11570" width="9.85546875" style="2329" customWidth="1"/>
    <col min="11571" max="11571" width="15.7109375" style="2329" customWidth="1"/>
    <col min="11572" max="11572" width="16.42578125" style="2329" customWidth="1"/>
    <col min="11573" max="11573" width="28.7109375" style="2329" customWidth="1"/>
    <col min="11574" max="11574" width="21.42578125" style="2329" customWidth="1"/>
    <col min="11575" max="11575" width="15.7109375" style="2329" bestFit="1" customWidth="1"/>
    <col min="11576" max="11795" width="11.42578125" style="2329"/>
    <col min="11796" max="11796" width="9.140625" style="2329" customWidth="1"/>
    <col min="11797" max="11797" width="20.140625" style="2329" customWidth="1"/>
    <col min="11798" max="11798" width="9.140625" style="2329" customWidth="1"/>
    <col min="11799" max="11799" width="21.7109375" style="2329" customWidth="1"/>
    <col min="11800" max="11800" width="9.140625" style="2329" customWidth="1"/>
    <col min="11801" max="11801" width="21.7109375" style="2329" customWidth="1"/>
    <col min="11802" max="11802" width="9.140625" style="2329" customWidth="1"/>
    <col min="11803" max="11803" width="28.140625" style="2329" customWidth="1"/>
    <col min="11804" max="11804" width="22" style="2329" customWidth="1"/>
    <col min="11805" max="11805" width="39.85546875" style="2329" customWidth="1"/>
    <col min="11806" max="11806" width="19" style="2329" customWidth="1"/>
    <col min="11807" max="11807" width="27.140625" style="2329" bestFit="1" customWidth="1"/>
    <col min="11808" max="11808" width="14.85546875" style="2329" customWidth="1"/>
    <col min="11809" max="11809" width="20.28515625" style="2329" customWidth="1"/>
    <col min="11810" max="11810" width="16.42578125" style="2329" customWidth="1"/>
    <col min="11811" max="11811" width="43.7109375" style="2329" customWidth="1"/>
    <col min="11812" max="11812" width="28.7109375" style="2329" customWidth="1"/>
    <col min="11813" max="11814" width="20.85546875" style="2329" customWidth="1"/>
    <col min="11815" max="11826" width="9.85546875" style="2329" customWidth="1"/>
    <col min="11827" max="11827" width="15.7109375" style="2329" customWidth="1"/>
    <col min="11828" max="11828" width="16.42578125" style="2329" customWidth="1"/>
    <col min="11829" max="11829" width="28.7109375" style="2329" customWidth="1"/>
    <col min="11830" max="11830" width="21.42578125" style="2329" customWidth="1"/>
    <col min="11831" max="11831" width="15.7109375" style="2329" bestFit="1" customWidth="1"/>
    <col min="11832" max="12051" width="11.42578125" style="2329"/>
    <col min="12052" max="12052" width="9.140625" style="2329" customWidth="1"/>
    <col min="12053" max="12053" width="20.140625" style="2329" customWidth="1"/>
    <col min="12054" max="12054" width="9.140625" style="2329" customWidth="1"/>
    <col min="12055" max="12055" width="21.7109375" style="2329" customWidth="1"/>
    <col min="12056" max="12056" width="9.140625" style="2329" customWidth="1"/>
    <col min="12057" max="12057" width="21.7109375" style="2329" customWidth="1"/>
    <col min="12058" max="12058" width="9.140625" style="2329" customWidth="1"/>
    <col min="12059" max="12059" width="28.140625" style="2329" customWidth="1"/>
    <col min="12060" max="12060" width="22" style="2329" customWidth="1"/>
    <col min="12061" max="12061" width="39.85546875" style="2329" customWidth="1"/>
    <col min="12062" max="12062" width="19" style="2329" customWidth="1"/>
    <col min="12063" max="12063" width="27.140625" style="2329" bestFit="1" customWidth="1"/>
    <col min="12064" max="12064" width="14.85546875" style="2329" customWidth="1"/>
    <col min="12065" max="12065" width="20.28515625" style="2329" customWidth="1"/>
    <col min="12066" max="12066" width="16.42578125" style="2329" customWidth="1"/>
    <col min="12067" max="12067" width="43.7109375" style="2329" customWidth="1"/>
    <col min="12068" max="12068" width="28.7109375" style="2329" customWidth="1"/>
    <col min="12069" max="12070" width="20.85546875" style="2329" customWidth="1"/>
    <col min="12071" max="12082" width="9.85546875" style="2329" customWidth="1"/>
    <col min="12083" max="12083" width="15.7109375" style="2329" customWidth="1"/>
    <col min="12084" max="12084" width="16.42578125" style="2329" customWidth="1"/>
    <col min="12085" max="12085" width="28.7109375" style="2329" customWidth="1"/>
    <col min="12086" max="12086" width="21.42578125" style="2329" customWidth="1"/>
    <col min="12087" max="12087" width="15.7109375" style="2329" bestFit="1" customWidth="1"/>
    <col min="12088" max="12307" width="11.42578125" style="2329"/>
    <col min="12308" max="12308" width="9.140625" style="2329" customWidth="1"/>
    <col min="12309" max="12309" width="20.140625" style="2329" customWidth="1"/>
    <col min="12310" max="12310" width="9.140625" style="2329" customWidth="1"/>
    <col min="12311" max="12311" width="21.7109375" style="2329" customWidth="1"/>
    <col min="12312" max="12312" width="9.140625" style="2329" customWidth="1"/>
    <col min="12313" max="12313" width="21.7109375" style="2329" customWidth="1"/>
    <col min="12314" max="12314" width="9.140625" style="2329" customWidth="1"/>
    <col min="12315" max="12315" width="28.140625" style="2329" customWidth="1"/>
    <col min="12316" max="12316" width="22" style="2329" customWidth="1"/>
    <col min="12317" max="12317" width="39.85546875" style="2329" customWidth="1"/>
    <col min="12318" max="12318" width="19" style="2329" customWidth="1"/>
    <col min="12319" max="12319" width="27.140625" style="2329" bestFit="1" customWidth="1"/>
    <col min="12320" max="12320" width="14.85546875" style="2329" customWidth="1"/>
    <col min="12321" max="12321" width="20.28515625" style="2329" customWidth="1"/>
    <col min="12322" max="12322" width="16.42578125" style="2329" customWidth="1"/>
    <col min="12323" max="12323" width="43.7109375" style="2329" customWidth="1"/>
    <col min="12324" max="12324" width="28.7109375" style="2329" customWidth="1"/>
    <col min="12325" max="12326" width="20.85546875" style="2329" customWidth="1"/>
    <col min="12327" max="12338" width="9.85546875" style="2329" customWidth="1"/>
    <col min="12339" max="12339" width="15.7109375" style="2329" customWidth="1"/>
    <col min="12340" max="12340" width="16.42578125" style="2329" customWidth="1"/>
    <col min="12341" max="12341" width="28.7109375" style="2329" customWidth="1"/>
    <col min="12342" max="12342" width="21.42578125" style="2329" customWidth="1"/>
    <col min="12343" max="12343" width="15.7109375" style="2329" bestFit="1" customWidth="1"/>
    <col min="12344" max="12563" width="11.42578125" style="2329"/>
    <col min="12564" max="12564" width="9.140625" style="2329" customWidth="1"/>
    <col min="12565" max="12565" width="20.140625" style="2329" customWidth="1"/>
    <col min="12566" max="12566" width="9.140625" style="2329" customWidth="1"/>
    <col min="12567" max="12567" width="21.7109375" style="2329" customWidth="1"/>
    <col min="12568" max="12568" width="9.140625" style="2329" customWidth="1"/>
    <col min="12569" max="12569" width="21.7109375" style="2329" customWidth="1"/>
    <col min="12570" max="12570" width="9.140625" style="2329" customWidth="1"/>
    <col min="12571" max="12571" width="28.140625" style="2329" customWidth="1"/>
    <col min="12572" max="12572" width="22" style="2329" customWidth="1"/>
    <col min="12573" max="12573" width="39.85546875" style="2329" customWidth="1"/>
    <col min="12574" max="12574" width="19" style="2329" customWidth="1"/>
    <col min="12575" max="12575" width="27.140625" style="2329" bestFit="1" customWidth="1"/>
    <col min="12576" max="12576" width="14.85546875" style="2329" customWidth="1"/>
    <col min="12577" max="12577" width="20.28515625" style="2329" customWidth="1"/>
    <col min="12578" max="12578" width="16.42578125" style="2329" customWidth="1"/>
    <col min="12579" max="12579" width="43.7109375" style="2329" customWidth="1"/>
    <col min="12580" max="12580" width="28.7109375" style="2329" customWidth="1"/>
    <col min="12581" max="12582" width="20.85546875" style="2329" customWidth="1"/>
    <col min="12583" max="12594" width="9.85546875" style="2329" customWidth="1"/>
    <col min="12595" max="12595" width="15.7109375" style="2329" customWidth="1"/>
    <col min="12596" max="12596" width="16.42578125" style="2329" customWidth="1"/>
    <col min="12597" max="12597" width="28.7109375" style="2329" customWidth="1"/>
    <col min="12598" max="12598" width="21.42578125" style="2329" customWidth="1"/>
    <col min="12599" max="12599" width="15.7109375" style="2329" bestFit="1" customWidth="1"/>
    <col min="12600" max="12819" width="11.42578125" style="2329"/>
    <col min="12820" max="12820" width="9.140625" style="2329" customWidth="1"/>
    <col min="12821" max="12821" width="20.140625" style="2329" customWidth="1"/>
    <col min="12822" max="12822" width="9.140625" style="2329" customWidth="1"/>
    <col min="12823" max="12823" width="21.7109375" style="2329" customWidth="1"/>
    <col min="12824" max="12824" width="9.140625" style="2329" customWidth="1"/>
    <col min="12825" max="12825" width="21.7109375" style="2329" customWidth="1"/>
    <col min="12826" max="12826" width="9.140625" style="2329" customWidth="1"/>
    <col min="12827" max="12827" width="28.140625" style="2329" customWidth="1"/>
    <col min="12828" max="12828" width="22" style="2329" customWidth="1"/>
    <col min="12829" max="12829" width="39.85546875" style="2329" customWidth="1"/>
    <col min="12830" max="12830" width="19" style="2329" customWidth="1"/>
    <col min="12831" max="12831" width="27.140625" style="2329" bestFit="1" customWidth="1"/>
    <col min="12832" max="12832" width="14.85546875" style="2329" customWidth="1"/>
    <col min="12833" max="12833" width="20.28515625" style="2329" customWidth="1"/>
    <col min="12834" max="12834" width="16.42578125" style="2329" customWidth="1"/>
    <col min="12835" max="12835" width="43.7109375" style="2329" customWidth="1"/>
    <col min="12836" max="12836" width="28.7109375" style="2329" customWidth="1"/>
    <col min="12837" max="12838" width="20.85546875" style="2329" customWidth="1"/>
    <col min="12839" max="12850" width="9.85546875" style="2329" customWidth="1"/>
    <col min="12851" max="12851" width="15.7109375" style="2329" customWidth="1"/>
    <col min="12852" max="12852" width="16.42578125" style="2329" customWidth="1"/>
    <col min="12853" max="12853" width="28.7109375" style="2329" customWidth="1"/>
    <col min="12854" max="12854" width="21.42578125" style="2329" customWidth="1"/>
    <col min="12855" max="12855" width="15.7109375" style="2329" bestFit="1" customWidth="1"/>
    <col min="12856" max="13075" width="11.42578125" style="2329"/>
    <col min="13076" max="13076" width="9.140625" style="2329" customWidth="1"/>
    <col min="13077" max="13077" width="20.140625" style="2329" customWidth="1"/>
    <col min="13078" max="13078" width="9.140625" style="2329" customWidth="1"/>
    <col min="13079" max="13079" width="21.7109375" style="2329" customWidth="1"/>
    <col min="13080" max="13080" width="9.140625" style="2329" customWidth="1"/>
    <col min="13081" max="13081" width="21.7109375" style="2329" customWidth="1"/>
    <col min="13082" max="13082" width="9.140625" style="2329" customWidth="1"/>
    <col min="13083" max="13083" width="28.140625" style="2329" customWidth="1"/>
    <col min="13084" max="13084" width="22" style="2329" customWidth="1"/>
    <col min="13085" max="13085" width="39.85546875" style="2329" customWidth="1"/>
    <col min="13086" max="13086" width="19" style="2329" customWidth="1"/>
    <col min="13087" max="13087" width="27.140625" style="2329" bestFit="1" customWidth="1"/>
    <col min="13088" max="13088" width="14.85546875" style="2329" customWidth="1"/>
    <col min="13089" max="13089" width="20.28515625" style="2329" customWidth="1"/>
    <col min="13090" max="13090" width="16.42578125" style="2329" customWidth="1"/>
    <col min="13091" max="13091" width="43.7109375" style="2329" customWidth="1"/>
    <col min="13092" max="13092" width="28.7109375" style="2329" customWidth="1"/>
    <col min="13093" max="13094" width="20.85546875" style="2329" customWidth="1"/>
    <col min="13095" max="13106" width="9.85546875" style="2329" customWidth="1"/>
    <col min="13107" max="13107" width="15.7109375" style="2329" customWidth="1"/>
    <col min="13108" max="13108" width="16.42578125" style="2329" customWidth="1"/>
    <col min="13109" max="13109" width="28.7109375" style="2329" customWidth="1"/>
    <col min="13110" max="13110" width="21.42578125" style="2329" customWidth="1"/>
    <col min="13111" max="13111" width="15.7109375" style="2329" bestFit="1" customWidth="1"/>
    <col min="13112" max="13331" width="11.42578125" style="2329"/>
    <col min="13332" max="13332" width="9.140625" style="2329" customWidth="1"/>
    <col min="13333" max="13333" width="20.140625" style="2329" customWidth="1"/>
    <col min="13334" max="13334" width="9.140625" style="2329" customWidth="1"/>
    <col min="13335" max="13335" width="21.7109375" style="2329" customWidth="1"/>
    <col min="13336" max="13336" width="9.140625" style="2329" customWidth="1"/>
    <col min="13337" max="13337" width="21.7109375" style="2329" customWidth="1"/>
    <col min="13338" max="13338" width="9.140625" style="2329" customWidth="1"/>
    <col min="13339" max="13339" width="28.140625" style="2329" customWidth="1"/>
    <col min="13340" max="13340" width="22" style="2329" customWidth="1"/>
    <col min="13341" max="13341" width="39.85546875" style="2329" customWidth="1"/>
    <col min="13342" max="13342" width="19" style="2329" customWidth="1"/>
    <col min="13343" max="13343" width="27.140625" style="2329" bestFit="1" customWidth="1"/>
    <col min="13344" max="13344" width="14.85546875" style="2329" customWidth="1"/>
    <col min="13345" max="13345" width="20.28515625" style="2329" customWidth="1"/>
    <col min="13346" max="13346" width="16.42578125" style="2329" customWidth="1"/>
    <col min="13347" max="13347" width="43.7109375" style="2329" customWidth="1"/>
    <col min="13348" max="13348" width="28.7109375" style="2329" customWidth="1"/>
    <col min="13349" max="13350" width="20.85546875" style="2329" customWidth="1"/>
    <col min="13351" max="13362" width="9.85546875" style="2329" customWidth="1"/>
    <col min="13363" max="13363" width="15.7109375" style="2329" customWidth="1"/>
    <col min="13364" max="13364" width="16.42578125" style="2329" customWidth="1"/>
    <col min="13365" max="13365" width="28.7109375" style="2329" customWidth="1"/>
    <col min="13366" max="13366" width="21.42578125" style="2329" customWidth="1"/>
    <col min="13367" max="13367" width="15.7109375" style="2329" bestFit="1" customWidth="1"/>
    <col min="13368" max="13587" width="11.42578125" style="2329"/>
    <col min="13588" max="13588" width="9.140625" style="2329" customWidth="1"/>
    <col min="13589" max="13589" width="20.140625" style="2329" customWidth="1"/>
    <col min="13590" max="13590" width="9.140625" style="2329" customWidth="1"/>
    <col min="13591" max="13591" width="21.7109375" style="2329" customWidth="1"/>
    <col min="13592" max="13592" width="9.140625" style="2329" customWidth="1"/>
    <col min="13593" max="13593" width="21.7109375" style="2329" customWidth="1"/>
    <col min="13594" max="13594" width="9.140625" style="2329" customWidth="1"/>
    <col min="13595" max="13595" width="28.140625" style="2329" customWidth="1"/>
    <col min="13596" max="13596" width="22" style="2329" customWidth="1"/>
    <col min="13597" max="13597" width="39.85546875" style="2329" customWidth="1"/>
    <col min="13598" max="13598" width="19" style="2329" customWidth="1"/>
    <col min="13599" max="13599" width="27.140625" style="2329" bestFit="1" customWidth="1"/>
    <col min="13600" max="13600" width="14.85546875" style="2329" customWidth="1"/>
    <col min="13601" max="13601" width="20.28515625" style="2329" customWidth="1"/>
    <col min="13602" max="13602" width="16.42578125" style="2329" customWidth="1"/>
    <col min="13603" max="13603" width="43.7109375" style="2329" customWidth="1"/>
    <col min="13604" max="13604" width="28.7109375" style="2329" customWidth="1"/>
    <col min="13605" max="13606" width="20.85546875" style="2329" customWidth="1"/>
    <col min="13607" max="13618" width="9.85546875" style="2329" customWidth="1"/>
    <col min="13619" max="13619" width="15.7109375" style="2329" customWidth="1"/>
    <col min="13620" max="13620" width="16.42578125" style="2329" customWidth="1"/>
    <col min="13621" max="13621" width="28.7109375" style="2329" customWidth="1"/>
    <col min="13622" max="13622" width="21.42578125" style="2329" customWidth="1"/>
    <col min="13623" max="13623" width="15.7109375" style="2329" bestFit="1" customWidth="1"/>
    <col min="13624" max="13843" width="11.42578125" style="2329"/>
    <col min="13844" max="13844" width="9.140625" style="2329" customWidth="1"/>
    <col min="13845" max="13845" width="20.140625" style="2329" customWidth="1"/>
    <col min="13846" max="13846" width="9.140625" style="2329" customWidth="1"/>
    <col min="13847" max="13847" width="21.7109375" style="2329" customWidth="1"/>
    <col min="13848" max="13848" width="9.140625" style="2329" customWidth="1"/>
    <col min="13849" max="13849" width="21.7109375" style="2329" customWidth="1"/>
    <col min="13850" max="13850" width="9.140625" style="2329" customWidth="1"/>
    <col min="13851" max="13851" width="28.140625" style="2329" customWidth="1"/>
    <col min="13852" max="13852" width="22" style="2329" customWidth="1"/>
    <col min="13853" max="13853" width="39.85546875" style="2329" customWidth="1"/>
    <col min="13854" max="13854" width="19" style="2329" customWidth="1"/>
    <col min="13855" max="13855" width="27.140625" style="2329" bestFit="1" customWidth="1"/>
    <col min="13856" max="13856" width="14.85546875" style="2329" customWidth="1"/>
    <col min="13857" max="13857" width="20.28515625" style="2329" customWidth="1"/>
    <col min="13858" max="13858" width="16.42578125" style="2329" customWidth="1"/>
    <col min="13859" max="13859" width="43.7109375" style="2329" customWidth="1"/>
    <col min="13860" max="13860" width="28.7109375" style="2329" customWidth="1"/>
    <col min="13861" max="13862" width="20.85546875" style="2329" customWidth="1"/>
    <col min="13863" max="13874" width="9.85546875" style="2329" customWidth="1"/>
    <col min="13875" max="13875" width="15.7109375" style="2329" customWidth="1"/>
    <col min="13876" max="13876" width="16.42578125" style="2329" customWidth="1"/>
    <col min="13877" max="13877" width="28.7109375" style="2329" customWidth="1"/>
    <col min="13878" max="13878" width="21.42578125" style="2329" customWidth="1"/>
    <col min="13879" max="13879" width="15.7109375" style="2329" bestFit="1" customWidth="1"/>
    <col min="13880" max="14099" width="11.42578125" style="2329"/>
    <col min="14100" max="14100" width="9.140625" style="2329" customWidth="1"/>
    <col min="14101" max="14101" width="20.140625" style="2329" customWidth="1"/>
    <col min="14102" max="14102" width="9.140625" style="2329" customWidth="1"/>
    <col min="14103" max="14103" width="21.7109375" style="2329" customWidth="1"/>
    <col min="14104" max="14104" width="9.140625" style="2329" customWidth="1"/>
    <col min="14105" max="14105" width="21.7109375" style="2329" customWidth="1"/>
    <col min="14106" max="14106" width="9.140625" style="2329" customWidth="1"/>
    <col min="14107" max="14107" width="28.140625" style="2329" customWidth="1"/>
    <col min="14108" max="14108" width="22" style="2329" customWidth="1"/>
    <col min="14109" max="14109" width="39.85546875" style="2329" customWidth="1"/>
    <col min="14110" max="14110" width="19" style="2329" customWidth="1"/>
    <col min="14111" max="14111" width="27.140625" style="2329" bestFit="1" customWidth="1"/>
    <col min="14112" max="14112" width="14.85546875" style="2329" customWidth="1"/>
    <col min="14113" max="14113" width="20.28515625" style="2329" customWidth="1"/>
    <col min="14114" max="14114" width="16.42578125" style="2329" customWidth="1"/>
    <col min="14115" max="14115" width="43.7109375" style="2329" customWidth="1"/>
    <col min="14116" max="14116" width="28.7109375" style="2329" customWidth="1"/>
    <col min="14117" max="14118" width="20.85546875" style="2329" customWidth="1"/>
    <col min="14119" max="14130" width="9.85546875" style="2329" customWidth="1"/>
    <col min="14131" max="14131" width="15.7109375" style="2329" customWidth="1"/>
    <col min="14132" max="14132" width="16.42578125" style="2329" customWidth="1"/>
    <col min="14133" max="14133" width="28.7109375" style="2329" customWidth="1"/>
    <col min="14134" max="14134" width="21.42578125" style="2329" customWidth="1"/>
    <col min="14135" max="14135" width="15.7109375" style="2329" bestFit="1" customWidth="1"/>
    <col min="14136" max="14355" width="11.42578125" style="2329"/>
    <col min="14356" max="14356" width="9.140625" style="2329" customWidth="1"/>
    <col min="14357" max="14357" width="20.140625" style="2329" customWidth="1"/>
    <col min="14358" max="14358" width="9.140625" style="2329" customWidth="1"/>
    <col min="14359" max="14359" width="21.7109375" style="2329" customWidth="1"/>
    <col min="14360" max="14360" width="9.140625" style="2329" customWidth="1"/>
    <col min="14361" max="14361" width="21.7109375" style="2329" customWidth="1"/>
    <col min="14362" max="14362" width="9.140625" style="2329" customWidth="1"/>
    <col min="14363" max="14363" width="28.140625" style="2329" customWidth="1"/>
    <col min="14364" max="14364" width="22" style="2329" customWidth="1"/>
    <col min="14365" max="14365" width="39.85546875" style="2329" customWidth="1"/>
    <col min="14366" max="14366" width="19" style="2329" customWidth="1"/>
    <col min="14367" max="14367" width="27.140625" style="2329" bestFit="1" customWidth="1"/>
    <col min="14368" max="14368" width="14.85546875" style="2329" customWidth="1"/>
    <col min="14369" max="14369" width="20.28515625" style="2329" customWidth="1"/>
    <col min="14370" max="14370" width="16.42578125" style="2329" customWidth="1"/>
    <col min="14371" max="14371" width="43.7109375" style="2329" customWidth="1"/>
    <col min="14372" max="14372" width="28.7109375" style="2329" customWidth="1"/>
    <col min="14373" max="14374" width="20.85546875" style="2329" customWidth="1"/>
    <col min="14375" max="14386" width="9.85546875" style="2329" customWidth="1"/>
    <col min="14387" max="14387" width="15.7109375" style="2329" customWidth="1"/>
    <col min="14388" max="14388" width="16.42578125" style="2329" customWidth="1"/>
    <col min="14389" max="14389" width="28.7109375" style="2329" customWidth="1"/>
    <col min="14390" max="14390" width="21.42578125" style="2329" customWidth="1"/>
    <col min="14391" max="14391" width="15.7109375" style="2329" bestFit="1" customWidth="1"/>
    <col min="14392" max="14611" width="11.42578125" style="2329"/>
    <col min="14612" max="14612" width="9.140625" style="2329" customWidth="1"/>
    <col min="14613" max="14613" width="20.140625" style="2329" customWidth="1"/>
    <col min="14614" max="14614" width="9.140625" style="2329" customWidth="1"/>
    <col min="14615" max="14615" width="21.7109375" style="2329" customWidth="1"/>
    <col min="14616" max="14616" width="9.140625" style="2329" customWidth="1"/>
    <col min="14617" max="14617" width="21.7109375" style="2329" customWidth="1"/>
    <col min="14618" max="14618" width="9.140625" style="2329" customWidth="1"/>
    <col min="14619" max="14619" width="28.140625" style="2329" customWidth="1"/>
    <col min="14620" max="14620" width="22" style="2329" customWidth="1"/>
    <col min="14621" max="14621" width="39.85546875" style="2329" customWidth="1"/>
    <col min="14622" max="14622" width="19" style="2329" customWidth="1"/>
    <col min="14623" max="14623" width="27.140625" style="2329" bestFit="1" customWidth="1"/>
    <col min="14624" max="14624" width="14.85546875" style="2329" customWidth="1"/>
    <col min="14625" max="14625" width="20.28515625" style="2329" customWidth="1"/>
    <col min="14626" max="14626" width="16.42578125" style="2329" customWidth="1"/>
    <col min="14627" max="14627" width="43.7109375" style="2329" customWidth="1"/>
    <col min="14628" max="14628" width="28.7109375" style="2329" customWidth="1"/>
    <col min="14629" max="14630" width="20.85546875" style="2329" customWidth="1"/>
    <col min="14631" max="14642" width="9.85546875" style="2329" customWidth="1"/>
    <col min="14643" max="14643" width="15.7109375" style="2329" customWidth="1"/>
    <col min="14644" max="14644" width="16.42578125" style="2329" customWidth="1"/>
    <col min="14645" max="14645" width="28.7109375" style="2329" customWidth="1"/>
    <col min="14646" max="14646" width="21.42578125" style="2329" customWidth="1"/>
    <col min="14647" max="14647" width="15.7109375" style="2329" bestFit="1" customWidth="1"/>
    <col min="14648" max="14867" width="11.42578125" style="2329"/>
    <col min="14868" max="14868" width="9.140625" style="2329" customWidth="1"/>
    <col min="14869" max="14869" width="20.140625" style="2329" customWidth="1"/>
    <col min="14870" max="14870" width="9.140625" style="2329" customWidth="1"/>
    <col min="14871" max="14871" width="21.7109375" style="2329" customWidth="1"/>
    <col min="14872" max="14872" width="9.140625" style="2329" customWidth="1"/>
    <col min="14873" max="14873" width="21.7109375" style="2329" customWidth="1"/>
    <col min="14874" max="14874" width="9.140625" style="2329" customWidth="1"/>
    <col min="14875" max="14875" width="28.140625" style="2329" customWidth="1"/>
    <col min="14876" max="14876" width="22" style="2329" customWidth="1"/>
    <col min="14877" max="14877" width="39.85546875" style="2329" customWidth="1"/>
    <col min="14878" max="14878" width="19" style="2329" customWidth="1"/>
    <col min="14879" max="14879" width="27.140625" style="2329" bestFit="1" customWidth="1"/>
    <col min="14880" max="14880" width="14.85546875" style="2329" customWidth="1"/>
    <col min="14881" max="14881" width="20.28515625" style="2329" customWidth="1"/>
    <col min="14882" max="14882" width="16.42578125" style="2329" customWidth="1"/>
    <col min="14883" max="14883" width="43.7109375" style="2329" customWidth="1"/>
    <col min="14884" max="14884" width="28.7109375" style="2329" customWidth="1"/>
    <col min="14885" max="14886" width="20.85546875" style="2329" customWidth="1"/>
    <col min="14887" max="14898" width="9.85546875" style="2329" customWidth="1"/>
    <col min="14899" max="14899" width="15.7109375" style="2329" customWidth="1"/>
    <col min="14900" max="14900" width="16.42578125" style="2329" customWidth="1"/>
    <col min="14901" max="14901" width="28.7109375" style="2329" customWidth="1"/>
    <col min="14902" max="14902" width="21.42578125" style="2329" customWidth="1"/>
    <col min="14903" max="14903" width="15.7109375" style="2329" bestFit="1" customWidth="1"/>
    <col min="14904" max="15123" width="11.42578125" style="2329"/>
    <col min="15124" max="15124" width="9.140625" style="2329" customWidth="1"/>
    <col min="15125" max="15125" width="20.140625" style="2329" customWidth="1"/>
    <col min="15126" max="15126" width="9.140625" style="2329" customWidth="1"/>
    <col min="15127" max="15127" width="21.7109375" style="2329" customWidth="1"/>
    <col min="15128" max="15128" width="9.140625" style="2329" customWidth="1"/>
    <col min="15129" max="15129" width="21.7109375" style="2329" customWidth="1"/>
    <col min="15130" max="15130" width="9.140625" style="2329" customWidth="1"/>
    <col min="15131" max="15131" width="28.140625" style="2329" customWidth="1"/>
    <col min="15132" max="15132" width="22" style="2329" customWidth="1"/>
    <col min="15133" max="15133" width="39.85546875" style="2329" customWidth="1"/>
    <col min="15134" max="15134" width="19" style="2329" customWidth="1"/>
    <col min="15135" max="15135" width="27.140625" style="2329" bestFit="1" customWidth="1"/>
    <col min="15136" max="15136" width="14.85546875" style="2329" customWidth="1"/>
    <col min="15137" max="15137" width="20.28515625" style="2329" customWidth="1"/>
    <col min="15138" max="15138" width="16.42578125" style="2329" customWidth="1"/>
    <col min="15139" max="15139" width="43.7109375" style="2329" customWidth="1"/>
    <col min="15140" max="15140" width="28.7109375" style="2329" customWidth="1"/>
    <col min="15141" max="15142" width="20.85546875" style="2329" customWidth="1"/>
    <col min="15143" max="15154" width="9.85546875" style="2329" customWidth="1"/>
    <col min="15155" max="15155" width="15.7109375" style="2329" customWidth="1"/>
    <col min="15156" max="15156" width="16.42578125" style="2329" customWidth="1"/>
    <col min="15157" max="15157" width="28.7109375" style="2329" customWidth="1"/>
    <col min="15158" max="15158" width="21.42578125" style="2329" customWidth="1"/>
    <col min="15159" max="15159" width="15.7109375" style="2329" bestFit="1" customWidth="1"/>
    <col min="15160" max="15379" width="11.42578125" style="2329"/>
    <col min="15380" max="15380" width="9.140625" style="2329" customWidth="1"/>
    <col min="15381" max="15381" width="20.140625" style="2329" customWidth="1"/>
    <col min="15382" max="15382" width="9.140625" style="2329" customWidth="1"/>
    <col min="15383" max="15383" width="21.7109375" style="2329" customWidth="1"/>
    <col min="15384" max="15384" width="9.140625" style="2329" customWidth="1"/>
    <col min="15385" max="15385" width="21.7109375" style="2329" customWidth="1"/>
    <col min="15386" max="15386" width="9.140625" style="2329" customWidth="1"/>
    <col min="15387" max="15387" width="28.140625" style="2329" customWidth="1"/>
    <col min="15388" max="15388" width="22" style="2329" customWidth="1"/>
    <col min="15389" max="15389" width="39.85546875" style="2329" customWidth="1"/>
    <col min="15390" max="15390" width="19" style="2329" customWidth="1"/>
    <col min="15391" max="15391" width="27.140625" style="2329" bestFit="1" customWidth="1"/>
    <col min="15392" max="15392" width="14.85546875" style="2329" customWidth="1"/>
    <col min="15393" max="15393" width="20.28515625" style="2329" customWidth="1"/>
    <col min="15394" max="15394" width="16.42578125" style="2329" customWidth="1"/>
    <col min="15395" max="15395" width="43.7109375" style="2329" customWidth="1"/>
    <col min="15396" max="15396" width="28.7109375" style="2329" customWidth="1"/>
    <col min="15397" max="15398" width="20.85546875" style="2329" customWidth="1"/>
    <col min="15399" max="15410" width="9.85546875" style="2329" customWidth="1"/>
    <col min="15411" max="15411" width="15.7109375" style="2329" customWidth="1"/>
    <col min="15412" max="15412" width="16.42578125" style="2329" customWidth="1"/>
    <col min="15413" max="15413" width="28.7109375" style="2329" customWidth="1"/>
    <col min="15414" max="15414" width="21.42578125" style="2329" customWidth="1"/>
    <col min="15415" max="15415" width="15.7109375" style="2329" bestFit="1" customWidth="1"/>
    <col min="15416" max="15635" width="11.42578125" style="2329"/>
    <col min="15636" max="15636" width="9.140625" style="2329" customWidth="1"/>
    <col min="15637" max="15637" width="20.140625" style="2329" customWidth="1"/>
    <col min="15638" max="15638" width="9.140625" style="2329" customWidth="1"/>
    <col min="15639" max="15639" width="21.7109375" style="2329" customWidth="1"/>
    <col min="15640" max="15640" width="9.140625" style="2329" customWidth="1"/>
    <col min="15641" max="15641" width="21.7109375" style="2329" customWidth="1"/>
    <col min="15642" max="15642" width="9.140625" style="2329" customWidth="1"/>
    <col min="15643" max="15643" width="28.140625" style="2329" customWidth="1"/>
    <col min="15644" max="15644" width="22" style="2329" customWidth="1"/>
    <col min="15645" max="15645" width="39.85546875" style="2329" customWidth="1"/>
    <col min="15646" max="15646" width="19" style="2329" customWidth="1"/>
    <col min="15647" max="15647" width="27.140625" style="2329" bestFit="1" customWidth="1"/>
    <col min="15648" max="15648" width="14.85546875" style="2329" customWidth="1"/>
    <col min="15649" max="15649" width="20.28515625" style="2329" customWidth="1"/>
    <col min="15650" max="15650" width="16.42578125" style="2329" customWidth="1"/>
    <col min="15651" max="15651" width="43.7109375" style="2329" customWidth="1"/>
    <col min="15652" max="15652" width="28.7109375" style="2329" customWidth="1"/>
    <col min="15653" max="15654" width="20.85546875" style="2329" customWidth="1"/>
    <col min="15655" max="15666" width="9.85546875" style="2329" customWidth="1"/>
    <col min="15667" max="15667" width="15.7109375" style="2329" customWidth="1"/>
    <col min="15668" max="15668" width="16.42578125" style="2329" customWidth="1"/>
    <col min="15669" max="15669" width="28.7109375" style="2329" customWidth="1"/>
    <col min="15670" max="15670" width="21.42578125" style="2329" customWidth="1"/>
    <col min="15671" max="15671" width="15.7109375" style="2329" bestFit="1" customWidth="1"/>
    <col min="15672" max="15891" width="11.42578125" style="2329"/>
    <col min="15892" max="15892" width="9.140625" style="2329" customWidth="1"/>
    <col min="15893" max="15893" width="20.140625" style="2329" customWidth="1"/>
    <col min="15894" max="15894" width="9.140625" style="2329" customWidth="1"/>
    <col min="15895" max="15895" width="21.7109375" style="2329" customWidth="1"/>
    <col min="15896" max="15896" width="9.140625" style="2329" customWidth="1"/>
    <col min="15897" max="15897" width="21.7109375" style="2329" customWidth="1"/>
    <col min="15898" max="15898" width="9.140625" style="2329" customWidth="1"/>
    <col min="15899" max="15899" width="28.140625" style="2329" customWidth="1"/>
    <col min="15900" max="15900" width="22" style="2329" customWidth="1"/>
    <col min="15901" max="15901" width="39.85546875" style="2329" customWidth="1"/>
    <col min="15902" max="15902" width="19" style="2329" customWidth="1"/>
    <col min="15903" max="15903" width="27.140625" style="2329" bestFit="1" customWidth="1"/>
    <col min="15904" max="15904" width="14.85546875" style="2329" customWidth="1"/>
    <col min="15905" max="15905" width="20.28515625" style="2329" customWidth="1"/>
    <col min="15906" max="15906" width="16.42578125" style="2329" customWidth="1"/>
    <col min="15907" max="15907" width="43.7109375" style="2329" customWidth="1"/>
    <col min="15908" max="15908" width="28.7109375" style="2329" customWidth="1"/>
    <col min="15909" max="15910" width="20.85546875" style="2329" customWidth="1"/>
    <col min="15911" max="15922" width="9.85546875" style="2329" customWidth="1"/>
    <col min="15923" max="15923" width="15.7109375" style="2329" customWidth="1"/>
    <col min="15924" max="15924" width="16.42578125" style="2329" customWidth="1"/>
    <col min="15925" max="15925" width="28.7109375" style="2329" customWidth="1"/>
    <col min="15926" max="15926" width="21.42578125" style="2329" customWidth="1"/>
    <col min="15927" max="15927" width="15.7109375" style="2329" bestFit="1" customWidth="1"/>
    <col min="15928" max="16147" width="11.42578125" style="2329"/>
    <col min="16148" max="16148" width="9.140625" style="2329" customWidth="1"/>
    <col min="16149" max="16149" width="20.140625" style="2329" customWidth="1"/>
    <col min="16150" max="16150" width="9.140625" style="2329" customWidth="1"/>
    <col min="16151" max="16151" width="21.7109375" style="2329" customWidth="1"/>
    <col min="16152" max="16152" width="9.140625" style="2329" customWidth="1"/>
    <col min="16153" max="16153" width="21.7109375" style="2329" customWidth="1"/>
    <col min="16154" max="16154" width="9.140625" style="2329" customWidth="1"/>
    <col min="16155" max="16155" width="28.140625" style="2329" customWidth="1"/>
    <col min="16156" max="16156" width="22" style="2329" customWidth="1"/>
    <col min="16157" max="16157" width="39.85546875" style="2329" customWidth="1"/>
    <col min="16158" max="16158" width="19" style="2329" customWidth="1"/>
    <col min="16159" max="16159" width="27.140625" style="2329" bestFit="1" customWidth="1"/>
    <col min="16160" max="16160" width="14.85546875" style="2329" customWidth="1"/>
    <col min="16161" max="16161" width="20.28515625" style="2329" customWidth="1"/>
    <col min="16162" max="16162" width="16.42578125" style="2329" customWidth="1"/>
    <col min="16163" max="16163" width="43.7109375" style="2329" customWidth="1"/>
    <col min="16164" max="16164" width="28.7109375" style="2329" customWidth="1"/>
    <col min="16165" max="16166" width="20.85546875" style="2329" customWidth="1"/>
    <col min="16167" max="16178" width="9.85546875" style="2329" customWidth="1"/>
    <col min="16179" max="16179" width="15.7109375" style="2329" customWidth="1"/>
    <col min="16180" max="16180" width="16.42578125" style="2329" customWidth="1"/>
    <col min="16181" max="16181" width="28.7109375" style="2329" customWidth="1"/>
    <col min="16182" max="16182" width="21.42578125" style="2329" customWidth="1"/>
    <col min="16183" max="16183" width="15.7109375" style="2329" bestFit="1" customWidth="1"/>
    <col min="16184" max="16384" width="11.42578125" style="2329"/>
  </cols>
  <sheetData>
    <row r="1" spans="1:60" ht="25.5" customHeight="1" x14ac:dyDescent="0.2">
      <c r="A1" s="4580" t="s">
        <v>1934</v>
      </c>
      <c r="B1" s="4580"/>
      <c r="C1" s="4580"/>
      <c r="D1" s="4580"/>
      <c r="E1" s="4580"/>
      <c r="F1" s="4580"/>
      <c r="G1" s="4580"/>
      <c r="H1" s="4580"/>
      <c r="I1" s="4580"/>
      <c r="J1" s="4580"/>
      <c r="K1" s="4580"/>
      <c r="L1" s="4580"/>
      <c r="M1" s="4580"/>
      <c r="N1" s="4580"/>
      <c r="O1" s="4580"/>
      <c r="P1" s="4580"/>
      <c r="Q1" s="4580"/>
      <c r="R1" s="4580"/>
      <c r="S1" s="4580"/>
      <c r="T1" s="4580"/>
      <c r="U1" s="4580"/>
      <c r="V1" s="4580"/>
      <c r="W1" s="4580"/>
      <c r="X1" s="4580"/>
      <c r="Y1" s="4580"/>
      <c r="Z1" s="4580"/>
      <c r="AA1" s="4580"/>
      <c r="AB1" s="4580"/>
      <c r="AC1" s="4580"/>
      <c r="AD1" s="4580"/>
      <c r="AE1" s="4580"/>
      <c r="AF1" s="4580"/>
      <c r="AG1" s="4580"/>
      <c r="AH1" s="4580"/>
      <c r="AI1" s="4580"/>
      <c r="AJ1" s="4580"/>
      <c r="AK1" s="4580"/>
      <c r="AL1" s="4580"/>
      <c r="AM1" s="4580"/>
      <c r="AN1" s="4580"/>
      <c r="AO1" s="4580"/>
      <c r="AP1" s="4580"/>
      <c r="AQ1" s="4580"/>
      <c r="AR1" s="4580"/>
      <c r="AS1" s="4580"/>
      <c r="AT1" s="4580"/>
      <c r="AU1" s="4580"/>
      <c r="AV1" s="4580"/>
      <c r="AW1" s="4580"/>
      <c r="AX1" s="4580"/>
      <c r="AY1" s="4580"/>
      <c r="AZ1" s="4580"/>
      <c r="BA1" s="4580"/>
      <c r="BB1" s="4580"/>
      <c r="BC1" s="4580"/>
      <c r="BD1" s="4580"/>
      <c r="BE1" s="4581"/>
      <c r="BF1" s="2327" t="s">
        <v>0</v>
      </c>
      <c r="BG1" s="2328" t="s">
        <v>1</v>
      </c>
    </row>
    <row r="2" spans="1:60" ht="25.5" customHeight="1" x14ac:dyDescent="0.2">
      <c r="A2" s="4580"/>
      <c r="B2" s="4580"/>
      <c r="C2" s="4580"/>
      <c r="D2" s="4580"/>
      <c r="E2" s="4580"/>
      <c r="F2" s="4580"/>
      <c r="G2" s="4580"/>
      <c r="H2" s="4580"/>
      <c r="I2" s="4580"/>
      <c r="J2" s="4580"/>
      <c r="K2" s="4580"/>
      <c r="L2" s="4580"/>
      <c r="M2" s="4580"/>
      <c r="N2" s="4580"/>
      <c r="O2" s="4580"/>
      <c r="P2" s="4580"/>
      <c r="Q2" s="4580"/>
      <c r="R2" s="4580"/>
      <c r="S2" s="4580"/>
      <c r="T2" s="4580"/>
      <c r="U2" s="4580"/>
      <c r="V2" s="4580"/>
      <c r="W2" s="4580"/>
      <c r="X2" s="4580"/>
      <c r="Y2" s="4580"/>
      <c r="Z2" s="4580"/>
      <c r="AA2" s="4580"/>
      <c r="AB2" s="4580"/>
      <c r="AC2" s="4580"/>
      <c r="AD2" s="4580"/>
      <c r="AE2" s="4580"/>
      <c r="AF2" s="4580"/>
      <c r="AG2" s="4580"/>
      <c r="AH2" s="4580"/>
      <c r="AI2" s="4580"/>
      <c r="AJ2" s="4580"/>
      <c r="AK2" s="4580"/>
      <c r="AL2" s="4580"/>
      <c r="AM2" s="4580"/>
      <c r="AN2" s="4580"/>
      <c r="AO2" s="4580"/>
      <c r="AP2" s="4580"/>
      <c r="AQ2" s="4580"/>
      <c r="AR2" s="4580"/>
      <c r="AS2" s="4580"/>
      <c r="AT2" s="4580"/>
      <c r="AU2" s="4580"/>
      <c r="AV2" s="4580"/>
      <c r="AW2" s="4580"/>
      <c r="AX2" s="4580"/>
      <c r="AY2" s="4580"/>
      <c r="AZ2" s="4580"/>
      <c r="BA2" s="4580"/>
      <c r="BB2" s="4580"/>
      <c r="BC2" s="4580"/>
      <c r="BD2" s="4580"/>
      <c r="BE2" s="4581"/>
      <c r="BF2" s="2330" t="s">
        <v>2</v>
      </c>
      <c r="BG2" s="2328" t="s">
        <v>475</v>
      </c>
    </row>
    <row r="3" spans="1:60" ht="25.5" customHeight="1" x14ac:dyDescent="0.2">
      <c r="A3" s="4580"/>
      <c r="B3" s="4580"/>
      <c r="C3" s="4580"/>
      <c r="D3" s="4580"/>
      <c r="E3" s="4580"/>
      <c r="F3" s="4580"/>
      <c r="G3" s="4580"/>
      <c r="H3" s="4580"/>
      <c r="I3" s="4580"/>
      <c r="J3" s="4580"/>
      <c r="K3" s="4580"/>
      <c r="L3" s="4580"/>
      <c r="M3" s="4580"/>
      <c r="N3" s="4580"/>
      <c r="O3" s="4580"/>
      <c r="P3" s="4580"/>
      <c r="Q3" s="4580"/>
      <c r="R3" s="4580"/>
      <c r="S3" s="4580"/>
      <c r="T3" s="4580"/>
      <c r="U3" s="4580"/>
      <c r="V3" s="4580"/>
      <c r="W3" s="4580"/>
      <c r="X3" s="4580"/>
      <c r="Y3" s="4580"/>
      <c r="Z3" s="4580"/>
      <c r="AA3" s="4580"/>
      <c r="AB3" s="4580"/>
      <c r="AC3" s="4580"/>
      <c r="AD3" s="4580"/>
      <c r="AE3" s="4580"/>
      <c r="AF3" s="4580"/>
      <c r="AG3" s="4580"/>
      <c r="AH3" s="4580"/>
      <c r="AI3" s="4580"/>
      <c r="AJ3" s="4580"/>
      <c r="AK3" s="4580"/>
      <c r="AL3" s="4580"/>
      <c r="AM3" s="4580"/>
      <c r="AN3" s="4580"/>
      <c r="AO3" s="4580"/>
      <c r="AP3" s="4580"/>
      <c r="AQ3" s="4580"/>
      <c r="AR3" s="4580"/>
      <c r="AS3" s="4580"/>
      <c r="AT3" s="4580"/>
      <c r="AU3" s="4580"/>
      <c r="AV3" s="4580"/>
      <c r="AW3" s="4580"/>
      <c r="AX3" s="4580"/>
      <c r="AY3" s="4580"/>
      <c r="AZ3" s="4580"/>
      <c r="BA3" s="4580"/>
      <c r="BB3" s="4580"/>
      <c r="BC3" s="4580"/>
      <c r="BD3" s="4580"/>
      <c r="BE3" s="4581"/>
      <c r="BF3" s="2327" t="s">
        <v>3</v>
      </c>
      <c r="BG3" s="2328" t="s">
        <v>4</v>
      </c>
    </row>
    <row r="4" spans="1:60" ht="22.5" customHeight="1" x14ac:dyDescent="0.2">
      <c r="A4" s="4582"/>
      <c r="B4" s="4582"/>
      <c r="C4" s="4582"/>
      <c r="D4" s="4582"/>
      <c r="E4" s="4582"/>
      <c r="F4" s="4582"/>
      <c r="G4" s="4582"/>
      <c r="H4" s="4582"/>
      <c r="I4" s="4582"/>
      <c r="J4" s="4582"/>
      <c r="K4" s="4582"/>
      <c r="L4" s="4582"/>
      <c r="M4" s="4582"/>
      <c r="N4" s="4582"/>
      <c r="O4" s="4582"/>
      <c r="P4" s="4582"/>
      <c r="Q4" s="4582"/>
      <c r="R4" s="4582"/>
      <c r="S4" s="4582"/>
      <c r="T4" s="4582"/>
      <c r="U4" s="4582"/>
      <c r="V4" s="4582"/>
      <c r="W4" s="4582"/>
      <c r="X4" s="4582"/>
      <c r="Y4" s="4582"/>
      <c r="Z4" s="4582"/>
      <c r="AA4" s="4582"/>
      <c r="AB4" s="4582"/>
      <c r="AC4" s="4582"/>
      <c r="AD4" s="4582"/>
      <c r="AE4" s="4582"/>
      <c r="AF4" s="4582"/>
      <c r="AG4" s="4582"/>
      <c r="AH4" s="4582"/>
      <c r="AI4" s="4582"/>
      <c r="AJ4" s="4582"/>
      <c r="AK4" s="4582"/>
      <c r="AL4" s="4582"/>
      <c r="AM4" s="4582"/>
      <c r="AN4" s="4582"/>
      <c r="AO4" s="4582"/>
      <c r="AP4" s="4582"/>
      <c r="AQ4" s="4582"/>
      <c r="AR4" s="4582"/>
      <c r="AS4" s="4582"/>
      <c r="AT4" s="4582"/>
      <c r="AU4" s="4582"/>
      <c r="AV4" s="4582"/>
      <c r="AW4" s="4582"/>
      <c r="AX4" s="4582"/>
      <c r="AY4" s="4582"/>
      <c r="AZ4" s="4582"/>
      <c r="BA4" s="4582"/>
      <c r="BB4" s="4582"/>
      <c r="BC4" s="4582"/>
      <c r="BD4" s="4582"/>
      <c r="BE4" s="4583"/>
      <c r="BF4" s="2327" t="s">
        <v>5</v>
      </c>
      <c r="BG4" s="2331" t="s">
        <v>476</v>
      </c>
    </row>
    <row r="5" spans="1:60" s="2332" customFormat="1" ht="18.75" customHeight="1" x14ac:dyDescent="0.2">
      <c r="A5" s="4584" t="s">
        <v>7</v>
      </c>
      <c r="B5" s="4584"/>
      <c r="C5" s="4584"/>
      <c r="D5" s="4584"/>
      <c r="E5" s="4584"/>
      <c r="F5" s="4584"/>
      <c r="G5" s="4584"/>
      <c r="H5" s="4584"/>
      <c r="I5" s="4584"/>
      <c r="J5" s="4584"/>
      <c r="K5" s="4585"/>
      <c r="L5" s="4590" t="s">
        <v>8</v>
      </c>
      <c r="M5" s="4591"/>
      <c r="N5" s="4591"/>
      <c r="O5" s="4591"/>
      <c r="P5" s="4591"/>
      <c r="Q5" s="4591"/>
      <c r="R5" s="4591"/>
      <c r="S5" s="4591"/>
      <c r="T5" s="4591"/>
      <c r="U5" s="4591"/>
      <c r="V5" s="4591"/>
      <c r="W5" s="4591"/>
      <c r="X5" s="4591"/>
      <c r="Y5" s="4584" t="s">
        <v>9</v>
      </c>
      <c r="Z5" s="4584"/>
      <c r="AA5" s="4584"/>
      <c r="AB5" s="4584"/>
      <c r="AC5" s="4584"/>
      <c r="AD5" s="4584"/>
      <c r="AE5" s="4584"/>
      <c r="AF5" s="4584"/>
      <c r="AG5" s="4584"/>
      <c r="AH5" s="4584"/>
      <c r="AI5" s="4584"/>
      <c r="AJ5" s="4584"/>
      <c r="AK5" s="4584"/>
      <c r="AL5" s="4584"/>
      <c r="AM5" s="4584"/>
      <c r="AN5" s="4584"/>
      <c r="AO5" s="4584"/>
      <c r="AP5" s="4584"/>
      <c r="AQ5" s="4584"/>
      <c r="AR5" s="4584"/>
      <c r="AS5" s="4584"/>
      <c r="AT5" s="4584"/>
      <c r="AU5" s="4584"/>
      <c r="AV5" s="4584"/>
      <c r="AW5" s="4584"/>
      <c r="AX5" s="4584"/>
      <c r="AY5" s="4584"/>
      <c r="AZ5" s="4584"/>
      <c r="BA5" s="4584"/>
      <c r="BB5" s="4584"/>
      <c r="BC5" s="4584"/>
      <c r="BD5" s="4584"/>
      <c r="BE5" s="4584"/>
      <c r="BF5" s="4584"/>
      <c r="BG5" s="4584"/>
    </row>
    <row r="6" spans="1:60" s="2333" customFormat="1" ht="18.75" customHeight="1" thickBot="1" x14ac:dyDescent="0.25">
      <c r="A6" s="4586"/>
      <c r="B6" s="4586"/>
      <c r="C6" s="4586"/>
      <c r="D6" s="4586"/>
      <c r="E6" s="4586"/>
      <c r="F6" s="4586"/>
      <c r="G6" s="4586"/>
      <c r="H6" s="4586"/>
      <c r="I6" s="4586"/>
      <c r="J6" s="4586"/>
      <c r="K6" s="4587"/>
      <c r="L6" s="4592"/>
      <c r="M6" s="4593"/>
      <c r="N6" s="4593"/>
      <c r="O6" s="4593"/>
      <c r="P6" s="4593"/>
      <c r="Q6" s="4593"/>
      <c r="R6" s="4593"/>
      <c r="S6" s="4593"/>
      <c r="T6" s="4593"/>
      <c r="U6" s="4593"/>
      <c r="V6" s="4593"/>
      <c r="W6" s="4593"/>
      <c r="X6" s="4593"/>
      <c r="Y6" s="4588"/>
      <c r="Z6" s="4588"/>
      <c r="AA6" s="4588"/>
      <c r="AB6" s="4588"/>
      <c r="AC6" s="4588"/>
      <c r="AD6" s="4588"/>
      <c r="AE6" s="4588"/>
      <c r="AF6" s="4588"/>
      <c r="AG6" s="4588"/>
      <c r="AH6" s="4588"/>
      <c r="AI6" s="4588"/>
      <c r="AJ6" s="4588"/>
      <c r="AK6" s="4588"/>
      <c r="AL6" s="4588"/>
      <c r="AM6" s="4588"/>
      <c r="AN6" s="4588"/>
      <c r="AO6" s="4588"/>
      <c r="AP6" s="4588"/>
      <c r="AQ6" s="4588"/>
      <c r="AR6" s="4588"/>
      <c r="AS6" s="4588"/>
      <c r="AT6" s="4588"/>
      <c r="AU6" s="4588"/>
      <c r="AV6" s="4588"/>
      <c r="AW6" s="4586"/>
      <c r="AX6" s="4586"/>
      <c r="AY6" s="4586"/>
      <c r="AZ6" s="4586"/>
      <c r="BA6" s="4586"/>
      <c r="BB6" s="4586"/>
      <c r="BC6" s="4586"/>
      <c r="BD6" s="4586"/>
      <c r="BE6" s="4586"/>
      <c r="BF6" s="4586"/>
      <c r="BG6" s="4586"/>
    </row>
    <row r="7" spans="1:60" s="2335" customFormat="1" ht="21" customHeight="1" x14ac:dyDescent="0.2">
      <c r="A7" s="4588"/>
      <c r="B7" s="4588"/>
      <c r="C7" s="4588"/>
      <c r="D7" s="4588"/>
      <c r="E7" s="4588"/>
      <c r="F7" s="4588"/>
      <c r="G7" s="4588"/>
      <c r="H7" s="4588"/>
      <c r="I7" s="4588"/>
      <c r="J7" s="4588"/>
      <c r="K7" s="4589"/>
      <c r="L7" s="4594"/>
      <c r="M7" s="4595"/>
      <c r="N7" s="4595"/>
      <c r="O7" s="4595"/>
      <c r="P7" s="4595"/>
      <c r="Q7" s="4595"/>
      <c r="R7" s="4595"/>
      <c r="S7" s="4595"/>
      <c r="T7" s="4595"/>
      <c r="U7" s="4595"/>
      <c r="V7" s="4595"/>
      <c r="W7" s="4595"/>
      <c r="X7" s="4595"/>
      <c r="Y7" s="4566" t="s">
        <v>1446</v>
      </c>
      <c r="Z7" s="4596"/>
      <c r="AA7" s="4596"/>
      <c r="AB7" s="4596"/>
      <c r="AC7" s="4596"/>
      <c r="AD7" s="4596"/>
      <c r="AE7" s="4596"/>
      <c r="AF7" s="4596"/>
      <c r="AG7" s="4596"/>
      <c r="AH7" s="4596"/>
      <c r="AI7" s="4567"/>
      <c r="AJ7" s="2334"/>
      <c r="AK7" s="4566" t="s">
        <v>26</v>
      </c>
      <c r="AL7" s="4596"/>
      <c r="AM7" s="4596"/>
      <c r="AN7" s="4596"/>
      <c r="AO7" s="4596"/>
      <c r="AP7" s="4596"/>
      <c r="AQ7" s="4596"/>
      <c r="AR7" s="4596"/>
      <c r="AS7" s="4596"/>
      <c r="AT7" s="4596"/>
      <c r="AU7" s="4596"/>
      <c r="AV7" s="4567"/>
      <c r="AW7" s="4597" t="s">
        <v>27</v>
      </c>
      <c r="AX7" s="4598"/>
      <c r="AY7" s="4598"/>
      <c r="AZ7" s="4598"/>
      <c r="BA7" s="4598"/>
      <c r="BB7" s="4599"/>
      <c r="BC7" s="4600"/>
      <c r="BD7" s="4600"/>
      <c r="BE7" s="4600"/>
      <c r="BF7" s="4600"/>
      <c r="BG7" s="4600"/>
    </row>
    <row r="8" spans="1:60" s="2337" customFormat="1" ht="36.75" customHeight="1" x14ac:dyDescent="0.25">
      <c r="A8" s="4575" t="s">
        <v>10</v>
      </c>
      <c r="B8" s="4575" t="s">
        <v>1447</v>
      </c>
      <c r="C8" s="4575" t="s">
        <v>10</v>
      </c>
      <c r="D8" s="4575" t="s">
        <v>1448</v>
      </c>
      <c r="E8" s="4575" t="s">
        <v>10</v>
      </c>
      <c r="F8" s="4575" t="s">
        <v>1449</v>
      </c>
      <c r="G8" s="4575" t="s">
        <v>10</v>
      </c>
      <c r="H8" s="4575" t="s">
        <v>1450</v>
      </c>
      <c r="I8" s="4571" t="s">
        <v>15</v>
      </c>
      <c r="J8" s="4577" t="s">
        <v>1451</v>
      </c>
      <c r="K8" s="4578"/>
      <c r="L8" s="4571" t="s">
        <v>17</v>
      </c>
      <c r="M8" s="4571" t="s">
        <v>10</v>
      </c>
      <c r="N8" s="4571" t="s">
        <v>1452</v>
      </c>
      <c r="O8" s="4571" t="s">
        <v>19</v>
      </c>
      <c r="P8" s="4571" t="s">
        <v>1453</v>
      </c>
      <c r="Q8" s="4571" t="s">
        <v>21</v>
      </c>
      <c r="R8" s="4571" t="s">
        <v>22</v>
      </c>
      <c r="S8" s="4571" t="s">
        <v>23</v>
      </c>
      <c r="T8" s="4568" t="s">
        <v>20</v>
      </c>
      <c r="U8" s="4569"/>
      <c r="V8" s="4570"/>
      <c r="W8" s="4571" t="s">
        <v>10</v>
      </c>
      <c r="X8" s="4571" t="s">
        <v>24</v>
      </c>
      <c r="Y8" s="4566" t="s">
        <v>295</v>
      </c>
      <c r="Z8" s="4567"/>
      <c r="AA8" s="4573" t="s">
        <v>32</v>
      </c>
      <c r="AB8" s="4574"/>
      <c r="AC8" s="4564" t="s">
        <v>33</v>
      </c>
      <c r="AD8" s="4565"/>
      <c r="AE8" s="4564" t="s">
        <v>34</v>
      </c>
      <c r="AF8" s="4565"/>
      <c r="AG8" s="4566" t="s">
        <v>35</v>
      </c>
      <c r="AH8" s="4567"/>
      <c r="AI8" s="4566" t="s">
        <v>36</v>
      </c>
      <c r="AJ8" s="4567"/>
      <c r="AK8" s="4560" t="s">
        <v>37</v>
      </c>
      <c r="AL8" s="4561"/>
      <c r="AM8" s="4560" t="s">
        <v>38</v>
      </c>
      <c r="AN8" s="4561"/>
      <c r="AO8" s="4560" t="s">
        <v>39</v>
      </c>
      <c r="AP8" s="4561"/>
      <c r="AQ8" s="4560" t="s">
        <v>40</v>
      </c>
      <c r="AR8" s="4561"/>
      <c r="AS8" s="4560" t="s">
        <v>41</v>
      </c>
      <c r="AT8" s="4561"/>
      <c r="AU8" s="4560" t="s">
        <v>42</v>
      </c>
      <c r="AV8" s="4561"/>
      <c r="AW8" s="4553" t="s">
        <v>43</v>
      </c>
      <c r="AX8" s="4562" t="s">
        <v>44</v>
      </c>
      <c r="AY8" s="4553" t="s">
        <v>45</v>
      </c>
      <c r="AZ8" s="2468" t="s">
        <v>46</v>
      </c>
      <c r="BA8" s="4553" t="s">
        <v>47</v>
      </c>
      <c r="BB8" s="4554" t="s">
        <v>48</v>
      </c>
      <c r="BC8" s="4556" t="s">
        <v>28</v>
      </c>
      <c r="BD8" s="4557"/>
      <c r="BE8" s="4556" t="s">
        <v>29</v>
      </c>
      <c r="BF8" s="4557"/>
      <c r="BG8" s="2336" t="s">
        <v>30</v>
      </c>
    </row>
    <row r="9" spans="1:60" s="2337" customFormat="1" ht="30" customHeight="1" x14ac:dyDescent="0.25">
      <c r="A9" s="4579"/>
      <c r="B9" s="4576"/>
      <c r="C9" s="4576"/>
      <c r="D9" s="4576"/>
      <c r="E9" s="4576"/>
      <c r="F9" s="4576"/>
      <c r="G9" s="4576"/>
      <c r="H9" s="4576"/>
      <c r="I9" s="4572"/>
      <c r="J9" s="2338" t="s">
        <v>781</v>
      </c>
      <c r="K9" s="2338" t="s">
        <v>50</v>
      </c>
      <c r="L9" s="4572"/>
      <c r="M9" s="4572"/>
      <c r="N9" s="4572"/>
      <c r="O9" s="4572"/>
      <c r="P9" s="4572"/>
      <c r="Q9" s="4572"/>
      <c r="R9" s="4572"/>
      <c r="S9" s="4572"/>
      <c r="T9" s="2339" t="s">
        <v>51</v>
      </c>
      <c r="U9" s="2339" t="s">
        <v>52</v>
      </c>
      <c r="V9" s="2339" t="s">
        <v>53</v>
      </c>
      <c r="W9" s="4572"/>
      <c r="X9" s="4572"/>
      <c r="Y9" s="2340" t="s">
        <v>49</v>
      </c>
      <c r="Z9" s="2340" t="s">
        <v>50</v>
      </c>
      <c r="AA9" s="2340" t="s">
        <v>49</v>
      </c>
      <c r="AB9" s="2340" t="s">
        <v>50</v>
      </c>
      <c r="AC9" s="2340" t="s">
        <v>49</v>
      </c>
      <c r="AD9" s="2340" t="s">
        <v>50</v>
      </c>
      <c r="AE9" s="2340" t="s">
        <v>49</v>
      </c>
      <c r="AF9" s="2340" t="s">
        <v>50</v>
      </c>
      <c r="AG9" s="2340" t="s">
        <v>49</v>
      </c>
      <c r="AH9" s="2340" t="s">
        <v>50</v>
      </c>
      <c r="AI9" s="2340" t="s">
        <v>49</v>
      </c>
      <c r="AJ9" s="2340" t="s">
        <v>50</v>
      </c>
      <c r="AK9" s="2340" t="s">
        <v>49</v>
      </c>
      <c r="AL9" s="2340" t="s">
        <v>50</v>
      </c>
      <c r="AM9" s="2340" t="s">
        <v>49</v>
      </c>
      <c r="AN9" s="2340" t="s">
        <v>50</v>
      </c>
      <c r="AO9" s="2340" t="s">
        <v>49</v>
      </c>
      <c r="AP9" s="2340" t="s">
        <v>50</v>
      </c>
      <c r="AQ9" s="2340" t="s">
        <v>49</v>
      </c>
      <c r="AR9" s="2340" t="s">
        <v>50</v>
      </c>
      <c r="AS9" s="2340" t="s">
        <v>49</v>
      </c>
      <c r="AT9" s="2340" t="s">
        <v>50</v>
      </c>
      <c r="AU9" s="2340" t="s">
        <v>49</v>
      </c>
      <c r="AV9" s="2340" t="s">
        <v>50</v>
      </c>
      <c r="AW9" s="4554"/>
      <c r="AX9" s="4563"/>
      <c r="AY9" s="4554"/>
      <c r="AZ9" s="2469"/>
      <c r="BA9" s="4554"/>
      <c r="BB9" s="4555"/>
      <c r="BC9" s="2341" t="s">
        <v>49</v>
      </c>
      <c r="BD9" s="2341" t="s">
        <v>50</v>
      </c>
      <c r="BE9" s="2341" t="s">
        <v>49</v>
      </c>
      <c r="BF9" s="2341" t="s">
        <v>50</v>
      </c>
      <c r="BG9" s="2336"/>
    </row>
    <row r="10" spans="1:60" s="2347" customFormat="1" ht="27.75" customHeight="1" x14ac:dyDescent="0.2">
      <c r="A10" s="2342">
        <v>2</v>
      </c>
      <c r="B10" s="4558" t="s">
        <v>479</v>
      </c>
      <c r="C10" s="4559"/>
      <c r="D10" s="4559"/>
      <c r="E10" s="2343"/>
      <c r="F10" s="2343"/>
      <c r="G10" s="2343"/>
      <c r="H10" s="2343"/>
      <c r="I10" s="2343"/>
      <c r="J10" s="2343"/>
      <c r="K10" s="2343"/>
      <c r="L10" s="2343"/>
      <c r="M10" s="2343"/>
      <c r="N10" s="2343"/>
      <c r="O10" s="2343"/>
      <c r="P10" s="2343"/>
      <c r="Q10" s="2343"/>
      <c r="R10" s="2343"/>
      <c r="S10" s="2343"/>
      <c r="T10" s="2343"/>
      <c r="U10" s="2343"/>
      <c r="V10" s="2343"/>
      <c r="W10" s="2343"/>
      <c r="X10" s="2343"/>
      <c r="Y10" s="2343"/>
      <c r="Z10" s="2343"/>
      <c r="AA10" s="2343"/>
      <c r="AB10" s="2343"/>
      <c r="AC10" s="2343"/>
      <c r="AD10" s="2343"/>
      <c r="AE10" s="2343"/>
      <c r="AF10" s="2343"/>
      <c r="AG10" s="2343"/>
      <c r="AH10" s="2343"/>
      <c r="AI10" s="2343"/>
      <c r="AJ10" s="2343"/>
      <c r="AK10" s="2343"/>
      <c r="AL10" s="2343"/>
      <c r="AM10" s="2343"/>
      <c r="AN10" s="2343"/>
      <c r="AO10" s="2343"/>
      <c r="AP10" s="2343"/>
      <c r="AQ10" s="2343"/>
      <c r="AR10" s="2343"/>
      <c r="AS10" s="2343"/>
      <c r="AT10" s="2343"/>
      <c r="AU10" s="2343"/>
      <c r="AV10" s="2343"/>
      <c r="AW10" s="2343"/>
      <c r="AX10" s="2343"/>
      <c r="AY10" s="2343"/>
      <c r="AZ10" s="2343"/>
      <c r="BA10" s="2343"/>
      <c r="BB10" s="2343"/>
      <c r="BC10" s="2344"/>
      <c r="BD10" s="2344"/>
      <c r="BE10" s="2344"/>
      <c r="BF10" s="2344"/>
      <c r="BG10" s="2345"/>
      <c r="BH10" s="2346"/>
    </row>
    <row r="11" spans="1:60" s="2347" customFormat="1" ht="27.75" customHeight="1" x14ac:dyDescent="0.2">
      <c r="A11" s="2348"/>
      <c r="B11" s="2349"/>
      <c r="C11" s="2350">
        <v>4</v>
      </c>
      <c r="D11" s="4546" t="s">
        <v>1935</v>
      </c>
      <c r="E11" s="4547"/>
      <c r="F11" s="4547"/>
      <c r="G11" s="4547"/>
      <c r="H11" s="4547"/>
      <c r="I11" s="4547"/>
      <c r="J11" s="4547"/>
      <c r="K11" s="4547"/>
      <c r="L11" s="4547"/>
      <c r="M11" s="4547"/>
      <c r="N11" s="4547"/>
      <c r="O11" s="4547"/>
      <c r="P11" s="4547"/>
      <c r="Q11" s="4547"/>
      <c r="R11" s="4547"/>
      <c r="S11" s="4547"/>
      <c r="T11" s="4547"/>
      <c r="U11" s="4547"/>
      <c r="V11" s="4547"/>
      <c r="W11" s="4547"/>
      <c r="X11" s="4547"/>
      <c r="Y11" s="4547"/>
      <c r="Z11" s="4547"/>
      <c r="AA11" s="4547"/>
      <c r="AB11" s="4547"/>
      <c r="AC11" s="4547"/>
      <c r="AD11" s="4547"/>
      <c r="AE11" s="4547"/>
      <c r="AF11" s="4547"/>
      <c r="AG11" s="4547"/>
      <c r="AH11" s="4547"/>
      <c r="AI11" s="4547"/>
      <c r="AJ11" s="4547"/>
      <c r="AK11" s="4547"/>
      <c r="AL11" s="4547"/>
      <c r="AM11" s="4547"/>
      <c r="AN11" s="4547"/>
      <c r="AO11" s="4547"/>
      <c r="AP11" s="4547"/>
      <c r="AQ11" s="4547"/>
      <c r="AR11" s="4547"/>
      <c r="AS11" s="4547"/>
      <c r="AT11" s="4547"/>
      <c r="AU11" s="4547"/>
      <c r="AV11" s="4547"/>
      <c r="AW11" s="4547"/>
      <c r="AX11" s="4547"/>
      <c r="AY11" s="4547"/>
      <c r="AZ11" s="4547"/>
      <c r="BA11" s="4547"/>
      <c r="BB11" s="4547"/>
      <c r="BC11" s="4547"/>
      <c r="BD11" s="4547"/>
      <c r="BE11" s="4547"/>
      <c r="BF11" s="4547"/>
      <c r="BG11" s="4548"/>
      <c r="BH11" s="2346"/>
    </row>
    <row r="12" spans="1:60" s="2347" customFormat="1" ht="27.75" customHeight="1" x14ac:dyDescent="0.2">
      <c r="A12" s="2351"/>
      <c r="B12" s="2352"/>
      <c r="C12" s="2349"/>
      <c r="D12" s="2348"/>
      <c r="E12" s="2353">
        <v>14</v>
      </c>
      <c r="F12" s="4549" t="s">
        <v>1936</v>
      </c>
      <c r="G12" s="4549"/>
      <c r="H12" s="4549"/>
      <c r="I12" s="4549"/>
      <c r="J12" s="4549"/>
      <c r="K12" s="4549"/>
      <c r="L12" s="4549"/>
      <c r="M12" s="4549"/>
      <c r="N12" s="4549"/>
      <c r="O12" s="4549"/>
      <c r="P12" s="4549"/>
      <c r="Q12" s="4549"/>
      <c r="R12" s="4549"/>
      <c r="S12" s="4549"/>
      <c r="T12" s="4549"/>
      <c r="U12" s="4549"/>
      <c r="V12" s="4549"/>
      <c r="W12" s="4549"/>
      <c r="X12" s="4549"/>
      <c r="Y12" s="4549"/>
      <c r="Z12" s="4549"/>
      <c r="AA12" s="4549"/>
      <c r="AB12" s="4549"/>
      <c r="AC12" s="4549"/>
      <c r="AD12" s="4549"/>
      <c r="AE12" s="4549"/>
      <c r="AF12" s="4549"/>
      <c r="AG12" s="4549"/>
      <c r="AH12" s="4549"/>
      <c r="AI12" s="4549"/>
      <c r="AJ12" s="4549"/>
      <c r="AK12" s="4549"/>
      <c r="AL12" s="4549"/>
      <c r="AM12" s="4549"/>
      <c r="AN12" s="4549"/>
      <c r="AO12" s="4549"/>
      <c r="AP12" s="4549"/>
      <c r="AQ12" s="4549"/>
      <c r="AR12" s="4549"/>
      <c r="AS12" s="4549"/>
      <c r="AT12" s="4549"/>
      <c r="AU12" s="4549"/>
      <c r="AV12" s="4549"/>
      <c r="AW12" s="4549"/>
      <c r="AX12" s="4549"/>
      <c r="AY12" s="4549"/>
      <c r="AZ12" s="4549"/>
      <c r="BA12" s="4549"/>
      <c r="BB12" s="4549"/>
      <c r="BC12" s="4549"/>
      <c r="BD12" s="4549"/>
      <c r="BE12" s="4549"/>
      <c r="BF12" s="4549"/>
      <c r="BG12" s="4549"/>
      <c r="BH12" s="2346"/>
    </row>
    <row r="13" spans="1:60" s="2369" customFormat="1" ht="105.75" customHeight="1" x14ac:dyDescent="0.2">
      <c r="A13" s="2354"/>
      <c r="B13" s="2355"/>
      <c r="C13" s="2354"/>
      <c r="D13" s="2355"/>
      <c r="E13" s="2356"/>
      <c r="F13" s="2357"/>
      <c r="G13" s="2358">
        <v>54</v>
      </c>
      <c r="H13" s="2359" t="s">
        <v>1607</v>
      </c>
      <c r="I13" s="2360" t="s">
        <v>1937</v>
      </c>
      <c r="J13" s="2360">
        <v>130</v>
      </c>
      <c r="K13" s="2360">
        <v>0</v>
      </c>
      <c r="L13" s="2360" t="s">
        <v>1938</v>
      </c>
      <c r="M13" s="2361">
        <v>171</v>
      </c>
      <c r="N13" s="2359" t="s">
        <v>1939</v>
      </c>
      <c r="O13" s="2362">
        <f>+P13/T23</f>
        <v>8.2751239247208785E-2</v>
      </c>
      <c r="P13" s="2363">
        <f>+'[3] poai marzo 31+R.Bce '!$AP$7</f>
        <v>214850780</v>
      </c>
      <c r="Q13" s="2359" t="s">
        <v>1940</v>
      </c>
      <c r="R13" s="2359" t="s">
        <v>1941</v>
      </c>
      <c r="S13" s="2359" t="s">
        <v>1942</v>
      </c>
      <c r="T13" s="2364">
        <v>214850780</v>
      </c>
      <c r="U13" s="2364">
        <v>125000000</v>
      </c>
      <c r="V13" s="2364">
        <v>22711500</v>
      </c>
      <c r="W13" s="2364"/>
      <c r="X13" s="2364" t="s">
        <v>2118</v>
      </c>
      <c r="Y13" s="2365">
        <v>270</v>
      </c>
      <c r="Z13" s="2365">
        <f>Y13*0.4</f>
        <v>108</v>
      </c>
      <c r="AA13" s="2365">
        <v>189</v>
      </c>
      <c r="AB13" s="2365">
        <f>AA13*0.4</f>
        <v>75.600000000000009</v>
      </c>
      <c r="AC13" s="2365">
        <v>189</v>
      </c>
      <c r="AD13" s="2365">
        <f>AC13*0.4</f>
        <v>75.600000000000009</v>
      </c>
      <c r="AE13" s="2365">
        <v>459</v>
      </c>
      <c r="AF13" s="2365">
        <f>AE13*0.4</f>
        <v>183.60000000000002</v>
      </c>
      <c r="AG13" s="2365">
        <v>1215</v>
      </c>
      <c r="AH13" s="2365">
        <f>AG13*0.4</f>
        <v>486</v>
      </c>
      <c r="AI13" s="2365">
        <v>378</v>
      </c>
      <c r="AJ13" s="2365">
        <f>AI13*0.4</f>
        <v>151.20000000000002</v>
      </c>
      <c r="AK13" s="2365"/>
      <c r="AL13" s="2365"/>
      <c r="AM13" s="2365"/>
      <c r="AN13" s="2365"/>
      <c r="AO13" s="2365"/>
      <c r="AP13" s="2365"/>
      <c r="AQ13" s="2365"/>
      <c r="AR13" s="2365"/>
      <c r="AS13" s="2365"/>
      <c r="AT13" s="2365"/>
      <c r="AU13" s="2365"/>
      <c r="AV13" s="2365"/>
      <c r="AW13" s="2365">
        <v>3</v>
      </c>
      <c r="AX13" s="1918">
        <v>125000000</v>
      </c>
      <c r="AY13" s="2366">
        <f>+V13</f>
        <v>22711500</v>
      </c>
      <c r="AZ13" s="2362">
        <f>+AY13/AX13</f>
        <v>0.18169199999999999</v>
      </c>
      <c r="BA13" s="2365" t="s">
        <v>1943</v>
      </c>
      <c r="BB13" s="2367" t="s">
        <v>1944</v>
      </c>
      <c r="BC13" s="2368">
        <v>42917</v>
      </c>
      <c r="BD13" s="2368">
        <v>42917</v>
      </c>
      <c r="BE13" s="2368">
        <v>43099</v>
      </c>
      <c r="BF13" s="2368">
        <v>42824</v>
      </c>
      <c r="BG13" s="2365" t="s">
        <v>1945</v>
      </c>
    </row>
    <row r="14" spans="1:60" s="2347" customFormat="1" ht="27.75" customHeight="1" x14ac:dyDescent="0.2">
      <c r="A14" s="2351"/>
      <c r="B14" s="2352"/>
      <c r="C14" s="2352"/>
      <c r="D14" s="2351"/>
      <c r="E14" s="2370">
        <v>15</v>
      </c>
      <c r="F14" s="4550" t="s">
        <v>1946</v>
      </c>
      <c r="G14" s="4550"/>
      <c r="H14" s="4550"/>
      <c r="I14" s="4550"/>
      <c r="J14" s="4550"/>
      <c r="K14" s="2371"/>
      <c r="L14" s="2371"/>
      <c r="M14" s="2371"/>
      <c r="N14" s="2371"/>
      <c r="O14" s="2371"/>
      <c r="P14" s="2371"/>
      <c r="Q14" s="2371"/>
      <c r="R14" s="2371"/>
      <c r="S14" s="2371"/>
      <c r="T14" s="2372">
        <v>284552340</v>
      </c>
      <c r="U14" s="2371"/>
      <c r="V14" s="2371"/>
      <c r="W14" s="2371"/>
      <c r="X14" s="2371"/>
      <c r="Y14" s="2371"/>
      <c r="Z14" s="2371"/>
      <c r="AA14" s="2371"/>
      <c r="AB14" s="2371"/>
      <c r="AC14" s="2371"/>
      <c r="AD14" s="2371"/>
      <c r="AE14" s="2371"/>
      <c r="AF14" s="2371"/>
      <c r="AG14" s="2371"/>
      <c r="AH14" s="2371"/>
      <c r="AI14" s="2371"/>
      <c r="AJ14" s="2371"/>
      <c r="AK14" s="2371"/>
      <c r="AL14" s="2371"/>
      <c r="AM14" s="2371"/>
      <c r="AN14" s="2371"/>
      <c r="AO14" s="2371"/>
      <c r="AP14" s="2371"/>
      <c r="AQ14" s="2371"/>
      <c r="AR14" s="2371"/>
      <c r="AS14" s="2371"/>
      <c r="AT14" s="2371"/>
      <c r="AU14" s="2371"/>
      <c r="AV14" s="2371"/>
      <c r="AW14" s="2371"/>
      <c r="AX14" s="2371"/>
      <c r="AY14" s="2371"/>
      <c r="AZ14" s="2371"/>
      <c r="BA14" s="2371"/>
      <c r="BB14" s="2371"/>
      <c r="BC14" s="2373"/>
      <c r="BD14" s="2373"/>
      <c r="BE14" s="2373"/>
      <c r="BF14" s="2373"/>
      <c r="BG14" s="2371"/>
      <c r="BH14" s="2346"/>
    </row>
    <row r="15" spans="1:60" s="2369" customFormat="1" ht="58.5" customHeight="1" x14ac:dyDescent="0.2">
      <c r="A15" s="2374"/>
      <c r="B15" s="2355"/>
      <c r="C15" s="2354"/>
      <c r="D15" s="2355"/>
      <c r="E15" s="4551"/>
      <c r="F15" s="4520"/>
      <c r="G15" s="4524">
        <v>59</v>
      </c>
      <c r="H15" s="4514" t="s">
        <v>1662</v>
      </c>
      <c r="I15" s="4524" t="s">
        <v>18</v>
      </c>
      <c r="J15" s="4524">
        <v>12</v>
      </c>
      <c r="K15" s="4524">
        <v>4</v>
      </c>
      <c r="L15" s="4524" t="s">
        <v>1938</v>
      </c>
      <c r="M15" s="4544">
        <v>171</v>
      </c>
      <c r="N15" s="4514" t="s">
        <v>1939</v>
      </c>
      <c r="O15" s="4534">
        <f>+P15/$T$23</f>
        <v>0.26341213832275179</v>
      </c>
      <c r="P15" s="4528">
        <f>+'[3] poai marzo 31+R.Bce '!$AP$9</f>
        <v>683908832</v>
      </c>
      <c r="Q15" s="4514" t="s">
        <v>1940</v>
      </c>
      <c r="R15" s="4514" t="s">
        <v>1947</v>
      </c>
      <c r="S15" s="4524" t="s">
        <v>1948</v>
      </c>
      <c r="T15" s="2364">
        <v>649058052</v>
      </c>
      <c r="U15" s="2364">
        <v>344284700</v>
      </c>
      <c r="V15" s="2364">
        <v>44170573</v>
      </c>
      <c r="W15" s="2364"/>
      <c r="X15" s="2364" t="s">
        <v>2119</v>
      </c>
      <c r="Y15" s="4532">
        <v>270</v>
      </c>
      <c r="Z15" s="4532">
        <f>+Y15*0.4</f>
        <v>108</v>
      </c>
      <c r="AA15" s="4532">
        <v>189</v>
      </c>
      <c r="AB15" s="4532">
        <f>+AA15*0.4</f>
        <v>75.600000000000009</v>
      </c>
      <c r="AC15" s="4532">
        <v>189</v>
      </c>
      <c r="AD15" s="4532">
        <f>+AC15*0.4</f>
        <v>75.600000000000009</v>
      </c>
      <c r="AE15" s="4532">
        <v>459</v>
      </c>
      <c r="AF15" s="4532">
        <f>+AE15*0.4</f>
        <v>183.60000000000002</v>
      </c>
      <c r="AG15" s="4532">
        <v>1215</v>
      </c>
      <c r="AH15" s="4532">
        <f>+AG15*0.4</f>
        <v>486</v>
      </c>
      <c r="AI15" s="4532">
        <v>378</v>
      </c>
      <c r="AJ15" s="4532">
        <f>+AI15*0.4</f>
        <v>151.20000000000002</v>
      </c>
      <c r="AK15" s="4532"/>
      <c r="AL15" s="4532"/>
      <c r="AM15" s="4532"/>
      <c r="AN15" s="4532"/>
      <c r="AO15" s="4532"/>
      <c r="AP15" s="4532"/>
      <c r="AQ15" s="4532"/>
      <c r="AR15" s="4532"/>
      <c r="AS15" s="4532"/>
      <c r="AT15" s="4532"/>
      <c r="AU15" s="4532"/>
      <c r="AV15" s="4532"/>
      <c r="AW15" s="4532">
        <v>10</v>
      </c>
      <c r="AX15" s="4539">
        <v>1126288014.8000002</v>
      </c>
      <c r="AY15" s="4541">
        <f>+V15+V16+V17+V18+V19+V21+V22</f>
        <v>230103138</v>
      </c>
      <c r="AZ15" s="4534">
        <f>+AY15/AX15</f>
        <v>0.20430221664114964</v>
      </c>
      <c r="BA15" s="4532" t="s">
        <v>1943</v>
      </c>
      <c r="BB15" s="4532" t="s">
        <v>1944</v>
      </c>
      <c r="BC15" s="4537">
        <v>42736</v>
      </c>
      <c r="BD15" s="4537">
        <v>42917</v>
      </c>
      <c r="BE15" s="4537">
        <v>43099</v>
      </c>
      <c r="BF15" s="4537">
        <v>42824</v>
      </c>
      <c r="BG15" s="4532" t="s">
        <v>1945</v>
      </c>
    </row>
    <row r="16" spans="1:60" s="2369" customFormat="1" ht="58.5" customHeight="1" x14ac:dyDescent="0.2">
      <c r="A16" s="2374"/>
      <c r="B16" s="2355"/>
      <c r="C16" s="2354"/>
      <c r="D16" s="2355"/>
      <c r="E16" s="4552"/>
      <c r="F16" s="4521"/>
      <c r="G16" s="4531"/>
      <c r="H16" s="4515"/>
      <c r="I16" s="4531"/>
      <c r="J16" s="4531"/>
      <c r="K16" s="4531"/>
      <c r="L16" s="4531"/>
      <c r="M16" s="4544"/>
      <c r="N16" s="4530"/>
      <c r="O16" s="4535"/>
      <c r="P16" s="4536"/>
      <c r="Q16" s="4530"/>
      <c r="R16" s="4530"/>
      <c r="S16" s="4531"/>
      <c r="T16" s="2364">
        <v>34850780</v>
      </c>
      <c r="U16" s="2364">
        <v>17186000</v>
      </c>
      <c r="V16" s="2364">
        <v>12000000</v>
      </c>
      <c r="W16" s="2364"/>
      <c r="X16" s="2364" t="s">
        <v>2118</v>
      </c>
      <c r="Y16" s="4533"/>
      <c r="Z16" s="4533"/>
      <c r="AA16" s="4533"/>
      <c r="AB16" s="4533"/>
      <c r="AC16" s="4533"/>
      <c r="AD16" s="4533"/>
      <c r="AE16" s="4533"/>
      <c r="AF16" s="4533"/>
      <c r="AG16" s="4533"/>
      <c r="AH16" s="4533"/>
      <c r="AI16" s="4533"/>
      <c r="AJ16" s="4533"/>
      <c r="AK16" s="4533"/>
      <c r="AL16" s="4533"/>
      <c r="AM16" s="4533"/>
      <c r="AN16" s="4533"/>
      <c r="AO16" s="4533"/>
      <c r="AP16" s="4533"/>
      <c r="AQ16" s="4533"/>
      <c r="AR16" s="4533"/>
      <c r="AS16" s="4533"/>
      <c r="AT16" s="4533"/>
      <c r="AU16" s="4533"/>
      <c r="AV16" s="4533"/>
      <c r="AW16" s="4533"/>
      <c r="AX16" s="4540"/>
      <c r="AY16" s="4542"/>
      <c r="AZ16" s="4543"/>
      <c r="BA16" s="4533"/>
      <c r="BB16" s="4533"/>
      <c r="BC16" s="4538"/>
      <c r="BD16" s="4538"/>
      <c r="BE16" s="4538"/>
      <c r="BF16" s="4538"/>
      <c r="BG16" s="4533"/>
    </row>
    <row r="17" spans="1:59" s="2369" customFormat="1" ht="58.5" customHeight="1" x14ac:dyDescent="0.2">
      <c r="A17" s="2374"/>
      <c r="B17" s="2355"/>
      <c r="C17" s="2354"/>
      <c r="D17" s="2355"/>
      <c r="E17" s="4552"/>
      <c r="F17" s="4521"/>
      <c r="G17" s="4524">
        <v>57</v>
      </c>
      <c r="H17" s="4514" t="s">
        <v>1646</v>
      </c>
      <c r="I17" s="4524" t="s">
        <v>18</v>
      </c>
      <c r="J17" s="4524">
        <v>12</v>
      </c>
      <c r="K17" s="4524">
        <v>2</v>
      </c>
      <c r="L17" s="4524" t="s">
        <v>1938</v>
      </c>
      <c r="M17" s="4544"/>
      <c r="N17" s="4530"/>
      <c r="O17" s="4534">
        <f>+P17/T23</f>
        <v>0.26341213870790858</v>
      </c>
      <c r="P17" s="4528">
        <f>+'[3] poai marzo 31+R.Bce '!$AP$10</f>
        <v>683908833</v>
      </c>
      <c r="Q17" s="4530"/>
      <c r="R17" s="4530"/>
      <c r="S17" s="4524" t="s">
        <v>1949</v>
      </c>
      <c r="T17" s="2364">
        <v>649058053</v>
      </c>
      <c r="U17" s="2364">
        <v>341032374.63</v>
      </c>
      <c r="V17" s="2364">
        <v>54000000</v>
      </c>
      <c r="W17" s="2364"/>
      <c r="X17" s="2364" t="s">
        <v>2119</v>
      </c>
      <c r="Y17" s="4533"/>
      <c r="Z17" s="4533"/>
      <c r="AA17" s="4533"/>
      <c r="AB17" s="4533"/>
      <c r="AC17" s="4533"/>
      <c r="AD17" s="4533"/>
      <c r="AE17" s="4533"/>
      <c r="AF17" s="4533"/>
      <c r="AG17" s="4533"/>
      <c r="AH17" s="4533"/>
      <c r="AI17" s="4533"/>
      <c r="AJ17" s="4533"/>
      <c r="AK17" s="4533"/>
      <c r="AL17" s="4533"/>
      <c r="AM17" s="4533"/>
      <c r="AN17" s="4533"/>
      <c r="AO17" s="4533"/>
      <c r="AP17" s="4533"/>
      <c r="AQ17" s="4533"/>
      <c r="AR17" s="4533"/>
      <c r="AS17" s="4533"/>
      <c r="AT17" s="4533"/>
      <c r="AU17" s="4533"/>
      <c r="AV17" s="4533"/>
      <c r="AW17" s="4533"/>
      <c r="AX17" s="4540"/>
      <c r="AY17" s="4533"/>
      <c r="AZ17" s="4543"/>
      <c r="BA17" s="4533"/>
      <c r="BB17" s="4533"/>
      <c r="BC17" s="4538"/>
      <c r="BD17" s="4538"/>
      <c r="BE17" s="4538"/>
      <c r="BF17" s="4538"/>
      <c r="BG17" s="4533"/>
    </row>
    <row r="18" spans="1:59" s="2369" customFormat="1" ht="58.5" customHeight="1" x14ac:dyDescent="0.2">
      <c r="A18" s="2374"/>
      <c r="B18" s="2355"/>
      <c r="C18" s="2354"/>
      <c r="D18" s="2355"/>
      <c r="E18" s="4552"/>
      <c r="F18" s="4521"/>
      <c r="G18" s="4531"/>
      <c r="H18" s="4515"/>
      <c r="I18" s="4531"/>
      <c r="J18" s="4531"/>
      <c r="K18" s="4531"/>
      <c r="L18" s="4531"/>
      <c r="M18" s="4544"/>
      <c r="N18" s="4530"/>
      <c r="O18" s="4535"/>
      <c r="P18" s="4536"/>
      <c r="Q18" s="4530"/>
      <c r="R18" s="4530"/>
      <c r="S18" s="4531"/>
      <c r="T18" s="2364">
        <v>34850780</v>
      </c>
      <c r="U18" s="2364">
        <v>17186000</v>
      </c>
      <c r="V18" s="2364">
        <v>12000000</v>
      </c>
      <c r="W18" s="2364"/>
      <c r="X18" s="2364" t="s">
        <v>2118</v>
      </c>
      <c r="Y18" s="4533"/>
      <c r="Z18" s="4533"/>
      <c r="AA18" s="4533"/>
      <c r="AB18" s="4533"/>
      <c r="AC18" s="4533"/>
      <c r="AD18" s="4533"/>
      <c r="AE18" s="4533"/>
      <c r="AF18" s="4533"/>
      <c r="AG18" s="4533"/>
      <c r="AH18" s="4533"/>
      <c r="AI18" s="4533"/>
      <c r="AJ18" s="4533"/>
      <c r="AK18" s="4533"/>
      <c r="AL18" s="4533"/>
      <c r="AM18" s="4533"/>
      <c r="AN18" s="4533"/>
      <c r="AO18" s="4533"/>
      <c r="AP18" s="4533"/>
      <c r="AQ18" s="4533"/>
      <c r="AR18" s="4533"/>
      <c r="AS18" s="4533"/>
      <c r="AT18" s="4533"/>
      <c r="AU18" s="4533"/>
      <c r="AV18" s="4533"/>
      <c r="AW18" s="4533"/>
      <c r="AX18" s="4540"/>
      <c r="AY18" s="4533"/>
      <c r="AZ18" s="4543"/>
      <c r="BA18" s="4533"/>
      <c r="BB18" s="4533"/>
      <c r="BC18" s="4538"/>
      <c r="BD18" s="4538"/>
      <c r="BE18" s="4538"/>
      <c r="BF18" s="4538"/>
      <c r="BG18" s="4533"/>
    </row>
    <row r="19" spans="1:59" s="2369" customFormat="1" ht="58.5" customHeight="1" x14ac:dyDescent="0.2">
      <c r="A19" s="2374"/>
      <c r="B19" s="2375"/>
      <c r="C19" s="2374"/>
      <c r="D19" s="2376"/>
      <c r="E19" s="4552"/>
      <c r="F19" s="4521"/>
      <c r="G19" s="4524">
        <v>60</v>
      </c>
      <c r="H19" s="4514" t="s">
        <v>1950</v>
      </c>
      <c r="I19" s="4524" t="s">
        <v>18</v>
      </c>
      <c r="J19" s="4524">
        <v>12</v>
      </c>
      <c r="K19" s="4524">
        <v>0</v>
      </c>
      <c r="L19" s="4524" t="s">
        <v>1938</v>
      </c>
      <c r="M19" s="4544"/>
      <c r="N19" s="4530"/>
      <c r="O19" s="4526">
        <f>+P19/T23</f>
        <v>0.12123499260498556</v>
      </c>
      <c r="P19" s="4528">
        <f>+'[3] poai marzo 31+R.Bce '!$AP$11</f>
        <v>314767887</v>
      </c>
      <c r="Q19" s="4530"/>
      <c r="R19" s="4530"/>
      <c r="S19" s="4524" t="s">
        <v>1951</v>
      </c>
      <c r="T19" s="4518">
        <v>314767887</v>
      </c>
      <c r="U19" s="4518">
        <v>270857385.62</v>
      </c>
      <c r="V19" s="4518">
        <v>52046426</v>
      </c>
      <c r="W19" s="4518"/>
      <c r="X19" s="4518" t="s">
        <v>2118</v>
      </c>
      <c r="Y19" s="4533"/>
      <c r="Z19" s="4533"/>
      <c r="AA19" s="4533"/>
      <c r="AB19" s="4533"/>
      <c r="AC19" s="4533"/>
      <c r="AD19" s="4533"/>
      <c r="AE19" s="4533"/>
      <c r="AF19" s="4533"/>
      <c r="AG19" s="4533"/>
      <c r="AH19" s="4533"/>
      <c r="AI19" s="4533"/>
      <c r="AJ19" s="4533"/>
      <c r="AK19" s="4533"/>
      <c r="AL19" s="4533"/>
      <c r="AM19" s="4533"/>
      <c r="AN19" s="4533"/>
      <c r="AO19" s="4533"/>
      <c r="AP19" s="4533"/>
      <c r="AQ19" s="4533"/>
      <c r="AR19" s="4533"/>
      <c r="AS19" s="4533"/>
      <c r="AT19" s="4533"/>
      <c r="AU19" s="4533"/>
      <c r="AV19" s="4533"/>
      <c r="AW19" s="4533"/>
      <c r="AX19" s="4540"/>
      <c r="AY19" s="4533"/>
      <c r="AZ19" s="4543"/>
      <c r="BA19" s="4533"/>
      <c r="BB19" s="4533"/>
      <c r="BC19" s="4538"/>
      <c r="BD19" s="4538"/>
      <c r="BE19" s="4538"/>
      <c r="BF19" s="4538"/>
      <c r="BG19" s="4533"/>
    </row>
    <row r="20" spans="1:59" s="2369" customFormat="1" ht="58.5" customHeight="1" x14ac:dyDescent="0.2">
      <c r="A20" s="2374"/>
      <c r="B20" s="2375"/>
      <c r="C20" s="2374"/>
      <c r="D20" s="2376"/>
      <c r="E20" s="4552"/>
      <c r="F20" s="4521"/>
      <c r="G20" s="4525"/>
      <c r="H20" s="4530"/>
      <c r="I20" s="4525"/>
      <c r="J20" s="4525"/>
      <c r="K20" s="4531"/>
      <c r="L20" s="4531"/>
      <c r="M20" s="4544"/>
      <c r="N20" s="4530"/>
      <c r="O20" s="4545"/>
      <c r="P20" s="4536"/>
      <c r="Q20" s="4530"/>
      <c r="R20" s="4530"/>
      <c r="S20" s="4531"/>
      <c r="T20" s="4519"/>
      <c r="U20" s="4519"/>
      <c r="V20" s="4519"/>
      <c r="W20" s="4519"/>
      <c r="X20" s="4519"/>
      <c r="Y20" s="4533"/>
      <c r="Z20" s="4533"/>
      <c r="AA20" s="4533"/>
      <c r="AB20" s="4533"/>
      <c r="AC20" s="4533"/>
      <c r="AD20" s="4533"/>
      <c r="AE20" s="4533"/>
      <c r="AF20" s="4533"/>
      <c r="AG20" s="4533"/>
      <c r="AH20" s="4533"/>
      <c r="AI20" s="4533"/>
      <c r="AJ20" s="4533"/>
      <c r="AK20" s="4533"/>
      <c r="AL20" s="4533"/>
      <c r="AM20" s="4533"/>
      <c r="AN20" s="4533"/>
      <c r="AO20" s="4533"/>
      <c r="AP20" s="4533"/>
      <c r="AQ20" s="4533"/>
      <c r="AR20" s="4533"/>
      <c r="AS20" s="4533"/>
      <c r="AT20" s="4533"/>
      <c r="AU20" s="4533"/>
      <c r="AV20" s="4533"/>
      <c r="AW20" s="4533"/>
      <c r="AX20" s="4540"/>
      <c r="AY20" s="4533"/>
      <c r="AZ20" s="4543"/>
      <c r="BA20" s="4533"/>
      <c r="BB20" s="4533"/>
      <c r="BC20" s="4538"/>
      <c r="BD20" s="4538"/>
      <c r="BE20" s="4538"/>
      <c r="BF20" s="4538"/>
      <c r="BG20" s="4533"/>
    </row>
    <row r="21" spans="1:59" s="2369" customFormat="1" ht="58.5" customHeight="1" x14ac:dyDescent="0.2">
      <c r="A21" s="2374"/>
      <c r="B21" s="2375"/>
      <c r="C21" s="2374"/>
      <c r="D21" s="2376"/>
      <c r="E21" s="4552"/>
      <c r="F21" s="4521"/>
      <c r="G21" s="4520">
        <v>63</v>
      </c>
      <c r="H21" s="4522" t="s">
        <v>1682</v>
      </c>
      <c r="I21" s="4524" t="s">
        <v>18</v>
      </c>
      <c r="J21" s="4524">
        <v>250</v>
      </c>
      <c r="K21" s="4524">
        <v>0</v>
      </c>
      <c r="L21" s="4524" t="s">
        <v>1938</v>
      </c>
      <c r="M21" s="4544"/>
      <c r="N21" s="4530"/>
      <c r="O21" s="4526">
        <f>+P21/$T$23</f>
        <v>0.26918949111714524</v>
      </c>
      <c r="P21" s="4528">
        <f>+'[3] poai marzo 31+R.Bce '!$AP$12</f>
        <v>698908834</v>
      </c>
      <c r="Q21" s="4530"/>
      <c r="R21" s="4530"/>
      <c r="S21" s="4514" t="s">
        <v>1952</v>
      </c>
      <c r="T21" s="2364">
        <v>599058054</v>
      </c>
      <c r="U21" s="2364">
        <v>130236415.55</v>
      </c>
      <c r="V21" s="2364">
        <v>50381000</v>
      </c>
      <c r="W21" s="2364"/>
      <c r="X21" s="2364" t="s">
        <v>2119</v>
      </c>
      <c r="Y21" s="4533"/>
      <c r="Z21" s="4533"/>
      <c r="AA21" s="4533"/>
      <c r="AB21" s="4533"/>
      <c r="AC21" s="4533"/>
      <c r="AD21" s="4533"/>
      <c r="AE21" s="4533"/>
      <c r="AF21" s="4533"/>
      <c r="AG21" s="4533"/>
      <c r="AH21" s="4533"/>
      <c r="AI21" s="4533"/>
      <c r="AJ21" s="4533"/>
      <c r="AK21" s="4533"/>
      <c r="AL21" s="4533"/>
      <c r="AM21" s="4533"/>
      <c r="AN21" s="4533"/>
      <c r="AO21" s="4533"/>
      <c r="AP21" s="4533"/>
      <c r="AQ21" s="4533"/>
      <c r="AR21" s="4533"/>
      <c r="AS21" s="4533"/>
      <c r="AT21" s="4533"/>
      <c r="AU21" s="4533"/>
      <c r="AV21" s="4533"/>
      <c r="AW21" s="4533"/>
      <c r="AX21" s="4540"/>
      <c r="AY21" s="4533"/>
      <c r="AZ21" s="4543"/>
      <c r="BA21" s="4533"/>
      <c r="BB21" s="4533"/>
      <c r="BC21" s="4538"/>
      <c r="BD21" s="4538"/>
      <c r="BE21" s="4538"/>
      <c r="BF21" s="4538"/>
      <c r="BG21" s="4533"/>
    </row>
    <row r="22" spans="1:59" s="2369" customFormat="1" ht="58.5" customHeight="1" x14ac:dyDescent="0.2">
      <c r="A22" s="2374"/>
      <c r="B22" s="2375"/>
      <c r="C22" s="2374"/>
      <c r="D22" s="2376"/>
      <c r="E22" s="4552"/>
      <c r="F22" s="4521"/>
      <c r="G22" s="4521"/>
      <c r="H22" s="4523"/>
      <c r="I22" s="4525"/>
      <c r="J22" s="4525"/>
      <c r="K22" s="4525"/>
      <c r="L22" s="4525"/>
      <c r="M22" s="4544"/>
      <c r="N22" s="4530"/>
      <c r="O22" s="4527"/>
      <c r="P22" s="4529"/>
      <c r="Q22" s="4530"/>
      <c r="R22" s="4530"/>
      <c r="S22" s="4515"/>
      <c r="T22" s="2364">
        <v>99850780</v>
      </c>
      <c r="U22" s="2364">
        <v>5505139</v>
      </c>
      <c r="V22" s="2364">
        <v>5505139</v>
      </c>
      <c r="W22" s="2364"/>
      <c r="X22" s="2364" t="s">
        <v>2118</v>
      </c>
      <c r="Y22" s="4533"/>
      <c r="Z22" s="4533"/>
      <c r="AA22" s="4533"/>
      <c r="AB22" s="4533"/>
      <c r="AC22" s="4533"/>
      <c r="AD22" s="4533"/>
      <c r="AE22" s="4533"/>
      <c r="AF22" s="4533"/>
      <c r="AG22" s="4533"/>
      <c r="AH22" s="4533"/>
      <c r="AI22" s="4533"/>
      <c r="AJ22" s="4533"/>
      <c r="AK22" s="4533"/>
      <c r="AL22" s="4533"/>
      <c r="AM22" s="4533"/>
      <c r="AN22" s="4533"/>
      <c r="AO22" s="4533"/>
      <c r="AP22" s="4533"/>
      <c r="AQ22" s="4533"/>
      <c r="AR22" s="4533"/>
      <c r="AS22" s="4533"/>
      <c r="AT22" s="4533"/>
      <c r="AU22" s="4533"/>
      <c r="AV22" s="4533"/>
      <c r="AW22" s="4533"/>
      <c r="AX22" s="4540"/>
      <c r="AY22" s="4533"/>
      <c r="AZ22" s="4543"/>
      <c r="BA22" s="4533"/>
      <c r="BB22" s="4533"/>
      <c r="BC22" s="4538"/>
      <c r="BD22" s="4538"/>
      <c r="BE22" s="4538"/>
      <c r="BF22" s="4538"/>
      <c r="BG22" s="4533"/>
    </row>
    <row r="23" spans="1:59" s="2390" customFormat="1" ht="27.75" customHeight="1" x14ac:dyDescent="0.2">
      <c r="A23" s="4516" t="s">
        <v>140</v>
      </c>
      <c r="B23" s="4517"/>
      <c r="C23" s="4517"/>
      <c r="D23" s="4517"/>
      <c r="E23" s="4517"/>
      <c r="F23" s="4517"/>
      <c r="G23" s="4517"/>
      <c r="H23" s="4517"/>
      <c r="I23" s="4517"/>
      <c r="J23" s="4517"/>
      <c r="K23" s="4517"/>
      <c r="L23" s="4517"/>
      <c r="M23" s="4517"/>
      <c r="N23" s="4517"/>
      <c r="O23" s="4517"/>
      <c r="P23" s="2377">
        <f>SUM(P13:P22)</f>
        <v>2596345166</v>
      </c>
      <c r="Q23" s="2378"/>
      <c r="R23" s="2379"/>
      <c r="S23" s="2379"/>
      <c r="T23" s="2380">
        <f>SUM(T15:T22)+SUM(T13:T13)</f>
        <v>2596345166</v>
      </c>
      <c r="U23" s="2380">
        <f>SUM(U13:U22)</f>
        <v>1251288014.8</v>
      </c>
      <c r="V23" s="2380">
        <f>SUM(V13:V22)</f>
        <v>252814638</v>
      </c>
      <c r="W23" s="2381"/>
      <c r="X23" s="2381"/>
      <c r="Y23" s="2382"/>
      <c r="Z23" s="2382"/>
      <c r="AA23" s="2382"/>
      <c r="AB23" s="2382"/>
      <c r="AC23" s="2382"/>
      <c r="AD23" s="2382"/>
      <c r="AE23" s="2382"/>
      <c r="AF23" s="2382"/>
      <c r="AG23" s="2382"/>
      <c r="AH23" s="2382"/>
      <c r="AI23" s="2382"/>
      <c r="AJ23" s="2382"/>
      <c r="AK23" s="2382"/>
      <c r="AL23" s="2382"/>
      <c r="AM23" s="2382"/>
      <c r="AN23" s="2382"/>
      <c r="AO23" s="2382"/>
      <c r="AP23" s="2382"/>
      <c r="AQ23" s="2382"/>
      <c r="AR23" s="2382"/>
      <c r="AS23" s="2382"/>
      <c r="AT23" s="2382"/>
      <c r="AU23" s="2382"/>
      <c r="AV23" s="2382"/>
      <c r="AW23" s="2382"/>
      <c r="AX23" s="2383">
        <f>SUM(AX13:AX22)</f>
        <v>1251288014.8000002</v>
      </c>
      <c r="AY23" s="2383">
        <f>SUM(AY13:AY22)</f>
        <v>252814638</v>
      </c>
      <c r="AZ23" s="2384">
        <f>AY23/AX23</f>
        <v>0.20204352236236248</v>
      </c>
      <c r="BA23" s="2382"/>
      <c r="BB23" s="2385"/>
      <c r="BC23" s="2386"/>
      <c r="BD23" s="2387"/>
      <c r="BE23" s="2387"/>
      <c r="BF23" s="2388"/>
      <c r="BG23" s="2389"/>
    </row>
    <row r="24" spans="1:59" s="2390" customFormat="1" ht="18.75" customHeight="1" x14ac:dyDescent="0.2">
      <c r="E24" s="2391"/>
      <c r="G24" s="2391"/>
      <c r="N24" s="2392"/>
      <c r="O24" s="2393"/>
      <c r="S24" s="2394"/>
      <c r="T24" s="2394"/>
      <c r="U24" s="2394"/>
      <c r="V24" s="2394"/>
      <c r="W24" s="2394"/>
      <c r="X24" s="2394"/>
      <c r="BB24" s="2395"/>
      <c r="BC24" s="2396"/>
      <c r="BD24" s="2397"/>
      <c r="BE24" s="2397"/>
      <c r="BF24" s="2398"/>
    </row>
    <row r="25" spans="1:59" s="2390" customFormat="1" x14ac:dyDescent="0.2">
      <c r="E25" s="2391"/>
      <c r="G25" s="2391"/>
      <c r="N25" s="2392"/>
      <c r="O25" s="2393"/>
      <c r="S25" s="2394"/>
      <c r="T25" s="2394"/>
      <c r="U25" s="2394"/>
      <c r="V25" s="2399"/>
      <c r="W25" s="2394"/>
      <c r="X25" s="2394"/>
      <c r="BB25" s="2395"/>
      <c r="BC25" s="2396"/>
      <c r="BD25" s="2397"/>
      <c r="BE25" s="2397"/>
      <c r="BF25" s="2398"/>
    </row>
    <row r="26" spans="1:59" s="2390" customFormat="1" x14ac:dyDescent="0.2">
      <c r="E26" s="2391"/>
      <c r="G26" s="2391"/>
      <c r="N26" s="2392"/>
      <c r="O26" s="2393"/>
      <c r="S26" s="2394"/>
      <c r="T26" s="2394"/>
      <c r="U26" s="2400"/>
      <c r="V26" s="2401"/>
      <c r="W26" s="2394"/>
      <c r="X26" s="2394"/>
      <c r="BB26" s="2395"/>
      <c r="BC26" s="2396"/>
      <c r="BD26" s="2397"/>
      <c r="BE26" s="2397"/>
      <c r="BF26" s="2398"/>
    </row>
    <row r="27" spans="1:59" s="2390" customFormat="1" x14ac:dyDescent="0.2">
      <c r="E27" s="2391"/>
      <c r="G27" s="2391"/>
      <c r="N27" s="2392"/>
      <c r="O27" s="2393"/>
      <c r="S27" s="2394"/>
      <c r="T27" s="2394"/>
      <c r="U27" s="2402"/>
      <c r="V27" s="2403"/>
      <c r="W27" s="2394"/>
      <c r="X27" s="2394"/>
      <c r="BB27" s="2395"/>
      <c r="BC27" s="2396"/>
      <c r="BD27" s="2397"/>
      <c r="BE27" s="2397"/>
      <c r="BF27" s="2398"/>
    </row>
    <row r="28" spans="1:59" s="2390" customFormat="1" x14ac:dyDescent="0.2">
      <c r="E28" s="2391"/>
      <c r="G28" s="2391"/>
      <c r="N28" s="2392"/>
      <c r="O28" s="2393"/>
      <c r="S28" s="2394"/>
      <c r="T28" s="2394"/>
      <c r="U28" s="2403"/>
      <c r="V28" s="2394"/>
      <c r="W28" s="2394"/>
      <c r="X28" s="2394"/>
      <c r="BB28" s="2395"/>
      <c r="BC28" s="2396"/>
      <c r="BD28" s="2397"/>
      <c r="BE28" s="2397"/>
      <c r="BF28" s="2398"/>
    </row>
    <row r="29" spans="1:59" s="2390" customFormat="1" x14ac:dyDescent="0.2">
      <c r="E29" s="2391"/>
      <c r="G29" s="2391"/>
      <c r="N29" s="2392"/>
      <c r="O29" s="2393"/>
      <c r="S29" s="2394"/>
      <c r="T29" s="2394"/>
      <c r="U29" s="2402"/>
      <c r="V29" s="2403"/>
      <c r="W29" s="2394"/>
      <c r="X29" s="2394"/>
      <c r="BB29" s="2395"/>
      <c r="BC29" s="2396"/>
      <c r="BD29" s="2397"/>
      <c r="BE29" s="2397"/>
      <c r="BF29" s="2398"/>
    </row>
    <row r="30" spans="1:59" s="2390" customFormat="1" x14ac:dyDescent="0.2">
      <c r="E30" s="2391"/>
      <c r="G30" s="2391"/>
      <c r="N30" s="2392"/>
      <c r="O30" s="2393"/>
      <c r="S30" s="2394"/>
      <c r="T30" s="2394"/>
      <c r="U30" s="2403"/>
      <c r="V30" s="2394"/>
      <c r="W30" s="2394"/>
      <c r="X30" s="2394"/>
      <c r="BB30" s="2395"/>
      <c r="BC30" s="2396"/>
      <c r="BD30" s="2397"/>
      <c r="BE30" s="2397"/>
      <c r="BF30" s="2398"/>
    </row>
    <row r="31" spans="1:59" s="2390" customFormat="1" x14ac:dyDescent="0.2">
      <c r="E31" s="2391"/>
      <c r="G31" s="2391"/>
      <c r="N31" s="2392"/>
      <c r="O31" s="2393"/>
      <c r="S31" s="2394"/>
      <c r="T31" s="2394"/>
      <c r="U31" s="2394"/>
      <c r="V31" s="2394"/>
      <c r="W31" s="2394"/>
      <c r="X31" s="2394"/>
      <c r="BB31" s="2395"/>
      <c r="BC31" s="2396"/>
      <c r="BD31" s="2397"/>
      <c r="BE31" s="2397"/>
      <c r="BF31" s="2398"/>
    </row>
    <row r="32" spans="1:59" s="2390" customFormat="1" x14ac:dyDescent="0.2">
      <c r="E32" s="2391"/>
      <c r="G32" s="2391"/>
      <c r="N32" s="2392"/>
      <c r="O32" s="2393"/>
      <c r="S32" s="2394"/>
      <c r="T32" s="2394"/>
      <c r="U32" s="2394"/>
      <c r="V32" s="2394"/>
      <c r="W32" s="2394"/>
      <c r="X32" s="2394"/>
      <c r="BB32" s="2395"/>
      <c r="BC32" s="2396"/>
      <c r="BD32" s="2397"/>
      <c r="BE32" s="2397"/>
      <c r="BF32" s="2398"/>
    </row>
    <row r="33" spans="5:58" s="2390" customFormat="1" x14ac:dyDescent="0.2">
      <c r="E33" s="2391"/>
      <c r="G33" s="2391"/>
      <c r="N33" s="2392"/>
      <c r="O33" s="2393"/>
      <c r="S33" s="2394"/>
      <c r="T33" s="2394"/>
      <c r="U33" s="2394"/>
      <c r="V33" s="2394"/>
      <c r="W33" s="2394"/>
      <c r="X33" s="2394"/>
      <c r="BB33" s="2395"/>
      <c r="BC33" s="2396"/>
      <c r="BD33" s="2397"/>
      <c r="BE33" s="2397"/>
      <c r="BF33" s="2398"/>
    </row>
    <row r="34" spans="5:58" s="2390" customFormat="1" x14ac:dyDescent="0.2">
      <c r="E34" s="2391"/>
      <c r="G34" s="2391"/>
      <c r="N34" s="2392"/>
      <c r="O34" s="2393"/>
      <c r="S34" s="2394"/>
      <c r="T34" s="2394"/>
      <c r="U34" s="2394"/>
      <c r="V34" s="2394"/>
      <c r="W34" s="2394"/>
      <c r="X34" s="2394"/>
      <c r="BB34" s="2395"/>
      <c r="BC34" s="2396"/>
      <c r="BD34" s="2397"/>
      <c r="BE34" s="2397"/>
      <c r="BF34" s="2398"/>
    </row>
    <row r="35" spans="5:58" s="2390" customFormat="1" x14ac:dyDescent="0.2">
      <c r="E35" s="2391"/>
      <c r="G35" s="2391"/>
      <c r="N35" s="2392"/>
      <c r="O35" s="2393"/>
      <c r="S35" s="2394"/>
      <c r="T35" s="2394"/>
      <c r="U35" s="2394"/>
      <c r="V35" s="2394"/>
      <c r="W35" s="2394"/>
      <c r="X35" s="2394"/>
      <c r="BB35" s="2395"/>
      <c r="BC35" s="2396"/>
      <c r="BD35" s="2397"/>
      <c r="BE35" s="2397"/>
      <c r="BF35" s="2398"/>
    </row>
    <row r="36" spans="5:58" s="2390" customFormat="1" x14ac:dyDescent="0.2">
      <c r="E36" s="2391"/>
      <c r="G36" s="2391"/>
      <c r="N36" s="2392"/>
      <c r="O36" s="2393"/>
      <c r="S36" s="2394"/>
      <c r="T36" s="2394"/>
      <c r="U36" s="2394"/>
      <c r="V36" s="2394"/>
      <c r="W36" s="2394"/>
      <c r="X36" s="2394"/>
      <c r="BB36" s="2395"/>
      <c r="BC36" s="2396"/>
      <c r="BD36" s="2397"/>
      <c r="BE36" s="2397"/>
      <c r="BF36" s="2398"/>
    </row>
    <row r="37" spans="5:58" s="2390" customFormat="1" x14ac:dyDescent="0.2">
      <c r="E37" s="2391"/>
      <c r="G37" s="2391"/>
      <c r="N37" s="2392"/>
      <c r="O37" s="2393"/>
      <c r="S37" s="2394"/>
      <c r="T37" s="2394"/>
      <c r="U37" s="2394"/>
      <c r="V37" s="2394"/>
      <c r="W37" s="2394"/>
      <c r="X37" s="2394"/>
      <c r="BB37" s="2395"/>
      <c r="BC37" s="2396"/>
      <c r="BD37" s="2397"/>
      <c r="BE37" s="2397"/>
      <c r="BF37" s="2398"/>
    </row>
    <row r="38" spans="5:58" s="2390" customFormat="1" x14ac:dyDescent="0.2">
      <c r="E38" s="2391"/>
      <c r="G38" s="2391"/>
      <c r="N38" s="2392"/>
      <c r="O38" s="2393"/>
      <c r="S38" s="2394"/>
      <c r="T38" s="2394"/>
      <c r="U38" s="2394"/>
      <c r="V38" s="2394"/>
      <c r="W38" s="2394"/>
      <c r="X38" s="2394"/>
      <c r="BB38" s="2395"/>
      <c r="BC38" s="2396"/>
      <c r="BD38" s="2397"/>
      <c r="BE38" s="2397"/>
      <c r="BF38" s="2398"/>
    </row>
    <row r="39" spans="5:58" s="2390" customFormat="1" x14ac:dyDescent="0.2">
      <c r="E39" s="2391"/>
      <c r="G39" s="2391"/>
      <c r="N39" s="2392"/>
      <c r="O39" s="2393"/>
      <c r="S39" s="2394"/>
      <c r="T39" s="2394"/>
      <c r="U39" s="2394"/>
      <c r="V39" s="2394"/>
      <c r="W39" s="2394"/>
      <c r="X39" s="2394"/>
      <c r="BB39" s="2395"/>
      <c r="BC39" s="2396"/>
      <c r="BD39" s="2397"/>
      <c r="BE39" s="2397"/>
      <c r="BF39" s="2398"/>
    </row>
    <row r="40" spans="5:58" s="2390" customFormat="1" x14ac:dyDescent="0.2">
      <c r="E40" s="2391"/>
      <c r="G40" s="2391"/>
      <c r="N40" s="2392"/>
      <c r="O40" s="2393"/>
      <c r="S40" s="2394"/>
      <c r="T40" s="2394"/>
      <c r="U40" s="2394"/>
      <c r="V40" s="2394"/>
      <c r="W40" s="2394"/>
      <c r="X40" s="2394"/>
      <c r="BB40" s="2395"/>
      <c r="BC40" s="2396"/>
      <c r="BD40" s="2397"/>
      <c r="BE40" s="2397"/>
      <c r="BF40" s="2398"/>
    </row>
    <row r="41" spans="5:58" s="2390" customFormat="1" x14ac:dyDescent="0.2">
      <c r="E41" s="2391"/>
      <c r="G41" s="2391"/>
      <c r="N41" s="2392"/>
      <c r="O41" s="2393"/>
      <c r="S41" s="2394"/>
      <c r="T41" s="2394"/>
      <c r="U41" s="2394"/>
      <c r="V41" s="2394"/>
      <c r="W41" s="2394"/>
      <c r="X41" s="2394"/>
      <c r="BB41" s="2395"/>
      <c r="BC41" s="2396"/>
      <c r="BD41" s="2397"/>
      <c r="BE41" s="2397"/>
      <c r="BF41" s="2398"/>
    </row>
    <row r="42" spans="5:58" s="2390" customFormat="1" x14ac:dyDescent="0.2">
      <c r="E42" s="2391"/>
      <c r="G42" s="2391"/>
      <c r="N42" s="2392"/>
      <c r="O42" s="2393"/>
      <c r="S42" s="2394"/>
      <c r="T42" s="2394"/>
      <c r="U42" s="2394"/>
      <c r="V42" s="2394"/>
      <c r="W42" s="2394"/>
      <c r="X42" s="2394"/>
      <c r="BB42" s="2395"/>
      <c r="BC42" s="2396"/>
      <c r="BD42" s="2397"/>
      <c r="BE42" s="2397"/>
      <c r="BF42" s="2398"/>
    </row>
    <row r="43" spans="5:58" s="2390" customFormat="1" x14ac:dyDescent="0.2">
      <c r="E43" s="2391"/>
      <c r="G43" s="2391"/>
      <c r="N43" s="2392"/>
      <c r="O43" s="2393"/>
      <c r="S43" s="2394"/>
      <c r="T43" s="2394"/>
      <c r="U43" s="2394"/>
      <c r="V43" s="2394"/>
      <c r="W43" s="2394"/>
      <c r="X43" s="2394"/>
      <c r="BB43" s="2395"/>
      <c r="BC43" s="2396"/>
      <c r="BD43" s="2397"/>
      <c r="BE43" s="2397"/>
      <c r="BF43" s="2398"/>
    </row>
    <row r="44" spans="5:58" s="2390" customFormat="1" x14ac:dyDescent="0.2">
      <c r="E44" s="2391"/>
      <c r="G44" s="2391"/>
      <c r="N44" s="2392"/>
      <c r="O44" s="2393"/>
      <c r="S44" s="2394"/>
      <c r="T44" s="2394"/>
      <c r="U44" s="2394"/>
      <c r="V44" s="2394"/>
      <c r="W44" s="2394"/>
      <c r="X44" s="2394"/>
      <c r="BB44" s="2395"/>
      <c r="BC44" s="2396"/>
      <c r="BD44" s="2397"/>
      <c r="BE44" s="2397"/>
      <c r="BF44" s="2398"/>
    </row>
    <row r="45" spans="5:58" s="2390" customFormat="1" x14ac:dyDescent="0.2">
      <c r="E45" s="2391"/>
      <c r="G45" s="2391"/>
      <c r="N45" s="2392"/>
      <c r="O45" s="2393"/>
      <c r="S45" s="2394"/>
      <c r="T45" s="2394"/>
      <c r="U45" s="2394"/>
      <c r="V45" s="2394"/>
      <c r="W45" s="2394"/>
      <c r="X45" s="2394"/>
      <c r="BB45" s="2395"/>
      <c r="BC45" s="2396"/>
      <c r="BD45" s="2397"/>
      <c r="BE45" s="2397"/>
      <c r="BF45" s="2398"/>
    </row>
    <row r="46" spans="5:58" s="2390" customFormat="1" x14ac:dyDescent="0.2">
      <c r="E46" s="2391"/>
      <c r="G46" s="2391"/>
      <c r="N46" s="2392"/>
      <c r="O46" s="2393"/>
      <c r="S46" s="2394"/>
      <c r="T46" s="2394"/>
      <c r="U46" s="2394"/>
      <c r="V46" s="2394"/>
      <c r="W46" s="2394"/>
      <c r="X46" s="2394"/>
      <c r="BB46" s="2395"/>
      <c r="BC46" s="2396"/>
      <c r="BD46" s="2397"/>
      <c r="BE46" s="2397"/>
      <c r="BF46" s="2398"/>
    </row>
    <row r="47" spans="5:58" s="2390" customFormat="1" x14ac:dyDescent="0.2">
      <c r="E47" s="2391"/>
      <c r="G47" s="2391"/>
      <c r="N47" s="2392"/>
      <c r="O47" s="2393"/>
      <c r="S47" s="2394"/>
      <c r="T47" s="2394"/>
      <c r="U47" s="2394"/>
      <c r="V47" s="2394"/>
      <c r="W47" s="2394"/>
      <c r="X47" s="2394"/>
      <c r="BB47" s="2395"/>
      <c r="BC47" s="2396"/>
      <c r="BD47" s="2397"/>
      <c r="BE47" s="2397"/>
      <c r="BF47" s="2398"/>
    </row>
    <row r="48" spans="5:58" s="2390" customFormat="1" x14ac:dyDescent="0.2">
      <c r="E48" s="2391"/>
      <c r="G48" s="2391"/>
      <c r="N48" s="2392"/>
      <c r="O48" s="2393"/>
      <c r="S48" s="2394"/>
      <c r="T48" s="2394"/>
      <c r="U48" s="2394"/>
      <c r="V48" s="2394"/>
      <c r="W48" s="2394"/>
      <c r="X48" s="2394"/>
      <c r="BB48" s="2395"/>
      <c r="BC48" s="2396"/>
      <c r="BD48" s="2397"/>
      <c r="BE48" s="2397"/>
      <c r="BF48" s="2398"/>
    </row>
    <row r="49" spans="5:58" s="2390" customFormat="1" x14ac:dyDescent="0.2">
      <c r="E49" s="2391"/>
      <c r="G49" s="2391"/>
      <c r="N49" s="2392"/>
      <c r="O49" s="2393"/>
      <c r="S49" s="2394"/>
      <c r="T49" s="2394"/>
      <c r="U49" s="2394"/>
      <c r="V49" s="2394"/>
      <c r="W49" s="2394"/>
      <c r="X49" s="2394"/>
      <c r="BB49" s="2395"/>
      <c r="BC49" s="2396"/>
      <c r="BD49" s="2397"/>
      <c r="BE49" s="2397"/>
      <c r="BF49" s="2398"/>
    </row>
    <row r="50" spans="5:58" s="2390" customFormat="1" x14ac:dyDescent="0.2">
      <c r="E50" s="2391"/>
      <c r="G50" s="2391"/>
      <c r="N50" s="2392"/>
      <c r="O50" s="2393"/>
      <c r="S50" s="2394"/>
      <c r="T50" s="2394"/>
      <c r="U50" s="2394"/>
      <c r="V50" s="2394"/>
      <c r="W50" s="2394"/>
      <c r="X50" s="2394"/>
      <c r="BB50" s="2395"/>
      <c r="BC50" s="2396"/>
      <c r="BD50" s="2397"/>
      <c r="BE50" s="2397"/>
      <c r="BF50" s="2398"/>
    </row>
    <row r="51" spans="5:58" s="2390" customFormat="1" x14ac:dyDescent="0.2">
      <c r="E51" s="2391"/>
      <c r="G51" s="2391"/>
      <c r="N51" s="2392"/>
      <c r="O51" s="2393"/>
      <c r="S51" s="2394"/>
      <c r="T51" s="2394"/>
      <c r="U51" s="2394"/>
      <c r="V51" s="2394"/>
      <c r="W51" s="2394"/>
      <c r="X51" s="2394"/>
      <c r="BB51" s="2395"/>
      <c r="BC51" s="2396"/>
      <c r="BD51" s="2397"/>
      <c r="BE51" s="2397"/>
      <c r="BF51" s="2398"/>
    </row>
    <row r="52" spans="5:58" s="2390" customFormat="1" x14ac:dyDescent="0.2">
      <c r="E52" s="2391"/>
      <c r="G52" s="2391"/>
      <c r="N52" s="2392"/>
      <c r="O52" s="2393"/>
      <c r="S52" s="2394"/>
      <c r="T52" s="2394"/>
      <c r="U52" s="2394"/>
      <c r="V52" s="2394"/>
      <c r="W52" s="2394"/>
      <c r="X52" s="2394"/>
      <c r="BB52" s="2395"/>
      <c r="BC52" s="2396"/>
      <c r="BD52" s="2397"/>
      <c r="BE52" s="2397"/>
      <c r="BF52" s="2398"/>
    </row>
    <row r="53" spans="5:58" s="2390" customFormat="1" x14ac:dyDescent="0.2">
      <c r="E53" s="2391"/>
      <c r="G53" s="2391"/>
      <c r="N53" s="2392"/>
      <c r="O53" s="2393"/>
      <c r="S53" s="2394"/>
      <c r="T53" s="2394"/>
      <c r="U53" s="2394"/>
      <c r="V53" s="2394"/>
      <c r="W53" s="2394"/>
      <c r="X53" s="2394"/>
      <c r="BB53" s="2395"/>
      <c r="BC53" s="2396"/>
      <c r="BD53" s="2397"/>
      <c r="BE53" s="2397"/>
      <c r="BF53" s="2398"/>
    </row>
    <row r="54" spans="5:58" s="2390" customFormat="1" x14ac:dyDescent="0.2">
      <c r="E54" s="2391"/>
      <c r="G54" s="2391"/>
      <c r="N54" s="2392"/>
      <c r="O54" s="2393"/>
      <c r="S54" s="2394"/>
      <c r="T54" s="2394"/>
      <c r="U54" s="2394"/>
      <c r="V54" s="2394"/>
      <c r="W54" s="2394"/>
      <c r="X54" s="2394"/>
      <c r="BB54" s="2395"/>
      <c r="BC54" s="2396"/>
      <c r="BD54" s="2397"/>
      <c r="BE54" s="2397"/>
      <c r="BF54" s="2398"/>
    </row>
    <row r="55" spans="5:58" s="2390" customFormat="1" x14ac:dyDescent="0.2">
      <c r="E55" s="2391"/>
      <c r="G55" s="2391"/>
      <c r="N55" s="2392"/>
      <c r="O55" s="2393"/>
      <c r="S55" s="2394"/>
      <c r="T55" s="2394"/>
      <c r="U55" s="2394"/>
      <c r="V55" s="2394"/>
      <c r="W55" s="2394"/>
      <c r="X55" s="2394"/>
      <c r="BB55" s="2395"/>
      <c r="BC55" s="2396"/>
      <c r="BD55" s="2397"/>
      <c r="BE55" s="2397"/>
      <c r="BF55" s="2398"/>
    </row>
    <row r="56" spans="5:58" s="2390" customFormat="1" x14ac:dyDescent="0.2">
      <c r="E56" s="2391"/>
      <c r="G56" s="2391"/>
      <c r="N56" s="2392"/>
      <c r="O56" s="2393"/>
      <c r="S56" s="2394"/>
      <c r="T56" s="2394"/>
      <c r="U56" s="2394"/>
      <c r="V56" s="2394"/>
      <c r="W56" s="2394"/>
      <c r="X56" s="2394"/>
      <c r="BB56" s="2395"/>
      <c r="BC56" s="2396"/>
      <c r="BD56" s="2397"/>
      <c r="BE56" s="2397"/>
      <c r="BF56" s="2398"/>
    </row>
    <row r="57" spans="5:58" s="2390" customFormat="1" x14ac:dyDescent="0.2">
      <c r="E57" s="2391"/>
      <c r="G57" s="2391"/>
      <c r="N57" s="2392"/>
      <c r="O57" s="2393"/>
      <c r="S57" s="2394"/>
      <c r="T57" s="2394"/>
      <c r="U57" s="2394"/>
      <c r="V57" s="2394"/>
      <c r="W57" s="2394"/>
      <c r="X57" s="2394"/>
      <c r="BB57" s="2395"/>
      <c r="BC57" s="2396"/>
      <c r="BD57" s="2397"/>
      <c r="BE57" s="2397"/>
      <c r="BF57" s="2398"/>
    </row>
    <row r="58" spans="5:58" s="2390" customFormat="1" x14ac:dyDescent="0.2">
      <c r="E58" s="2391"/>
      <c r="G58" s="2391"/>
      <c r="N58" s="2392"/>
      <c r="O58" s="2393"/>
      <c r="S58" s="2394"/>
      <c r="T58" s="2394"/>
      <c r="U58" s="2394"/>
      <c r="V58" s="2394"/>
      <c r="W58" s="2394"/>
      <c r="X58" s="2394"/>
      <c r="BB58" s="2395"/>
      <c r="BC58" s="2396"/>
      <c r="BD58" s="2397"/>
      <c r="BE58" s="2397"/>
      <c r="BF58" s="2398"/>
    </row>
    <row r="59" spans="5:58" s="2390" customFormat="1" x14ac:dyDescent="0.2">
      <c r="E59" s="2391"/>
      <c r="G59" s="2391"/>
      <c r="N59" s="2392"/>
      <c r="O59" s="2393"/>
      <c r="S59" s="2394"/>
      <c r="T59" s="2394"/>
      <c r="U59" s="2394"/>
      <c r="V59" s="2394"/>
      <c r="W59" s="2394"/>
      <c r="X59" s="2394"/>
      <c r="BB59" s="2395"/>
      <c r="BC59" s="2396"/>
      <c r="BD59" s="2397"/>
      <c r="BE59" s="2397"/>
      <c r="BF59" s="2398"/>
    </row>
    <row r="60" spans="5:58" s="2390" customFormat="1" x14ac:dyDescent="0.2">
      <c r="E60" s="2391"/>
      <c r="G60" s="2391"/>
      <c r="N60" s="2392"/>
      <c r="O60" s="2393"/>
      <c r="S60" s="2394"/>
      <c r="T60" s="2394"/>
      <c r="U60" s="2394"/>
      <c r="V60" s="2394"/>
      <c r="W60" s="2394"/>
      <c r="X60" s="2394"/>
      <c r="BB60" s="2395"/>
      <c r="BC60" s="2396"/>
      <c r="BD60" s="2397"/>
      <c r="BE60" s="2397"/>
      <c r="BF60" s="2398"/>
    </row>
    <row r="61" spans="5:58" s="2390" customFormat="1" x14ac:dyDescent="0.2">
      <c r="E61" s="2391"/>
      <c r="G61" s="2391"/>
      <c r="N61" s="2392"/>
      <c r="O61" s="2393"/>
      <c r="S61" s="2394"/>
      <c r="T61" s="2394"/>
      <c r="U61" s="2394"/>
      <c r="V61" s="2394"/>
      <c r="W61" s="2394"/>
      <c r="X61" s="2394"/>
      <c r="BB61" s="2395"/>
      <c r="BC61" s="2396"/>
      <c r="BD61" s="2397"/>
      <c r="BE61" s="2397"/>
      <c r="BF61" s="2398"/>
    </row>
    <row r="62" spans="5:58" s="2390" customFormat="1" x14ac:dyDescent="0.2">
      <c r="E62" s="2391"/>
      <c r="G62" s="2391"/>
      <c r="N62" s="2392"/>
      <c r="O62" s="2393"/>
      <c r="S62" s="2394"/>
      <c r="T62" s="2394"/>
      <c r="U62" s="2394"/>
      <c r="V62" s="2394"/>
      <c r="W62" s="2394"/>
      <c r="X62" s="2394"/>
      <c r="BB62" s="2395"/>
      <c r="BC62" s="2396"/>
      <c r="BD62" s="2397"/>
      <c r="BE62" s="2397"/>
      <c r="BF62" s="2398"/>
    </row>
    <row r="63" spans="5:58" s="2390" customFormat="1" x14ac:dyDescent="0.2">
      <c r="E63" s="2391"/>
      <c r="G63" s="2391"/>
      <c r="N63" s="2392"/>
      <c r="O63" s="2393"/>
      <c r="S63" s="2394"/>
      <c r="T63" s="2394"/>
      <c r="U63" s="2394"/>
      <c r="V63" s="2394"/>
      <c r="W63" s="2394"/>
      <c r="X63" s="2394"/>
      <c r="BB63" s="2395"/>
      <c r="BC63" s="2396"/>
      <c r="BD63" s="2397"/>
      <c r="BE63" s="2397"/>
      <c r="BF63" s="2398"/>
    </row>
    <row r="64" spans="5:58" s="2390" customFormat="1" x14ac:dyDescent="0.2">
      <c r="E64" s="2391"/>
      <c r="G64" s="2391"/>
      <c r="N64" s="2392"/>
      <c r="O64" s="2393"/>
      <c r="S64" s="2394"/>
      <c r="T64" s="2394"/>
      <c r="U64" s="2394"/>
      <c r="V64" s="2394"/>
      <c r="W64" s="2394"/>
      <c r="X64" s="2394"/>
      <c r="BB64" s="2395"/>
      <c r="BC64" s="2396"/>
      <c r="BD64" s="2397"/>
      <c r="BE64" s="2397"/>
      <c r="BF64" s="2398"/>
    </row>
    <row r="65" spans="5:58" s="2390" customFormat="1" x14ac:dyDescent="0.2">
      <c r="E65" s="2391"/>
      <c r="G65" s="2391"/>
      <c r="N65" s="2392"/>
      <c r="O65" s="2393"/>
      <c r="S65" s="2394"/>
      <c r="T65" s="2394"/>
      <c r="U65" s="2394"/>
      <c r="V65" s="2394"/>
      <c r="W65" s="2394"/>
      <c r="X65" s="2394"/>
      <c r="BB65" s="2395"/>
      <c r="BC65" s="2396"/>
      <c r="BD65" s="2397"/>
      <c r="BE65" s="2397"/>
      <c r="BF65" s="2398"/>
    </row>
    <row r="66" spans="5:58" s="2390" customFormat="1" x14ac:dyDescent="0.2">
      <c r="E66" s="2391"/>
      <c r="G66" s="2391"/>
      <c r="N66" s="2392"/>
      <c r="O66" s="2393"/>
      <c r="S66" s="2394"/>
      <c r="T66" s="2394"/>
      <c r="U66" s="2394"/>
      <c r="V66" s="2394"/>
      <c r="W66" s="2394"/>
      <c r="X66" s="2394"/>
      <c r="BB66" s="2395"/>
      <c r="BC66" s="2396"/>
      <c r="BD66" s="2397"/>
      <c r="BE66" s="2397"/>
      <c r="BF66" s="2398"/>
    </row>
    <row r="67" spans="5:58" s="2390" customFormat="1" x14ac:dyDescent="0.2">
      <c r="E67" s="2391"/>
      <c r="G67" s="2391"/>
      <c r="N67" s="2392"/>
      <c r="O67" s="2393"/>
      <c r="S67" s="2394"/>
      <c r="T67" s="2394"/>
      <c r="U67" s="2394"/>
      <c r="V67" s="2394"/>
      <c r="W67" s="2394"/>
      <c r="X67" s="2394"/>
      <c r="BB67" s="2395"/>
      <c r="BC67" s="2396"/>
      <c r="BD67" s="2397"/>
      <c r="BE67" s="2397"/>
      <c r="BF67" s="2398"/>
    </row>
    <row r="68" spans="5:58" s="2390" customFormat="1" x14ac:dyDescent="0.2">
      <c r="E68" s="2391"/>
      <c r="G68" s="2391"/>
      <c r="N68" s="2392"/>
      <c r="O68" s="2393"/>
      <c r="S68" s="2394"/>
      <c r="T68" s="2394"/>
      <c r="U68" s="2394"/>
      <c r="V68" s="2394"/>
      <c r="W68" s="2394"/>
      <c r="X68" s="2394"/>
      <c r="BB68" s="2395"/>
      <c r="BC68" s="2396"/>
      <c r="BD68" s="2397"/>
      <c r="BE68" s="2397"/>
      <c r="BF68" s="2398"/>
    </row>
    <row r="69" spans="5:58" s="2390" customFormat="1" x14ac:dyDescent="0.2">
      <c r="E69" s="2391"/>
      <c r="G69" s="2391"/>
      <c r="N69" s="2392"/>
      <c r="O69" s="2393"/>
      <c r="S69" s="2394"/>
      <c r="T69" s="2394"/>
      <c r="U69" s="2394"/>
      <c r="V69" s="2394"/>
      <c r="W69" s="2394"/>
      <c r="X69" s="2394"/>
      <c r="BB69" s="2395"/>
      <c r="BC69" s="2396"/>
      <c r="BD69" s="2397"/>
      <c r="BE69" s="2397"/>
      <c r="BF69" s="2398"/>
    </row>
    <row r="70" spans="5:58" s="2390" customFormat="1" x14ac:dyDescent="0.2">
      <c r="E70" s="2391"/>
      <c r="G70" s="2391"/>
      <c r="N70" s="2392"/>
      <c r="O70" s="2393"/>
      <c r="S70" s="2394"/>
      <c r="T70" s="2394"/>
      <c r="U70" s="2394"/>
      <c r="V70" s="2394"/>
      <c r="W70" s="2394"/>
      <c r="X70" s="2394"/>
      <c r="BB70" s="2395"/>
      <c r="BC70" s="2396"/>
      <c r="BD70" s="2397"/>
      <c r="BE70" s="2397"/>
      <c r="BF70" s="2398"/>
    </row>
    <row r="71" spans="5:58" s="2390" customFormat="1" x14ac:dyDescent="0.2">
      <c r="E71" s="2391"/>
      <c r="G71" s="2391"/>
      <c r="N71" s="2392"/>
      <c r="O71" s="2393"/>
      <c r="S71" s="2394"/>
      <c r="T71" s="2394"/>
      <c r="U71" s="2394"/>
      <c r="V71" s="2394"/>
      <c r="W71" s="2394"/>
      <c r="X71" s="2394"/>
      <c r="BB71" s="2395"/>
      <c r="BC71" s="2396"/>
      <c r="BD71" s="2397"/>
      <c r="BE71" s="2397"/>
      <c r="BF71" s="2398"/>
    </row>
    <row r="72" spans="5:58" s="2390" customFormat="1" x14ac:dyDescent="0.2">
      <c r="E72" s="2391"/>
      <c r="G72" s="2391"/>
      <c r="N72" s="2392"/>
      <c r="O72" s="2393"/>
      <c r="S72" s="2394"/>
      <c r="T72" s="2394"/>
      <c r="U72" s="2394"/>
      <c r="V72" s="2394"/>
      <c r="W72" s="2394"/>
      <c r="X72" s="2394"/>
      <c r="BB72" s="2395"/>
      <c r="BC72" s="2396"/>
      <c r="BD72" s="2397"/>
      <c r="BE72" s="2397"/>
      <c r="BF72" s="2398"/>
    </row>
    <row r="73" spans="5:58" s="2390" customFormat="1" x14ac:dyDescent="0.2">
      <c r="E73" s="2391"/>
      <c r="G73" s="2391"/>
      <c r="N73" s="2392"/>
      <c r="O73" s="2393"/>
      <c r="S73" s="2394"/>
      <c r="T73" s="2394"/>
      <c r="U73" s="2394"/>
      <c r="V73" s="2394"/>
      <c r="W73" s="2394"/>
      <c r="X73" s="2394"/>
      <c r="BB73" s="2395"/>
      <c r="BC73" s="2396"/>
      <c r="BD73" s="2397"/>
      <c r="BE73" s="2397"/>
      <c r="BF73" s="2398"/>
    </row>
    <row r="74" spans="5:58" s="2390" customFormat="1" x14ac:dyDescent="0.2">
      <c r="E74" s="2391"/>
      <c r="G74" s="2391"/>
      <c r="N74" s="2392"/>
      <c r="O74" s="2393"/>
      <c r="S74" s="2394"/>
      <c r="T74" s="2394"/>
      <c r="U74" s="2394"/>
      <c r="V74" s="2394"/>
      <c r="W74" s="2394"/>
      <c r="X74" s="2394"/>
      <c r="BB74" s="2395"/>
      <c r="BC74" s="2396"/>
      <c r="BD74" s="2397"/>
      <c r="BE74" s="2397"/>
      <c r="BF74" s="2398"/>
    </row>
    <row r="75" spans="5:58" s="2390" customFormat="1" x14ac:dyDescent="0.2">
      <c r="E75" s="2391"/>
      <c r="G75" s="2391"/>
      <c r="N75" s="2392"/>
      <c r="O75" s="2393"/>
      <c r="S75" s="2394"/>
      <c r="T75" s="2394"/>
      <c r="U75" s="2394"/>
      <c r="V75" s="2394"/>
      <c r="W75" s="2394"/>
      <c r="X75" s="2394"/>
      <c r="BB75" s="2395"/>
      <c r="BC75" s="2396"/>
      <c r="BD75" s="2397"/>
      <c r="BE75" s="2397"/>
      <c r="BF75" s="2398"/>
    </row>
    <row r="76" spans="5:58" s="2390" customFormat="1" x14ac:dyDescent="0.2">
      <c r="E76" s="2391"/>
      <c r="G76" s="2391"/>
      <c r="N76" s="2392"/>
      <c r="O76" s="2393"/>
      <c r="S76" s="2394"/>
      <c r="T76" s="2394"/>
      <c r="U76" s="2394"/>
      <c r="V76" s="2394"/>
      <c r="W76" s="2394"/>
      <c r="X76" s="2394"/>
      <c r="BB76" s="2395"/>
      <c r="BC76" s="2396"/>
      <c r="BD76" s="2397"/>
      <c r="BE76" s="2397"/>
      <c r="BF76" s="2398"/>
    </row>
    <row r="77" spans="5:58" s="2390" customFormat="1" x14ac:dyDescent="0.2">
      <c r="E77" s="2391"/>
      <c r="G77" s="2391"/>
      <c r="N77" s="2392"/>
      <c r="O77" s="2393"/>
      <c r="S77" s="2394"/>
      <c r="T77" s="2394"/>
      <c r="U77" s="2394"/>
      <c r="V77" s="2394"/>
      <c r="W77" s="2394"/>
      <c r="X77" s="2394"/>
      <c r="BB77" s="2395"/>
      <c r="BC77" s="2396"/>
      <c r="BD77" s="2397"/>
      <c r="BE77" s="2397"/>
      <c r="BF77" s="2398"/>
    </row>
    <row r="78" spans="5:58" s="2390" customFormat="1" x14ac:dyDescent="0.2">
      <c r="E78" s="2391"/>
      <c r="G78" s="2391"/>
      <c r="N78" s="2392"/>
      <c r="O78" s="2393"/>
      <c r="S78" s="2394"/>
      <c r="T78" s="2394"/>
      <c r="U78" s="2394"/>
      <c r="V78" s="2394"/>
      <c r="W78" s="2394"/>
      <c r="X78" s="2394"/>
      <c r="BB78" s="2395"/>
      <c r="BC78" s="2396"/>
      <c r="BD78" s="2397"/>
      <c r="BE78" s="2397"/>
      <c r="BF78" s="2398"/>
    </row>
    <row r="79" spans="5:58" s="2390" customFormat="1" x14ac:dyDescent="0.2">
      <c r="E79" s="2391"/>
      <c r="G79" s="2391"/>
      <c r="N79" s="2392"/>
      <c r="O79" s="2393"/>
      <c r="S79" s="2394"/>
      <c r="T79" s="2394"/>
      <c r="U79" s="2394"/>
      <c r="V79" s="2394"/>
      <c r="W79" s="2394"/>
      <c r="X79" s="2394"/>
      <c r="BB79" s="2395"/>
      <c r="BC79" s="2396"/>
      <c r="BD79" s="2397"/>
      <c r="BE79" s="2397"/>
      <c r="BF79" s="2398"/>
    </row>
    <row r="80" spans="5:58" s="2390" customFormat="1" x14ac:dyDescent="0.2">
      <c r="E80" s="2391"/>
      <c r="G80" s="2391"/>
      <c r="N80" s="2392"/>
      <c r="O80" s="2393"/>
      <c r="S80" s="2394"/>
      <c r="T80" s="2394"/>
      <c r="U80" s="2394"/>
      <c r="V80" s="2394"/>
      <c r="W80" s="2394"/>
      <c r="X80" s="2394"/>
      <c r="BB80" s="2395"/>
      <c r="BC80" s="2396"/>
      <c r="BD80" s="2397"/>
      <c r="BE80" s="2397"/>
      <c r="BF80" s="2398"/>
    </row>
    <row r="81" spans="5:58" s="2390" customFormat="1" x14ac:dyDescent="0.2">
      <c r="E81" s="2391"/>
      <c r="G81" s="2391"/>
      <c r="N81" s="2392"/>
      <c r="O81" s="2393"/>
      <c r="S81" s="2394"/>
      <c r="T81" s="2394"/>
      <c r="U81" s="2394"/>
      <c r="V81" s="2394"/>
      <c r="W81" s="2394"/>
      <c r="X81" s="2394"/>
      <c r="BB81" s="2395"/>
      <c r="BC81" s="2396"/>
      <c r="BD81" s="2397"/>
      <c r="BE81" s="2397"/>
      <c r="BF81" s="2398"/>
    </row>
    <row r="82" spans="5:58" s="2390" customFormat="1" x14ac:dyDescent="0.2">
      <c r="E82" s="2391"/>
      <c r="G82" s="2391"/>
      <c r="N82" s="2392"/>
      <c r="O82" s="2393"/>
      <c r="S82" s="2394"/>
      <c r="T82" s="2394"/>
      <c r="U82" s="2394"/>
      <c r="V82" s="2394"/>
      <c r="W82" s="2394"/>
      <c r="X82" s="2394"/>
      <c r="BB82" s="2395"/>
      <c r="BC82" s="2396"/>
      <c r="BD82" s="2397"/>
      <c r="BE82" s="2397"/>
      <c r="BF82" s="2398"/>
    </row>
    <row r="83" spans="5:58" s="2390" customFormat="1" x14ac:dyDescent="0.2">
      <c r="E83" s="2391"/>
      <c r="G83" s="2391"/>
      <c r="N83" s="2392"/>
      <c r="O83" s="2393"/>
      <c r="S83" s="2394"/>
      <c r="T83" s="2394"/>
      <c r="U83" s="2394"/>
      <c r="V83" s="2394"/>
      <c r="W83" s="2394"/>
      <c r="X83" s="2394"/>
      <c r="BB83" s="2395"/>
      <c r="BC83" s="2396"/>
      <c r="BD83" s="2397"/>
      <c r="BE83" s="2397"/>
      <c r="BF83" s="2398"/>
    </row>
    <row r="84" spans="5:58" s="2390" customFormat="1" x14ac:dyDescent="0.2">
      <c r="E84" s="2391"/>
      <c r="G84" s="2391"/>
      <c r="N84" s="2392"/>
      <c r="O84" s="2393"/>
      <c r="S84" s="2394"/>
      <c r="T84" s="2394"/>
      <c r="U84" s="2394"/>
      <c r="V84" s="2394"/>
      <c r="W84" s="2394"/>
      <c r="X84" s="2394"/>
      <c r="BB84" s="2395"/>
      <c r="BC84" s="2396"/>
      <c r="BD84" s="2397"/>
      <c r="BE84" s="2397"/>
      <c r="BF84" s="2398"/>
    </row>
    <row r="85" spans="5:58" s="2390" customFormat="1" x14ac:dyDescent="0.2">
      <c r="E85" s="2391"/>
      <c r="G85" s="2391"/>
      <c r="N85" s="2392"/>
      <c r="O85" s="2393"/>
      <c r="S85" s="2394"/>
      <c r="T85" s="2394"/>
      <c r="U85" s="2394"/>
      <c r="V85" s="2394"/>
      <c r="W85" s="2394"/>
      <c r="X85" s="2394"/>
      <c r="BB85" s="2395"/>
      <c r="BC85" s="2396"/>
      <c r="BD85" s="2397"/>
      <c r="BE85" s="2397"/>
      <c r="BF85" s="2398"/>
    </row>
    <row r="86" spans="5:58" s="2390" customFormat="1" x14ac:dyDescent="0.2">
      <c r="E86" s="2391"/>
      <c r="G86" s="2391"/>
      <c r="N86" s="2392"/>
      <c r="O86" s="2393"/>
      <c r="S86" s="2394"/>
      <c r="T86" s="2394"/>
      <c r="U86" s="2394"/>
      <c r="V86" s="2394"/>
      <c r="W86" s="2394"/>
      <c r="X86" s="2394"/>
      <c r="BB86" s="2395"/>
      <c r="BC86" s="2396"/>
      <c r="BD86" s="2397"/>
      <c r="BE86" s="2397"/>
      <c r="BF86" s="2398"/>
    </row>
    <row r="87" spans="5:58" s="2390" customFormat="1" x14ac:dyDescent="0.2">
      <c r="E87" s="2391"/>
      <c r="G87" s="2391"/>
      <c r="N87" s="2392"/>
      <c r="O87" s="2393"/>
      <c r="S87" s="2394"/>
      <c r="T87" s="2394"/>
      <c r="U87" s="2394"/>
      <c r="V87" s="2394"/>
      <c r="W87" s="2394"/>
      <c r="X87" s="2394"/>
      <c r="BB87" s="2395"/>
      <c r="BC87" s="2396"/>
      <c r="BD87" s="2397"/>
      <c r="BE87" s="2397"/>
      <c r="BF87" s="2398"/>
    </row>
    <row r="88" spans="5:58" s="2390" customFormat="1" x14ac:dyDescent="0.2">
      <c r="E88" s="2391"/>
      <c r="G88" s="2391"/>
      <c r="N88" s="2392"/>
      <c r="O88" s="2393"/>
      <c r="S88" s="2394"/>
      <c r="T88" s="2394"/>
      <c r="U88" s="2394"/>
      <c r="V88" s="2394"/>
      <c r="W88" s="2394"/>
      <c r="X88" s="2394"/>
      <c r="BB88" s="2395"/>
      <c r="BC88" s="2396"/>
      <c r="BD88" s="2397"/>
      <c r="BE88" s="2397"/>
      <c r="BF88" s="2398"/>
    </row>
    <row r="89" spans="5:58" s="2390" customFormat="1" x14ac:dyDescent="0.2">
      <c r="E89" s="2391"/>
      <c r="G89" s="2391"/>
      <c r="N89" s="2392"/>
      <c r="O89" s="2393"/>
      <c r="S89" s="2394"/>
      <c r="T89" s="2394"/>
      <c r="U89" s="2394"/>
      <c r="V89" s="2394"/>
      <c r="W89" s="2394"/>
      <c r="X89" s="2394"/>
      <c r="BB89" s="2395"/>
      <c r="BC89" s="2396"/>
      <c r="BD89" s="2397"/>
      <c r="BE89" s="2397"/>
      <c r="BF89" s="2398"/>
    </row>
    <row r="90" spans="5:58" s="2390" customFormat="1" x14ac:dyDescent="0.2">
      <c r="E90" s="2391"/>
      <c r="G90" s="2391"/>
      <c r="N90" s="2392"/>
      <c r="O90" s="2393"/>
      <c r="S90" s="2394"/>
      <c r="T90" s="2394"/>
      <c r="U90" s="2394"/>
      <c r="V90" s="2394"/>
      <c r="W90" s="2394"/>
      <c r="X90" s="2394"/>
      <c r="BB90" s="2395"/>
      <c r="BC90" s="2396"/>
      <c r="BD90" s="2397"/>
      <c r="BE90" s="2397"/>
      <c r="BF90" s="2398"/>
    </row>
    <row r="91" spans="5:58" s="2390" customFormat="1" x14ac:dyDescent="0.2">
      <c r="E91" s="2391"/>
      <c r="G91" s="2391"/>
      <c r="N91" s="2392"/>
      <c r="O91" s="2393"/>
      <c r="S91" s="2394"/>
      <c r="T91" s="2394"/>
      <c r="U91" s="2394"/>
      <c r="V91" s="2394"/>
      <c r="W91" s="2394"/>
      <c r="X91" s="2394"/>
      <c r="BB91" s="2395"/>
      <c r="BC91" s="2396"/>
      <c r="BD91" s="2397"/>
      <c r="BE91" s="2397"/>
      <c r="BF91" s="2398"/>
    </row>
    <row r="92" spans="5:58" s="2390" customFormat="1" x14ac:dyDescent="0.2">
      <c r="E92" s="2391"/>
      <c r="G92" s="2391"/>
      <c r="N92" s="2392"/>
      <c r="O92" s="2393"/>
      <c r="S92" s="2394"/>
      <c r="T92" s="2394"/>
      <c r="U92" s="2394"/>
      <c r="V92" s="2394"/>
      <c r="W92" s="2394"/>
      <c r="X92" s="2394"/>
      <c r="BB92" s="2395"/>
      <c r="BC92" s="2396"/>
      <c r="BD92" s="2397"/>
      <c r="BE92" s="2397"/>
      <c r="BF92" s="2398"/>
    </row>
    <row r="93" spans="5:58" s="2390" customFormat="1" x14ac:dyDescent="0.2">
      <c r="E93" s="2391"/>
      <c r="G93" s="2391"/>
      <c r="N93" s="2392"/>
      <c r="O93" s="2393"/>
      <c r="S93" s="2394"/>
      <c r="T93" s="2394"/>
      <c r="U93" s="2394"/>
      <c r="V93" s="2394"/>
      <c r="W93" s="2394"/>
      <c r="X93" s="2394"/>
      <c r="BB93" s="2395"/>
      <c r="BC93" s="2396"/>
      <c r="BD93" s="2397"/>
      <c r="BE93" s="2397"/>
      <c r="BF93" s="2398"/>
    </row>
    <row r="94" spans="5:58" s="2390" customFormat="1" x14ac:dyDescent="0.2">
      <c r="E94" s="2391"/>
      <c r="G94" s="2391"/>
      <c r="N94" s="2392"/>
      <c r="O94" s="2393"/>
      <c r="S94" s="2394"/>
      <c r="T94" s="2394"/>
      <c r="U94" s="2394"/>
      <c r="V94" s="2394"/>
      <c r="W94" s="2394"/>
      <c r="X94" s="2394"/>
      <c r="BB94" s="2395"/>
      <c r="BC94" s="2396"/>
      <c r="BD94" s="2397"/>
      <c r="BE94" s="2397"/>
      <c r="BF94" s="2398"/>
    </row>
    <row r="95" spans="5:58" s="2390" customFormat="1" x14ac:dyDescent="0.2">
      <c r="E95" s="2391"/>
      <c r="G95" s="2391"/>
      <c r="N95" s="2392"/>
      <c r="O95" s="2393"/>
      <c r="S95" s="2394"/>
      <c r="T95" s="2394"/>
      <c r="U95" s="2394"/>
      <c r="V95" s="2394"/>
      <c r="W95" s="2394"/>
      <c r="X95" s="2394"/>
      <c r="BB95" s="2395"/>
      <c r="BC95" s="2396"/>
      <c r="BD95" s="2397"/>
      <c r="BE95" s="2397"/>
      <c r="BF95" s="2398"/>
    </row>
    <row r="96" spans="5:58" s="2390" customFormat="1" x14ac:dyDescent="0.2">
      <c r="E96" s="2391"/>
      <c r="G96" s="2391"/>
      <c r="N96" s="2392"/>
      <c r="O96" s="2393"/>
      <c r="S96" s="2394"/>
      <c r="T96" s="2394"/>
      <c r="U96" s="2394"/>
      <c r="V96" s="2394"/>
      <c r="W96" s="2394"/>
      <c r="X96" s="2394"/>
      <c r="BB96" s="2395"/>
      <c r="BC96" s="2396"/>
      <c r="BD96" s="2397"/>
      <c r="BE96" s="2397"/>
      <c r="BF96" s="2398"/>
    </row>
    <row r="97" spans="5:58" s="2390" customFormat="1" x14ac:dyDescent="0.2">
      <c r="E97" s="2391"/>
      <c r="G97" s="2391"/>
      <c r="N97" s="2392"/>
      <c r="O97" s="2393"/>
      <c r="S97" s="2394"/>
      <c r="T97" s="2394"/>
      <c r="U97" s="2394"/>
      <c r="V97" s="2394"/>
      <c r="W97" s="2394"/>
      <c r="X97" s="2394"/>
      <c r="BB97" s="2395"/>
      <c r="BC97" s="2396"/>
      <c r="BD97" s="2397"/>
      <c r="BE97" s="2397"/>
      <c r="BF97" s="2398"/>
    </row>
    <row r="98" spans="5:58" s="2390" customFormat="1" x14ac:dyDescent="0.2">
      <c r="E98" s="2391"/>
      <c r="G98" s="2391"/>
      <c r="N98" s="2392"/>
      <c r="O98" s="2393"/>
      <c r="S98" s="2394"/>
      <c r="T98" s="2394"/>
      <c r="U98" s="2394"/>
      <c r="V98" s="2394"/>
      <c r="W98" s="2394"/>
      <c r="X98" s="2394"/>
      <c r="BB98" s="2395"/>
      <c r="BC98" s="2396"/>
      <c r="BD98" s="2397"/>
      <c r="BE98" s="2397"/>
      <c r="BF98" s="2398"/>
    </row>
    <row r="99" spans="5:58" s="2390" customFormat="1" x14ac:dyDescent="0.2">
      <c r="E99" s="2391"/>
      <c r="G99" s="2391"/>
      <c r="N99" s="2392"/>
      <c r="O99" s="2393"/>
      <c r="S99" s="2394"/>
      <c r="T99" s="2394"/>
      <c r="U99" s="2394"/>
      <c r="V99" s="2394"/>
      <c r="W99" s="2394"/>
      <c r="X99" s="2394"/>
      <c r="BB99" s="2395"/>
      <c r="BC99" s="2396"/>
      <c r="BD99" s="2397"/>
      <c r="BE99" s="2397"/>
      <c r="BF99" s="2398"/>
    </row>
    <row r="100" spans="5:58" s="2390" customFormat="1" x14ac:dyDescent="0.2">
      <c r="E100" s="2391"/>
      <c r="G100" s="2391"/>
      <c r="N100" s="2392"/>
      <c r="O100" s="2393"/>
      <c r="S100" s="2394"/>
      <c r="T100" s="2394"/>
      <c r="U100" s="2394"/>
      <c r="V100" s="2394"/>
      <c r="W100" s="2394"/>
      <c r="X100" s="2394"/>
      <c r="BB100" s="2395"/>
      <c r="BC100" s="2396"/>
      <c r="BD100" s="2397"/>
      <c r="BE100" s="2397"/>
      <c r="BF100" s="2398"/>
    </row>
    <row r="101" spans="5:58" s="2390" customFormat="1" x14ac:dyDescent="0.2">
      <c r="E101" s="2391"/>
      <c r="G101" s="2391"/>
      <c r="N101" s="2392"/>
      <c r="O101" s="2393"/>
      <c r="S101" s="2394"/>
      <c r="T101" s="2394"/>
      <c r="U101" s="2394"/>
      <c r="V101" s="2394"/>
      <c r="W101" s="2394"/>
      <c r="X101" s="2394"/>
      <c r="BB101" s="2395"/>
      <c r="BC101" s="2396"/>
      <c r="BD101" s="2397"/>
      <c r="BE101" s="2397"/>
      <c r="BF101" s="2398"/>
    </row>
    <row r="102" spans="5:58" s="2390" customFormat="1" x14ac:dyDescent="0.2">
      <c r="E102" s="2391"/>
      <c r="G102" s="2391"/>
      <c r="N102" s="2392"/>
      <c r="O102" s="2393"/>
      <c r="S102" s="2394"/>
      <c r="T102" s="2394"/>
      <c r="U102" s="2394"/>
      <c r="V102" s="2394"/>
      <c r="W102" s="2394"/>
      <c r="X102" s="2394"/>
      <c r="BB102" s="2395"/>
      <c r="BC102" s="2396"/>
      <c r="BD102" s="2397"/>
      <c r="BE102" s="2397"/>
      <c r="BF102" s="2398"/>
    </row>
    <row r="103" spans="5:58" s="2390" customFormat="1" x14ac:dyDescent="0.2">
      <c r="E103" s="2391"/>
      <c r="G103" s="2391"/>
      <c r="N103" s="2392"/>
      <c r="O103" s="2393"/>
      <c r="S103" s="2394"/>
      <c r="T103" s="2394"/>
      <c r="U103" s="2394"/>
      <c r="V103" s="2394"/>
      <c r="W103" s="2394"/>
      <c r="X103" s="2394"/>
      <c r="BB103" s="2395"/>
      <c r="BC103" s="2396"/>
      <c r="BD103" s="2397"/>
      <c r="BE103" s="2397"/>
      <c r="BF103" s="2398"/>
    </row>
    <row r="104" spans="5:58" s="2390" customFormat="1" x14ac:dyDescent="0.2">
      <c r="E104" s="2391"/>
      <c r="G104" s="2391"/>
      <c r="N104" s="2392"/>
      <c r="O104" s="2393"/>
      <c r="S104" s="2394"/>
      <c r="T104" s="2394"/>
      <c r="U104" s="2394"/>
      <c r="V104" s="2394"/>
      <c r="W104" s="2394"/>
      <c r="X104" s="2394"/>
      <c r="BB104" s="2395"/>
      <c r="BC104" s="2396"/>
      <c r="BD104" s="2397"/>
      <c r="BE104" s="2397"/>
      <c r="BF104" s="2398"/>
    </row>
    <row r="105" spans="5:58" s="2390" customFormat="1" x14ac:dyDescent="0.2">
      <c r="E105" s="2391"/>
      <c r="G105" s="2391"/>
      <c r="N105" s="2392"/>
      <c r="O105" s="2393"/>
      <c r="S105" s="2394"/>
      <c r="T105" s="2394"/>
      <c r="U105" s="2394"/>
      <c r="V105" s="2394"/>
      <c r="W105" s="2394"/>
      <c r="X105" s="2394"/>
      <c r="BB105" s="2395"/>
      <c r="BC105" s="2396"/>
      <c r="BD105" s="2397"/>
      <c r="BE105" s="2397"/>
      <c r="BF105" s="2398"/>
    </row>
    <row r="106" spans="5:58" s="2390" customFormat="1" x14ac:dyDescent="0.2">
      <c r="E106" s="2391"/>
      <c r="G106" s="2391"/>
      <c r="N106" s="2392"/>
      <c r="O106" s="2393"/>
      <c r="S106" s="2394"/>
      <c r="T106" s="2394"/>
      <c r="U106" s="2394"/>
      <c r="V106" s="2394"/>
      <c r="W106" s="2394"/>
      <c r="X106" s="2394"/>
      <c r="BB106" s="2395"/>
      <c r="BC106" s="2396"/>
      <c r="BD106" s="2397"/>
      <c r="BE106" s="2397"/>
      <c r="BF106" s="2398"/>
    </row>
    <row r="107" spans="5:58" s="2390" customFormat="1" x14ac:dyDescent="0.2">
      <c r="E107" s="2391"/>
      <c r="G107" s="2391"/>
      <c r="N107" s="2392"/>
      <c r="O107" s="2393"/>
      <c r="S107" s="2394"/>
      <c r="T107" s="2394"/>
      <c r="U107" s="2394"/>
      <c r="V107" s="2394"/>
      <c r="W107" s="2394"/>
      <c r="X107" s="2394"/>
      <c r="BB107" s="2395"/>
      <c r="BC107" s="2396"/>
      <c r="BD107" s="2397"/>
      <c r="BE107" s="2397"/>
      <c r="BF107" s="2398"/>
    </row>
    <row r="108" spans="5:58" s="2390" customFormat="1" x14ac:dyDescent="0.2">
      <c r="E108" s="2391"/>
      <c r="G108" s="2391"/>
      <c r="N108" s="2392"/>
      <c r="O108" s="2393"/>
      <c r="S108" s="2394"/>
      <c r="T108" s="2394"/>
      <c r="U108" s="2394"/>
      <c r="V108" s="2394"/>
      <c r="W108" s="2394"/>
      <c r="X108" s="2394"/>
      <c r="BB108" s="2395"/>
      <c r="BC108" s="2396"/>
      <c r="BD108" s="2397"/>
      <c r="BE108" s="2397"/>
      <c r="BF108" s="2398"/>
    </row>
    <row r="109" spans="5:58" s="2390" customFormat="1" x14ac:dyDescent="0.2">
      <c r="E109" s="2391"/>
      <c r="G109" s="2391"/>
      <c r="N109" s="2392"/>
      <c r="O109" s="2393"/>
      <c r="S109" s="2394"/>
      <c r="T109" s="2394"/>
      <c r="U109" s="2394"/>
      <c r="V109" s="2394"/>
      <c r="W109" s="2394"/>
      <c r="X109" s="2394"/>
      <c r="BB109" s="2395"/>
      <c r="BC109" s="2396"/>
      <c r="BD109" s="2397"/>
      <c r="BE109" s="2397"/>
      <c r="BF109" s="2398"/>
    </row>
    <row r="110" spans="5:58" s="2390" customFormat="1" x14ac:dyDescent="0.2">
      <c r="E110" s="2391"/>
      <c r="G110" s="2391"/>
      <c r="N110" s="2392"/>
      <c r="O110" s="2393"/>
      <c r="S110" s="2394"/>
      <c r="T110" s="2394"/>
      <c r="U110" s="2394"/>
      <c r="V110" s="2394"/>
      <c r="W110" s="2394"/>
      <c r="X110" s="2394"/>
      <c r="BB110" s="2395"/>
      <c r="BC110" s="2396"/>
      <c r="BD110" s="2397"/>
      <c r="BE110" s="2397"/>
      <c r="BF110" s="2398"/>
    </row>
    <row r="111" spans="5:58" s="2390" customFormat="1" x14ac:dyDescent="0.2">
      <c r="E111" s="2391"/>
      <c r="G111" s="2391"/>
      <c r="N111" s="2392"/>
      <c r="O111" s="2393"/>
      <c r="S111" s="2394"/>
      <c r="T111" s="2394"/>
      <c r="U111" s="2394"/>
      <c r="V111" s="2394"/>
      <c r="W111" s="2394"/>
      <c r="X111" s="2394"/>
      <c r="BB111" s="2395"/>
      <c r="BC111" s="2396"/>
      <c r="BD111" s="2397"/>
      <c r="BE111" s="2397"/>
      <c r="BF111" s="2398"/>
    </row>
    <row r="112" spans="5:58" s="2390" customFormat="1" x14ac:dyDescent="0.2">
      <c r="E112" s="2391"/>
      <c r="G112" s="2391"/>
      <c r="N112" s="2392"/>
      <c r="O112" s="2393"/>
      <c r="S112" s="2394"/>
      <c r="T112" s="2394"/>
      <c r="U112" s="2394"/>
      <c r="V112" s="2394"/>
      <c r="W112" s="2394"/>
      <c r="X112" s="2394"/>
      <c r="BB112" s="2395"/>
      <c r="BC112" s="2396"/>
      <c r="BD112" s="2397"/>
      <c r="BE112" s="2397"/>
      <c r="BF112" s="2398"/>
    </row>
    <row r="113" spans="5:58" s="2390" customFormat="1" x14ac:dyDescent="0.2">
      <c r="E113" s="2391"/>
      <c r="G113" s="2391"/>
      <c r="N113" s="2392"/>
      <c r="O113" s="2393"/>
      <c r="S113" s="2394"/>
      <c r="T113" s="2394"/>
      <c r="U113" s="2394"/>
      <c r="V113" s="2394"/>
      <c r="W113" s="2394"/>
      <c r="X113" s="2394"/>
      <c r="BB113" s="2395"/>
      <c r="BC113" s="2396"/>
      <c r="BD113" s="2397"/>
      <c r="BE113" s="2397"/>
      <c r="BF113" s="2398"/>
    </row>
    <row r="114" spans="5:58" s="2390" customFormat="1" x14ac:dyDescent="0.2">
      <c r="E114" s="2391"/>
      <c r="G114" s="2391"/>
      <c r="N114" s="2392"/>
      <c r="O114" s="2393"/>
      <c r="S114" s="2394"/>
      <c r="T114" s="2394"/>
      <c r="U114" s="2394"/>
      <c r="V114" s="2394"/>
      <c r="W114" s="2394"/>
      <c r="X114" s="2394"/>
      <c r="BB114" s="2395"/>
      <c r="BC114" s="2396"/>
      <c r="BD114" s="2397"/>
      <c r="BE114" s="2397"/>
      <c r="BF114" s="2398"/>
    </row>
    <row r="115" spans="5:58" s="2390" customFormat="1" x14ac:dyDescent="0.2">
      <c r="E115" s="2391"/>
      <c r="G115" s="2391"/>
      <c r="N115" s="2392"/>
      <c r="O115" s="2393"/>
      <c r="S115" s="2394"/>
      <c r="T115" s="2394"/>
      <c r="U115" s="2394"/>
      <c r="V115" s="2394"/>
      <c r="W115" s="2394"/>
      <c r="X115" s="2394"/>
      <c r="BB115" s="2395"/>
      <c r="BC115" s="2396"/>
      <c r="BD115" s="2397"/>
      <c r="BE115" s="2397"/>
      <c r="BF115" s="2398"/>
    </row>
    <row r="116" spans="5:58" s="2390" customFormat="1" x14ac:dyDescent="0.2">
      <c r="E116" s="2391"/>
      <c r="G116" s="2391"/>
      <c r="N116" s="2392"/>
      <c r="O116" s="2393"/>
      <c r="S116" s="2394"/>
      <c r="T116" s="2394"/>
      <c r="U116" s="2394"/>
      <c r="V116" s="2394"/>
      <c r="W116" s="2394"/>
      <c r="X116" s="2394"/>
      <c r="BB116" s="2395"/>
      <c r="BC116" s="2396"/>
      <c r="BD116" s="2397"/>
      <c r="BE116" s="2397"/>
      <c r="BF116" s="2398"/>
    </row>
    <row r="117" spans="5:58" s="2390" customFormat="1" x14ac:dyDescent="0.2">
      <c r="E117" s="2391"/>
      <c r="G117" s="2391"/>
      <c r="N117" s="2392"/>
      <c r="O117" s="2393"/>
      <c r="S117" s="2394"/>
      <c r="T117" s="2394"/>
      <c r="U117" s="2394"/>
      <c r="V117" s="2394"/>
      <c r="W117" s="2394"/>
      <c r="X117" s="2394"/>
      <c r="BB117" s="2395"/>
      <c r="BC117" s="2396"/>
      <c r="BD117" s="2397"/>
      <c r="BE117" s="2397"/>
      <c r="BF117" s="2398"/>
    </row>
    <row r="118" spans="5:58" s="2390" customFormat="1" x14ac:dyDescent="0.2">
      <c r="E118" s="2391"/>
      <c r="G118" s="2391"/>
      <c r="N118" s="2392"/>
      <c r="O118" s="2393"/>
      <c r="S118" s="2394"/>
      <c r="T118" s="2394"/>
      <c r="U118" s="2394"/>
      <c r="V118" s="2394"/>
      <c r="W118" s="2394"/>
      <c r="X118" s="2394"/>
      <c r="BB118" s="2395"/>
      <c r="BC118" s="2396"/>
      <c r="BD118" s="2397"/>
      <c r="BE118" s="2397"/>
      <c r="BF118" s="2398"/>
    </row>
    <row r="119" spans="5:58" s="2390" customFormat="1" x14ac:dyDescent="0.2">
      <c r="E119" s="2391"/>
      <c r="G119" s="2391"/>
      <c r="N119" s="2392"/>
      <c r="O119" s="2393"/>
      <c r="S119" s="2394"/>
      <c r="T119" s="2394"/>
      <c r="U119" s="2394"/>
      <c r="V119" s="2394"/>
      <c r="W119" s="2394"/>
      <c r="X119" s="2394"/>
      <c r="BB119" s="2395"/>
      <c r="BC119" s="2396"/>
      <c r="BD119" s="2397"/>
      <c r="BE119" s="2397"/>
      <c r="BF119" s="2398"/>
    </row>
    <row r="120" spans="5:58" s="2390" customFormat="1" x14ac:dyDescent="0.2">
      <c r="E120" s="2391"/>
      <c r="G120" s="2391"/>
      <c r="N120" s="2392"/>
      <c r="O120" s="2393"/>
      <c r="S120" s="2394"/>
      <c r="T120" s="2394"/>
      <c r="U120" s="2394"/>
      <c r="V120" s="2394"/>
      <c r="W120" s="2394"/>
      <c r="X120" s="2394"/>
      <c r="BB120" s="2395"/>
      <c r="BC120" s="2396"/>
      <c r="BD120" s="2397"/>
      <c r="BE120" s="2397"/>
      <c r="BF120" s="2398"/>
    </row>
    <row r="121" spans="5:58" s="2390" customFormat="1" x14ac:dyDescent="0.2">
      <c r="E121" s="2391"/>
      <c r="G121" s="2391"/>
      <c r="N121" s="2392"/>
      <c r="O121" s="2393"/>
      <c r="S121" s="2394"/>
      <c r="T121" s="2394"/>
      <c r="U121" s="2394"/>
      <c r="V121" s="2394"/>
      <c r="W121" s="2394"/>
      <c r="X121" s="2394"/>
      <c r="BB121" s="2395"/>
      <c r="BC121" s="2396"/>
      <c r="BD121" s="2397"/>
      <c r="BE121" s="2397"/>
      <c r="BF121" s="2398"/>
    </row>
    <row r="122" spans="5:58" s="2390" customFormat="1" x14ac:dyDescent="0.2">
      <c r="E122" s="2391"/>
      <c r="G122" s="2391"/>
      <c r="N122" s="2392"/>
      <c r="O122" s="2393"/>
      <c r="S122" s="2394"/>
      <c r="T122" s="2394"/>
      <c r="U122" s="2394"/>
      <c r="V122" s="2394"/>
      <c r="W122" s="2394"/>
      <c r="X122" s="2394"/>
      <c r="BB122" s="2395"/>
      <c r="BC122" s="2396"/>
      <c r="BD122" s="2397"/>
      <c r="BE122" s="2397"/>
      <c r="BF122" s="2398"/>
    </row>
    <row r="123" spans="5:58" s="2390" customFormat="1" x14ac:dyDescent="0.2">
      <c r="E123" s="2391"/>
      <c r="G123" s="2391"/>
      <c r="N123" s="2392"/>
      <c r="O123" s="2393"/>
      <c r="S123" s="2394"/>
      <c r="T123" s="2394"/>
      <c r="U123" s="2394"/>
      <c r="V123" s="2394"/>
      <c r="W123" s="2394"/>
      <c r="X123" s="2394"/>
      <c r="BB123" s="2395"/>
      <c r="BC123" s="2396"/>
      <c r="BD123" s="2397"/>
      <c r="BE123" s="2397"/>
      <c r="BF123" s="2398"/>
    </row>
    <row r="124" spans="5:58" s="2390" customFormat="1" x14ac:dyDescent="0.2">
      <c r="E124" s="2391"/>
      <c r="G124" s="2391"/>
      <c r="N124" s="2392"/>
      <c r="O124" s="2393"/>
      <c r="S124" s="2394"/>
      <c r="T124" s="2394"/>
      <c r="U124" s="2394"/>
      <c r="V124" s="2394"/>
      <c r="W124" s="2394"/>
      <c r="X124" s="2394"/>
      <c r="BB124" s="2395"/>
      <c r="BC124" s="2396"/>
      <c r="BD124" s="2397"/>
      <c r="BE124" s="2397"/>
      <c r="BF124" s="2398"/>
    </row>
    <row r="125" spans="5:58" s="2390" customFormat="1" x14ac:dyDescent="0.2">
      <c r="E125" s="2391"/>
      <c r="G125" s="2391"/>
      <c r="N125" s="2392"/>
      <c r="O125" s="2393"/>
      <c r="S125" s="2394"/>
      <c r="T125" s="2394"/>
      <c r="U125" s="2394"/>
      <c r="V125" s="2394"/>
      <c r="W125" s="2394"/>
      <c r="X125" s="2394"/>
      <c r="BB125" s="2395"/>
      <c r="BC125" s="2396"/>
      <c r="BD125" s="2397"/>
      <c r="BE125" s="2397"/>
      <c r="BF125" s="2398"/>
    </row>
    <row r="126" spans="5:58" s="2390" customFormat="1" x14ac:dyDescent="0.2">
      <c r="E126" s="2391"/>
      <c r="G126" s="2391"/>
      <c r="N126" s="2392"/>
      <c r="O126" s="2393"/>
      <c r="S126" s="2394"/>
      <c r="T126" s="2394"/>
      <c r="U126" s="2394"/>
      <c r="V126" s="2394"/>
      <c r="W126" s="2394"/>
      <c r="X126" s="2394"/>
      <c r="BB126" s="2395"/>
      <c r="BC126" s="2396"/>
      <c r="BD126" s="2397"/>
      <c r="BE126" s="2397"/>
      <c r="BF126" s="2398"/>
    </row>
    <row r="127" spans="5:58" s="2390" customFormat="1" x14ac:dyDescent="0.2">
      <c r="E127" s="2391"/>
      <c r="G127" s="2391"/>
      <c r="N127" s="2392"/>
      <c r="O127" s="2393"/>
      <c r="S127" s="2394"/>
      <c r="T127" s="2394"/>
      <c r="U127" s="2394"/>
      <c r="V127" s="2394"/>
      <c r="W127" s="2394"/>
      <c r="X127" s="2394"/>
      <c r="BB127" s="2395"/>
      <c r="BC127" s="2396"/>
      <c r="BD127" s="2397"/>
      <c r="BE127" s="2397"/>
      <c r="BF127" s="2398"/>
    </row>
    <row r="128" spans="5:58" s="2390" customFormat="1" x14ac:dyDescent="0.2">
      <c r="E128" s="2391"/>
      <c r="G128" s="2391"/>
      <c r="N128" s="2392"/>
      <c r="O128" s="2393"/>
      <c r="S128" s="2394"/>
      <c r="T128" s="2394"/>
      <c r="U128" s="2394"/>
      <c r="V128" s="2394"/>
      <c r="W128" s="2394"/>
      <c r="X128" s="2394"/>
      <c r="BB128" s="2395"/>
      <c r="BC128" s="2396"/>
      <c r="BD128" s="2397"/>
      <c r="BE128" s="2397"/>
      <c r="BF128" s="2398"/>
    </row>
    <row r="129" spans="5:58" s="2390" customFormat="1" x14ac:dyDescent="0.2">
      <c r="E129" s="2391"/>
      <c r="G129" s="2391"/>
      <c r="N129" s="2392"/>
      <c r="O129" s="2393"/>
      <c r="S129" s="2394"/>
      <c r="T129" s="2394"/>
      <c r="U129" s="2394"/>
      <c r="V129" s="2394"/>
      <c r="W129" s="2394"/>
      <c r="X129" s="2394"/>
      <c r="BB129" s="2395"/>
      <c r="BC129" s="2396"/>
      <c r="BD129" s="2397"/>
      <c r="BE129" s="2397"/>
      <c r="BF129" s="2398"/>
    </row>
    <row r="130" spans="5:58" s="2390" customFormat="1" x14ac:dyDescent="0.2">
      <c r="E130" s="2391"/>
      <c r="G130" s="2391"/>
      <c r="N130" s="2392"/>
      <c r="O130" s="2393"/>
      <c r="S130" s="2394"/>
      <c r="T130" s="2394"/>
      <c r="U130" s="2394"/>
      <c r="V130" s="2394"/>
      <c r="W130" s="2394"/>
      <c r="X130" s="2394"/>
      <c r="BB130" s="2395"/>
      <c r="BC130" s="2396"/>
      <c r="BD130" s="2397"/>
      <c r="BE130" s="2397"/>
      <c r="BF130" s="2398"/>
    </row>
    <row r="131" spans="5:58" s="2390" customFormat="1" x14ac:dyDescent="0.2">
      <c r="E131" s="2391"/>
      <c r="G131" s="2391"/>
      <c r="N131" s="2392"/>
      <c r="O131" s="2393"/>
      <c r="S131" s="2394"/>
      <c r="T131" s="2394"/>
      <c r="U131" s="2394"/>
      <c r="V131" s="2394"/>
      <c r="W131" s="2394"/>
      <c r="X131" s="2394"/>
      <c r="BB131" s="2395"/>
      <c r="BC131" s="2396"/>
      <c r="BD131" s="2397"/>
      <c r="BE131" s="2397"/>
      <c r="BF131" s="2398"/>
    </row>
    <row r="132" spans="5:58" s="2390" customFormat="1" x14ac:dyDescent="0.2">
      <c r="E132" s="2391"/>
      <c r="G132" s="2391"/>
      <c r="N132" s="2392"/>
      <c r="O132" s="2393"/>
      <c r="S132" s="2394"/>
      <c r="T132" s="2394"/>
      <c r="U132" s="2394"/>
      <c r="V132" s="2394"/>
      <c r="W132" s="2394"/>
      <c r="X132" s="2394"/>
      <c r="BB132" s="2395"/>
      <c r="BC132" s="2396"/>
      <c r="BD132" s="2397"/>
      <c r="BE132" s="2397"/>
      <c r="BF132" s="2398"/>
    </row>
    <row r="133" spans="5:58" s="2390" customFormat="1" x14ac:dyDescent="0.2">
      <c r="E133" s="2391"/>
      <c r="G133" s="2391"/>
      <c r="N133" s="2392"/>
      <c r="O133" s="2393"/>
      <c r="S133" s="2394"/>
      <c r="T133" s="2394"/>
      <c r="U133" s="2394"/>
      <c r="V133" s="2394"/>
      <c r="W133" s="2394"/>
      <c r="X133" s="2394"/>
      <c r="BB133" s="2395"/>
      <c r="BC133" s="2396"/>
      <c r="BD133" s="2397"/>
      <c r="BE133" s="2397"/>
      <c r="BF133" s="2398"/>
    </row>
    <row r="134" spans="5:58" s="2390" customFormat="1" x14ac:dyDescent="0.2">
      <c r="E134" s="2391"/>
      <c r="G134" s="2391"/>
      <c r="N134" s="2392"/>
      <c r="O134" s="2393"/>
      <c r="S134" s="2394"/>
      <c r="T134" s="2394"/>
      <c r="U134" s="2394"/>
      <c r="V134" s="2394"/>
      <c r="W134" s="2394"/>
      <c r="X134" s="2394"/>
      <c r="BB134" s="2395"/>
      <c r="BC134" s="2396"/>
      <c r="BD134" s="2397"/>
      <c r="BE134" s="2397"/>
      <c r="BF134" s="2398"/>
    </row>
    <row r="135" spans="5:58" s="2390" customFormat="1" x14ac:dyDescent="0.2">
      <c r="E135" s="2391"/>
      <c r="G135" s="2391"/>
      <c r="N135" s="2392"/>
      <c r="O135" s="2393"/>
      <c r="S135" s="2394"/>
      <c r="T135" s="2394"/>
      <c r="U135" s="2394"/>
      <c r="V135" s="2394"/>
      <c r="W135" s="2394"/>
      <c r="X135" s="2394"/>
      <c r="BB135" s="2395"/>
      <c r="BC135" s="2396"/>
      <c r="BD135" s="2397"/>
      <c r="BE135" s="2397"/>
      <c r="BF135" s="2398"/>
    </row>
    <row r="136" spans="5:58" s="2390" customFormat="1" x14ac:dyDescent="0.2">
      <c r="E136" s="2391"/>
      <c r="G136" s="2391"/>
      <c r="N136" s="2392"/>
      <c r="O136" s="2393"/>
      <c r="S136" s="2394"/>
      <c r="T136" s="2394"/>
      <c r="U136" s="2394"/>
      <c r="V136" s="2394"/>
      <c r="W136" s="2394"/>
      <c r="X136" s="2394"/>
      <c r="BB136" s="2395"/>
      <c r="BC136" s="2396"/>
      <c r="BD136" s="2397"/>
      <c r="BE136" s="2397"/>
      <c r="BF136" s="2398"/>
    </row>
    <row r="137" spans="5:58" s="2390" customFormat="1" x14ac:dyDescent="0.2">
      <c r="E137" s="2391"/>
      <c r="G137" s="2391"/>
      <c r="N137" s="2392"/>
      <c r="O137" s="2393"/>
      <c r="S137" s="2394"/>
      <c r="T137" s="2394"/>
      <c r="U137" s="2394"/>
      <c r="V137" s="2394"/>
      <c r="W137" s="2394"/>
      <c r="X137" s="2394"/>
      <c r="BB137" s="2395"/>
      <c r="BC137" s="2396"/>
      <c r="BD137" s="2397"/>
      <c r="BE137" s="2397"/>
      <c r="BF137" s="2398"/>
    </row>
    <row r="138" spans="5:58" s="2390" customFormat="1" x14ac:dyDescent="0.2">
      <c r="E138" s="2391"/>
      <c r="G138" s="2391"/>
      <c r="N138" s="2392"/>
      <c r="O138" s="2393"/>
      <c r="S138" s="2394"/>
      <c r="T138" s="2394"/>
      <c r="U138" s="2394"/>
      <c r="V138" s="2394"/>
      <c r="W138" s="2394"/>
      <c r="X138" s="2394"/>
      <c r="BB138" s="2395"/>
      <c r="BC138" s="2396"/>
      <c r="BD138" s="2397"/>
      <c r="BE138" s="2397"/>
      <c r="BF138" s="2398"/>
    </row>
    <row r="139" spans="5:58" s="2390" customFormat="1" x14ac:dyDescent="0.2">
      <c r="E139" s="2391"/>
      <c r="G139" s="2391"/>
      <c r="N139" s="2392"/>
      <c r="O139" s="2393"/>
      <c r="S139" s="2394"/>
      <c r="T139" s="2394"/>
      <c r="U139" s="2394"/>
      <c r="V139" s="2394"/>
      <c r="W139" s="2394"/>
      <c r="X139" s="2394"/>
      <c r="BB139" s="2395"/>
      <c r="BC139" s="2396"/>
      <c r="BD139" s="2397"/>
      <c r="BE139" s="2397"/>
      <c r="BF139" s="2398"/>
    </row>
    <row r="140" spans="5:58" s="2390" customFormat="1" x14ac:dyDescent="0.2">
      <c r="E140" s="2391"/>
      <c r="G140" s="2391"/>
      <c r="N140" s="2392"/>
      <c r="O140" s="2393"/>
      <c r="S140" s="2394"/>
      <c r="T140" s="2394"/>
      <c r="U140" s="2394"/>
      <c r="V140" s="2394"/>
      <c r="W140" s="2394"/>
      <c r="X140" s="2394"/>
      <c r="BB140" s="2395"/>
      <c r="BC140" s="2396"/>
      <c r="BD140" s="2397"/>
      <c r="BE140" s="2397"/>
      <c r="BF140" s="2398"/>
    </row>
    <row r="141" spans="5:58" s="2390" customFormat="1" x14ac:dyDescent="0.2">
      <c r="E141" s="2391"/>
      <c r="G141" s="2391"/>
      <c r="N141" s="2392"/>
      <c r="O141" s="2393"/>
      <c r="S141" s="2394"/>
      <c r="T141" s="2394"/>
      <c r="U141" s="2394"/>
      <c r="V141" s="2394"/>
      <c r="W141" s="2394"/>
      <c r="X141" s="2394"/>
      <c r="BB141" s="2395"/>
      <c r="BC141" s="2396"/>
      <c r="BD141" s="2397"/>
      <c r="BE141" s="2397"/>
      <c r="BF141" s="2398"/>
    </row>
    <row r="142" spans="5:58" s="2390" customFormat="1" x14ac:dyDescent="0.2">
      <c r="E142" s="2391"/>
      <c r="G142" s="2391"/>
      <c r="N142" s="2392"/>
      <c r="O142" s="2393"/>
      <c r="S142" s="2394"/>
      <c r="T142" s="2394"/>
      <c r="U142" s="2394"/>
      <c r="V142" s="2394"/>
      <c r="W142" s="2394"/>
      <c r="X142" s="2394"/>
      <c r="BB142" s="2395"/>
      <c r="BC142" s="2396"/>
      <c r="BD142" s="2397"/>
      <c r="BE142" s="2397"/>
      <c r="BF142" s="2398"/>
    </row>
    <row r="143" spans="5:58" s="2390" customFormat="1" x14ac:dyDescent="0.2">
      <c r="E143" s="2391"/>
      <c r="G143" s="2391"/>
      <c r="N143" s="2392"/>
      <c r="O143" s="2393"/>
      <c r="S143" s="2394"/>
      <c r="T143" s="2394"/>
      <c r="U143" s="2394"/>
      <c r="V143" s="2394"/>
      <c r="W143" s="2394"/>
      <c r="X143" s="2394"/>
      <c r="BB143" s="2395"/>
      <c r="BC143" s="2396"/>
      <c r="BD143" s="2397"/>
      <c r="BE143" s="2397"/>
      <c r="BF143" s="2398"/>
    </row>
    <row r="144" spans="5:58" s="2390" customFormat="1" x14ac:dyDescent="0.2">
      <c r="E144" s="2391"/>
      <c r="G144" s="2391"/>
      <c r="N144" s="2392"/>
      <c r="O144" s="2393"/>
      <c r="S144" s="2394"/>
      <c r="T144" s="2394"/>
      <c r="U144" s="2394"/>
      <c r="V144" s="2394"/>
      <c r="W144" s="2394"/>
      <c r="X144" s="2394"/>
      <c r="BB144" s="2395"/>
      <c r="BC144" s="2396"/>
      <c r="BD144" s="2397"/>
      <c r="BE144" s="2397"/>
      <c r="BF144" s="2398"/>
    </row>
    <row r="145" spans="5:58" s="2390" customFormat="1" x14ac:dyDescent="0.2">
      <c r="E145" s="2391"/>
      <c r="G145" s="2391"/>
      <c r="N145" s="2392"/>
      <c r="O145" s="2393"/>
      <c r="S145" s="2394"/>
      <c r="T145" s="2394"/>
      <c r="U145" s="2394"/>
      <c r="V145" s="2394"/>
      <c r="W145" s="2394"/>
      <c r="X145" s="2394"/>
      <c r="BB145" s="2395"/>
      <c r="BC145" s="2396"/>
      <c r="BD145" s="2397"/>
      <c r="BE145" s="2397"/>
      <c r="BF145" s="2398"/>
    </row>
    <row r="146" spans="5:58" s="2390" customFormat="1" x14ac:dyDescent="0.2">
      <c r="E146" s="2391"/>
      <c r="G146" s="2391"/>
      <c r="N146" s="2392"/>
      <c r="O146" s="2393"/>
      <c r="S146" s="2394"/>
      <c r="T146" s="2394"/>
      <c r="U146" s="2394"/>
      <c r="V146" s="2394"/>
      <c r="W146" s="2394"/>
      <c r="X146" s="2394"/>
      <c r="BB146" s="2395"/>
      <c r="BC146" s="2396"/>
      <c r="BD146" s="2397"/>
      <c r="BE146" s="2397"/>
      <c r="BF146" s="2398"/>
    </row>
    <row r="147" spans="5:58" s="2390" customFormat="1" x14ac:dyDescent="0.2">
      <c r="E147" s="2391"/>
      <c r="G147" s="2391"/>
      <c r="N147" s="2392"/>
      <c r="O147" s="2393"/>
      <c r="S147" s="2394"/>
      <c r="T147" s="2394"/>
      <c r="U147" s="2394"/>
      <c r="V147" s="2394"/>
      <c r="W147" s="2394"/>
      <c r="X147" s="2394"/>
      <c r="BB147" s="2395"/>
      <c r="BC147" s="2396"/>
      <c r="BD147" s="2397"/>
      <c r="BE147" s="2397"/>
      <c r="BF147" s="2398"/>
    </row>
    <row r="148" spans="5:58" s="2390" customFormat="1" x14ac:dyDescent="0.2">
      <c r="E148" s="2391"/>
      <c r="G148" s="2391"/>
      <c r="N148" s="2392"/>
      <c r="O148" s="2393"/>
      <c r="S148" s="2394"/>
      <c r="T148" s="2394"/>
      <c r="U148" s="2394"/>
      <c r="V148" s="2394"/>
      <c r="W148" s="2394"/>
      <c r="X148" s="2394"/>
      <c r="BB148" s="2395"/>
      <c r="BC148" s="2396"/>
      <c r="BD148" s="2397"/>
      <c r="BE148" s="2397"/>
      <c r="BF148" s="2398"/>
    </row>
    <row r="149" spans="5:58" s="2390" customFormat="1" x14ac:dyDescent="0.2">
      <c r="E149" s="2391"/>
      <c r="G149" s="2391"/>
      <c r="N149" s="2392"/>
      <c r="O149" s="2393"/>
      <c r="S149" s="2394"/>
      <c r="T149" s="2394"/>
      <c r="U149" s="2394"/>
      <c r="V149" s="2394"/>
      <c r="W149" s="2394"/>
      <c r="X149" s="2394"/>
      <c r="BB149" s="2395"/>
      <c r="BC149" s="2396"/>
      <c r="BD149" s="2397"/>
      <c r="BE149" s="2397"/>
      <c r="BF149" s="2398"/>
    </row>
    <row r="150" spans="5:58" s="2390" customFormat="1" x14ac:dyDescent="0.2">
      <c r="E150" s="2391"/>
      <c r="G150" s="2391"/>
      <c r="N150" s="2392"/>
      <c r="O150" s="2393"/>
      <c r="S150" s="2394"/>
      <c r="T150" s="2394"/>
      <c r="U150" s="2394"/>
      <c r="V150" s="2394"/>
      <c r="W150" s="2394"/>
      <c r="X150" s="2394"/>
      <c r="BB150" s="2395"/>
      <c r="BC150" s="2396"/>
      <c r="BD150" s="2397"/>
      <c r="BE150" s="2397"/>
      <c r="BF150" s="2398"/>
    </row>
    <row r="151" spans="5:58" s="2390" customFormat="1" x14ac:dyDescent="0.2">
      <c r="E151" s="2391"/>
      <c r="G151" s="2391"/>
      <c r="N151" s="2392"/>
      <c r="O151" s="2393"/>
      <c r="S151" s="2394"/>
      <c r="T151" s="2394"/>
      <c r="U151" s="2394"/>
      <c r="V151" s="2394"/>
      <c r="W151" s="2394"/>
      <c r="X151" s="2394"/>
      <c r="BB151" s="2395"/>
      <c r="BC151" s="2396"/>
      <c r="BD151" s="2397"/>
      <c r="BE151" s="2397"/>
      <c r="BF151" s="2398"/>
    </row>
    <row r="152" spans="5:58" s="2390" customFormat="1" x14ac:dyDescent="0.2">
      <c r="E152" s="2391"/>
      <c r="G152" s="2391"/>
      <c r="N152" s="2392"/>
      <c r="O152" s="2393"/>
      <c r="S152" s="2394"/>
      <c r="T152" s="2394"/>
      <c r="U152" s="2394"/>
      <c r="V152" s="2394"/>
      <c r="W152" s="2394"/>
      <c r="X152" s="2394"/>
      <c r="BB152" s="2395"/>
      <c r="BC152" s="2396"/>
      <c r="BD152" s="2397"/>
      <c r="BE152" s="2397"/>
      <c r="BF152" s="2398"/>
    </row>
    <row r="153" spans="5:58" s="2390" customFormat="1" x14ac:dyDescent="0.2">
      <c r="E153" s="2391"/>
      <c r="G153" s="2391"/>
      <c r="N153" s="2392"/>
      <c r="O153" s="2393"/>
      <c r="S153" s="2394"/>
      <c r="T153" s="2394"/>
      <c r="U153" s="2394"/>
      <c r="V153" s="2394"/>
      <c r="W153" s="2394"/>
      <c r="X153" s="2394"/>
      <c r="BB153" s="2395"/>
      <c r="BC153" s="2396"/>
      <c r="BD153" s="2397"/>
      <c r="BE153" s="2397"/>
      <c r="BF153" s="2398"/>
    </row>
    <row r="154" spans="5:58" s="2390" customFormat="1" x14ac:dyDescent="0.2">
      <c r="E154" s="2391"/>
      <c r="G154" s="2391"/>
      <c r="N154" s="2392"/>
      <c r="O154" s="2393"/>
      <c r="S154" s="2394"/>
      <c r="T154" s="2394"/>
      <c r="U154" s="2394"/>
      <c r="V154" s="2394"/>
      <c r="W154" s="2394"/>
      <c r="X154" s="2394"/>
      <c r="BB154" s="2395"/>
      <c r="BC154" s="2396"/>
      <c r="BD154" s="2397"/>
      <c r="BE154" s="2397"/>
      <c r="BF154" s="2398"/>
    </row>
    <row r="155" spans="5:58" s="2390" customFormat="1" x14ac:dyDescent="0.2">
      <c r="E155" s="2391"/>
      <c r="G155" s="2391"/>
      <c r="N155" s="2392"/>
      <c r="O155" s="2393"/>
      <c r="S155" s="2394"/>
      <c r="T155" s="2394"/>
      <c r="U155" s="2394"/>
      <c r="V155" s="2394"/>
      <c r="W155" s="2394"/>
      <c r="X155" s="2394"/>
      <c r="BB155" s="2395"/>
      <c r="BC155" s="2396"/>
      <c r="BD155" s="2397"/>
      <c r="BE155" s="2397"/>
      <c r="BF155" s="2398"/>
    </row>
    <row r="156" spans="5:58" s="2390" customFormat="1" x14ac:dyDescent="0.2">
      <c r="E156" s="2391"/>
      <c r="G156" s="2391"/>
      <c r="N156" s="2392"/>
      <c r="O156" s="2393"/>
      <c r="S156" s="2394"/>
      <c r="T156" s="2394"/>
      <c r="U156" s="2394"/>
      <c r="V156" s="2394"/>
      <c r="W156" s="2394"/>
      <c r="X156" s="2394"/>
      <c r="BB156" s="2395"/>
      <c r="BC156" s="2396"/>
      <c r="BD156" s="2397"/>
      <c r="BE156" s="2397"/>
      <c r="BF156" s="2398"/>
    </row>
    <row r="157" spans="5:58" s="2390" customFormat="1" x14ac:dyDescent="0.2">
      <c r="E157" s="2391"/>
      <c r="G157" s="2391"/>
      <c r="N157" s="2392"/>
      <c r="O157" s="2393"/>
      <c r="S157" s="2394"/>
      <c r="T157" s="2394"/>
      <c r="U157" s="2394"/>
      <c r="V157" s="2394"/>
      <c r="W157" s="2394"/>
      <c r="X157" s="2394"/>
      <c r="BB157" s="2395"/>
      <c r="BC157" s="2396"/>
      <c r="BD157" s="2397"/>
      <c r="BE157" s="2397"/>
      <c r="BF157" s="2398"/>
    </row>
    <row r="158" spans="5:58" s="2390" customFormat="1" x14ac:dyDescent="0.2">
      <c r="E158" s="2391"/>
      <c r="G158" s="2391"/>
      <c r="N158" s="2392"/>
      <c r="O158" s="2393"/>
      <c r="S158" s="2394"/>
      <c r="T158" s="2394"/>
      <c r="U158" s="2394"/>
      <c r="V158" s="2394"/>
      <c r="W158" s="2394"/>
      <c r="X158" s="2394"/>
      <c r="BB158" s="2395"/>
      <c r="BC158" s="2396"/>
      <c r="BD158" s="2397"/>
      <c r="BE158" s="2397"/>
      <c r="BF158" s="2398"/>
    </row>
    <row r="159" spans="5:58" s="2390" customFormat="1" x14ac:dyDescent="0.2">
      <c r="E159" s="2391"/>
      <c r="G159" s="2391"/>
      <c r="N159" s="2392"/>
      <c r="O159" s="2393"/>
      <c r="S159" s="2394"/>
      <c r="T159" s="2394"/>
      <c r="U159" s="2394"/>
      <c r="V159" s="2394"/>
      <c r="W159" s="2394"/>
      <c r="X159" s="2394"/>
      <c r="BB159" s="2395"/>
      <c r="BC159" s="2396"/>
      <c r="BD159" s="2397"/>
      <c r="BE159" s="2397"/>
      <c r="BF159" s="2398"/>
    </row>
    <row r="160" spans="5:58" s="2390" customFormat="1" x14ac:dyDescent="0.2">
      <c r="E160" s="2391"/>
      <c r="G160" s="2391"/>
      <c r="N160" s="2392"/>
      <c r="O160" s="2393"/>
      <c r="S160" s="2394"/>
      <c r="T160" s="2394"/>
      <c r="U160" s="2394"/>
      <c r="V160" s="2394"/>
      <c r="W160" s="2394"/>
      <c r="X160" s="2394"/>
      <c r="BB160" s="2395"/>
      <c r="BC160" s="2396"/>
      <c r="BD160" s="2397"/>
      <c r="BE160" s="2397"/>
      <c r="BF160" s="2398"/>
    </row>
    <row r="161" spans="5:58" s="2390" customFormat="1" x14ac:dyDescent="0.2">
      <c r="E161" s="2391"/>
      <c r="G161" s="2391"/>
      <c r="N161" s="2392"/>
      <c r="O161" s="2393"/>
      <c r="S161" s="2394"/>
      <c r="T161" s="2394"/>
      <c r="U161" s="2394"/>
      <c r="V161" s="2394"/>
      <c r="W161" s="2394"/>
      <c r="X161" s="2394"/>
      <c r="BB161" s="2395"/>
      <c r="BC161" s="2396"/>
      <c r="BD161" s="2397"/>
      <c r="BE161" s="2397"/>
      <c r="BF161" s="2398"/>
    </row>
    <row r="162" spans="5:58" s="2390" customFormat="1" x14ac:dyDescent="0.2">
      <c r="E162" s="2391"/>
      <c r="G162" s="2391"/>
      <c r="N162" s="2392"/>
      <c r="O162" s="2393"/>
      <c r="S162" s="2394"/>
      <c r="T162" s="2394"/>
      <c r="U162" s="2394"/>
      <c r="V162" s="2394"/>
      <c r="W162" s="2394"/>
      <c r="X162" s="2394"/>
      <c r="BB162" s="2395"/>
      <c r="BC162" s="2396"/>
      <c r="BD162" s="2397"/>
      <c r="BE162" s="2397"/>
      <c r="BF162" s="2398"/>
    </row>
    <row r="163" spans="5:58" s="2390" customFormat="1" x14ac:dyDescent="0.2">
      <c r="E163" s="2391"/>
      <c r="G163" s="2391"/>
      <c r="N163" s="2392"/>
      <c r="O163" s="2393"/>
      <c r="S163" s="2394"/>
      <c r="T163" s="2394"/>
      <c r="U163" s="2394"/>
      <c r="V163" s="2394"/>
      <c r="W163" s="2394"/>
      <c r="X163" s="2394"/>
      <c r="BB163" s="2395"/>
      <c r="BC163" s="2396"/>
      <c r="BD163" s="2397"/>
      <c r="BE163" s="2397"/>
      <c r="BF163" s="2398"/>
    </row>
    <row r="164" spans="5:58" s="2390" customFormat="1" x14ac:dyDescent="0.2">
      <c r="E164" s="2391"/>
      <c r="G164" s="2391"/>
      <c r="N164" s="2392"/>
      <c r="O164" s="2393"/>
      <c r="S164" s="2394"/>
      <c r="T164" s="2394"/>
      <c r="U164" s="2394"/>
      <c r="V164" s="2394"/>
      <c r="W164" s="2394"/>
      <c r="X164" s="2394"/>
      <c r="BB164" s="2395"/>
      <c r="BC164" s="2396"/>
      <c r="BD164" s="2397"/>
      <c r="BE164" s="2397"/>
      <c r="BF164" s="2398"/>
    </row>
    <row r="165" spans="5:58" s="2390" customFormat="1" x14ac:dyDescent="0.2">
      <c r="E165" s="2391"/>
      <c r="G165" s="2391"/>
      <c r="N165" s="2392"/>
      <c r="O165" s="2393"/>
      <c r="S165" s="2394"/>
      <c r="T165" s="2394"/>
      <c r="U165" s="2394"/>
      <c r="V165" s="2394"/>
      <c r="W165" s="2394"/>
      <c r="X165" s="2394"/>
      <c r="BB165" s="2395"/>
      <c r="BC165" s="2396"/>
      <c r="BD165" s="2397"/>
      <c r="BE165" s="2397"/>
      <c r="BF165" s="2398"/>
    </row>
    <row r="166" spans="5:58" s="2390" customFormat="1" x14ac:dyDescent="0.2">
      <c r="E166" s="2391"/>
      <c r="G166" s="2391"/>
      <c r="N166" s="2392"/>
      <c r="O166" s="2393"/>
      <c r="S166" s="2394"/>
      <c r="T166" s="2394"/>
      <c r="U166" s="2394"/>
      <c r="V166" s="2394"/>
      <c r="W166" s="2394"/>
      <c r="X166" s="2394"/>
      <c r="BB166" s="2395"/>
      <c r="BC166" s="2396"/>
      <c r="BD166" s="2397"/>
      <c r="BE166" s="2397"/>
      <c r="BF166" s="2398"/>
    </row>
    <row r="167" spans="5:58" s="2390" customFormat="1" x14ac:dyDescent="0.2">
      <c r="E167" s="2391"/>
      <c r="G167" s="2391"/>
      <c r="N167" s="2392"/>
      <c r="O167" s="2393"/>
      <c r="S167" s="2394"/>
      <c r="T167" s="2394"/>
      <c r="U167" s="2394"/>
      <c r="V167" s="2394"/>
      <c r="W167" s="2394"/>
      <c r="X167" s="2394"/>
      <c r="BB167" s="2395"/>
      <c r="BC167" s="2396"/>
      <c r="BD167" s="2397"/>
      <c r="BE167" s="2397"/>
      <c r="BF167" s="2398"/>
    </row>
    <row r="168" spans="5:58" s="2390" customFormat="1" x14ac:dyDescent="0.2">
      <c r="E168" s="2391"/>
      <c r="G168" s="2391"/>
      <c r="N168" s="2392"/>
      <c r="O168" s="2393"/>
      <c r="S168" s="2394"/>
      <c r="T168" s="2394"/>
      <c r="U168" s="2394"/>
      <c r="V168" s="2394"/>
      <c r="W168" s="2394"/>
      <c r="X168" s="2394"/>
      <c r="BB168" s="2395"/>
      <c r="BC168" s="2396"/>
      <c r="BD168" s="2397"/>
      <c r="BE168" s="2397"/>
      <c r="BF168" s="2398"/>
    </row>
    <row r="169" spans="5:58" s="2390" customFormat="1" x14ac:dyDescent="0.2">
      <c r="E169" s="2391"/>
      <c r="G169" s="2391"/>
      <c r="N169" s="2392"/>
      <c r="O169" s="2393"/>
      <c r="S169" s="2394"/>
      <c r="T169" s="2394"/>
      <c r="U169" s="2394"/>
      <c r="V169" s="2394"/>
      <c r="W169" s="2394"/>
      <c r="X169" s="2394"/>
      <c r="BB169" s="2395"/>
      <c r="BC169" s="2396"/>
      <c r="BD169" s="2397"/>
      <c r="BE169" s="2397"/>
      <c r="BF169" s="2398"/>
    </row>
    <row r="170" spans="5:58" s="2390" customFormat="1" x14ac:dyDescent="0.2">
      <c r="E170" s="2391"/>
      <c r="G170" s="2391"/>
      <c r="N170" s="2392"/>
      <c r="O170" s="2393"/>
      <c r="S170" s="2394"/>
      <c r="T170" s="2394"/>
      <c r="U170" s="2394"/>
      <c r="V170" s="2394"/>
      <c r="W170" s="2394"/>
      <c r="X170" s="2394"/>
      <c r="BB170" s="2395"/>
      <c r="BC170" s="2396"/>
      <c r="BD170" s="2397"/>
      <c r="BE170" s="2397"/>
      <c r="BF170" s="2398"/>
    </row>
    <row r="171" spans="5:58" s="2390" customFormat="1" x14ac:dyDescent="0.2">
      <c r="E171" s="2391"/>
      <c r="G171" s="2391"/>
      <c r="N171" s="2392"/>
      <c r="O171" s="2393"/>
      <c r="S171" s="2394"/>
      <c r="T171" s="2394"/>
      <c r="U171" s="2394"/>
      <c r="V171" s="2394"/>
      <c r="W171" s="2394"/>
      <c r="X171" s="2394"/>
      <c r="BB171" s="2395"/>
      <c r="BC171" s="2396"/>
      <c r="BD171" s="2397"/>
      <c r="BE171" s="2397"/>
      <c r="BF171" s="2398"/>
    </row>
    <row r="172" spans="5:58" s="2390" customFormat="1" x14ac:dyDescent="0.2">
      <c r="E172" s="2391"/>
      <c r="G172" s="2391"/>
      <c r="N172" s="2392"/>
      <c r="O172" s="2393"/>
      <c r="S172" s="2394"/>
      <c r="T172" s="2394"/>
      <c r="U172" s="2394"/>
      <c r="V172" s="2394"/>
      <c r="W172" s="2394"/>
      <c r="X172" s="2394"/>
      <c r="BB172" s="2395"/>
      <c r="BC172" s="2396"/>
      <c r="BD172" s="2397"/>
      <c r="BE172" s="2397"/>
      <c r="BF172" s="2398"/>
    </row>
    <row r="173" spans="5:58" s="2390" customFormat="1" x14ac:dyDescent="0.2">
      <c r="E173" s="2391"/>
      <c r="G173" s="2391"/>
      <c r="N173" s="2392"/>
      <c r="O173" s="2393"/>
      <c r="S173" s="2394"/>
      <c r="T173" s="2394"/>
      <c r="U173" s="2394"/>
      <c r="V173" s="2394"/>
      <c r="W173" s="2394"/>
      <c r="X173" s="2394"/>
      <c r="BB173" s="2395"/>
      <c r="BC173" s="2396"/>
      <c r="BD173" s="2397"/>
      <c r="BE173" s="2397"/>
      <c r="BF173" s="2398"/>
    </row>
    <row r="174" spans="5:58" s="2390" customFormat="1" x14ac:dyDescent="0.2">
      <c r="E174" s="2391"/>
      <c r="G174" s="2391"/>
      <c r="N174" s="2392"/>
      <c r="O174" s="2393"/>
      <c r="S174" s="2394"/>
      <c r="T174" s="2394"/>
      <c r="U174" s="2394"/>
      <c r="V174" s="2394"/>
      <c r="W174" s="2394"/>
      <c r="X174" s="2394"/>
      <c r="BB174" s="2395"/>
      <c r="BC174" s="2396"/>
      <c r="BD174" s="2397"/>
      <c r="BE174" s="2397"/>
      <c r="BF174" s="2398"/>
    </row>
    <row r="175" spans="5:58" s="2390" customFormat="1" x14ac:dyDescent="0.2">
      <c r="E175" s="2391"/>
      <c r="G175" s="2391"/>
      <c r="N175" s="2392"/>
      <c r="O175" s="2393"/>
      <c r="S175" s="2394"/>
      <c r="T175" s="2394"/>
      <c r="U175" s="2394"/>
      <c r="V175" s="2394"/>
      <c r="W175" s="2394"/>
      <c r="X175" s="2394"/>
      <c r="BB175" s="2395"/>
      <c r="BC175" s="2396"/>
      <c r="BD175" s="2397"/>
      <c r="BE175" s="2397"/>
      <c r="BF175" s="2398"/>
    </row>
    <row r="176" spans="5:58" s="2390" customFormat="1" x14ac:dyDescent="0.2">
      <c r="E176" s="2391"/>
      <c r="G176" s="2391"/>
      <c r="N176" s="2392"/>
      <c r="O176" s="2393"/>
      <c r="S176" s="2394"/>
      <c r="T176" s="2394"/>
      <c r="U176" s="2394"/>
      <c r="V176" s="2394"/>
      <c r="W176" s="2394"/>
      <c r="X176" s="2394"/>
      <c r="BB176" s="2395"/>
      <c r="BC176" s="2396"/>
      <c r="BD176" s="2397"/>
      <c r="BE176" s="2397"/>
      <c r="BF176" s="2398"/>
    </row>
    <row r="177" spans="5:58" s="2390" customFormat="1" x14ac:dyDescent="0.2">
      <c r="E177" s="2391"/>
      <c r="G177" s="2391"/>
      <c r="N177" s="2392"/>
      <c r="O177" s="2393"/>
      <c r="S177" s="2394"/>
      <c r="T177" s="2394"/>
      <c r="U177" s="2394"/>
      <c r="V177" s="2394"/>
      <c r="W177" s="2394"/>
      <c r="X177" s="2394"/>
      <c r="BB177" s="2395"/>
      <c r="BC177" s="2396"/>
      <c r="BD177" s="2397"/>
      <c r="BE177" s="2397"/>
      <c r="BF177" s="2398"/>
    </row>
    <row r="178" spans="5:58" s="2390" customFormat="1" x14ac:dyDescent="0.2">
      <c r="E178" s="2391"/>
      <c r="G178" s="2391"/>
      <c r="N178" s="2392"/>
      <c r="O178" s="2393"/>
      <c r="S178" s="2394"/>
      <c r="T178" s="2394"/>
      <c r="U178" s="2394"/>
      <c r="V178" s="2394"/>
      <c r="W178" s="2394"/>
      <c r="X178" s="2394"/>
      <c r="BB178" s="2395"/>
      <c r="BC178" s="2396"/>
      <c r="BD178" s="2397"/>
      <c r="BE178" s="2397"/>
      <c r="BF178" s="2398"/>
    </row>
    <row r="179" spans="5:58" s="2390" customFormat="1" x14ac:dyDescent="0.2">
      <c r="E179" s="2391"/>
      <c r="G179" s="2391"/>
      <c r="N179" s="2392"/>
      <c r="O179" s="2393"/>
      <c r="S179" s="2394"/>
      <c r="T179" s="2394"/>
      <c r="U179" s="2394"/>
      <c r="V179" s="2394"/>
      <c r="W179" s="2394"/>
      <c r="X179" s="2394"/>
      <c r="BB179" s="2395"/>
      <c r="BC179" s="2396"/>
      <c r="BD179" s="2397"/>
      <c r="BE179" s="2397"/>
      <c r="BF179" s="2398"/>
    </row>
    <row r="180" spans="5:58" s="2390" customFormat="1" x14ac:dyDescent="0.2">
      <c r="E180" s="2391"/>
      <c r="G180" s="2391"/>
      <c r="N180" s="2392"/>
      <c r="O180" s="2393"/>
      <c r="S180" s="2394"/>
      <c r="T180" s="2394"/>
      <c r="U180" s="2394"/>
      <c r="V180" s="2394"/>
      <c r="W180" s="2394"/>
      <c r="X180" s="2394"/>
      <c r="BB180" s="2395"/>
      <c r="BC180" s="2396"/>
      <c r="BD180" s="2397"/>
      <c r="BE180" s="2397"/>
      <c r="BF180" s="2398"/>
    </row>
    <row r="181" spans="5:58" s="2390" customFormat="1" x14ac:dyDescent="0.2">
      <c r="E181" s="2391"/>
      <c r="G181" s="2391"/>
      <c r="N181" s="2392"/>
      <c r="O181" s="2393"/>
      <c r="S181" s="2394"/>
      <c r="T181" s="2394"/>
      <c r="U181" s="2394"/>
      <c r="V181" s="2394"/>
      <c r="W181" s="2394"/>
      <c r="X181" s="2394"/>
      <c r="BB181" s="2395"/>
      <c r="BC181" s="2396"/>
      <c r="BD181" s="2397"/>
      <c r="BE181" s="2397"/>
      <c r="BF181" s="2398"/>
    </row>
    <row r="182" spans="5:58" s="2390" customFormat="1" x14ac:dyDescent="0.2">
      <c r="E182" s="2391"/>
      <c r="G182" s="2391"/>
      <c r="N182" s="2392"/>
      <c r="O182" s="2393"/>
      <c r="S182" s="2394"/>
      <c r="T182" s="2394"/>
      <c r="U182" s="2394"/>
      <c r="V182" s="2394"/>
      <c r="W182" s="2394"/>
      <c r="X182" s="2394"/>
      <c r="BB182" s="2395"/>
      <c r="BC182" s="2396"/>
      <c r="BD182" s="2397"/>
      <c r="BE182" s="2397"/>
      <c r="BF182" s="2398"/>
    </row>
    <row r="183" spans="5:58" s="2390" customFormat="1" x14ac:dyDescent="0.2">
      <c r="E183" s="2391"/>
      <c r="G183" s="2391"/>
      <c r="N183" s="2392"/>
      <c r="O183" s="2393"/>
      <c r="S183" s="2394"/>
      <c r="T183" s="2394"/>
      <c r="U183" s="2394"/>
      <c r="V183" s="2394"/>
      <c r="W183" s="2394"/>
      <c r="X183" s="2394"/>
      <c r="BB183" s="2395"/>
      <c r="BC183" s="2396"/>
      <c r="BD183" s="2397"/>
      <c r="BE183" s="2397"/>
      <c r="BF183" s="2398"/>
    </row>
    <row r="184" spans="5:58" s="2390" customFormat="1" x14ac:dyDescent="0.2">
      <c r="E184" s="2391"/>
      <c r="G184" s="2391"/>
      <c r="N184" s="2392"/>
      <c r="O184" s="2393"/>
      <c r="S184" s="2394"/>
      <c r="T184" s="2394"/>
      <c r="U184" s="2394"/>
      <c r="V184" s="2394"/>
      <c r="W184" s="2394"/>
      <c r="X184" s="2394"/>
      <c r="BB184" s="2395"/>
      <c r="BC184" s="2396"/>
      <c r="BD184" s="2397"/>
      <c r="BE184" s="2397"/>
      <c r="BF184" s="2398"/>
    </row>
    <row r="185" spans="5:58" s="2390" customFormat="1" x14ac:dyDescent="0.2">
      <c r="E185" s="2391"/>
      <c r="G185" s="2391"/>
      <c r="N185" s="2392"/>
      <c r="O185" s="2393"/>
      <c r="S185" s="2394"/>
      <c r="T185" s="2394"/>
      <c r="U185" s="2394"/>
      <c r="V185" s="2394"/>
      <c r="W185" s="2394"/>
      <c r="X185" s="2394"/>
      <c r="BB185" s="2395"/>
      <c r="BC185" s="2396"/>
      <c r="BD185" s="2397"/>
      <c r="BE185" s="2397"/>
      <c r="BF185" s="2398"/>
    </row>
    <row r="186" spans="5:58" s="2390" customFormat="1" x14ac:dyDescent="0.2">
      <c r="E186" s="2391"/>
      <c r="G186" s="2391"/>
      <c r="N186" s="2392"/>
      <c r="O186" s="2393"/>
      <c r="S186" s="2394"/>
      <c r="T186" s="2394"/>
      <c r="U186" s="2394"/>
      <c r="V186" s="2394"/>
      <c r="W186" s="2394"/>
      <c r="X186" s="2394"/>
      <c r="BB186" s="2395"/>
      <c r="BC186" s="2396"/>
      <c r="BD186" s="2397"/>
      <c r="BE186" s="2397"/>
      <c r="BF186" s="2398"/>
    </row>
    <row r="187" spans="5:58" s="2390" customFormat="1" x14ac:dyDescent="0.2">
      <c r="E187" s="2391"/>
      <c r="G187" s="2391"/>
      <c r="N187" s="2392"/>
      <c r="O187" s="2393"/>
      <c r="S187" s="2394"/>
      <c r="T187" s="2394"/>
      <c r="U187" s="2394"/>
      <c r="V187" s="2394"/>
      <c r="W187" s="2394"/>
      <c r="X187" s="2394"/>
      <c r="BB187" s="2395"/>
      <c r="BC187" s="2396"/>
      <c r="BD187" s="2397"/>
      <c r="BE187" s="2397"/>
      <c r="BF187" s="2398"/>
    </row>
    <row r="188" spans="5:58" s="2390" customFormat="1" x14ac:dyDescent="0.2">
      <c r="E188" s="2391"/>
      <c r="G188" s="2391"/>
      <c r="N188" s="2392"/>
      <c r="O188" s="2393"/>
      <c r="S188" s="2394"/>
      <c r="T188" s="2394"/>
      <c r="U188" s="2394"/>
      <c r="V188" s="2394"/>
      <c r="W188" s="2394"/>
      <c r="X188" s="2394"/>
      <c r="BB188" s="2395"/>
      <c r="BC188" s="2396"/>
      <c r="BD188" s="2397"/>
      <c r="BE188" s="2397"/>
      <c r="BF188" s="2398"/>
    </row>
    <row r="189" spans="5:58" s="2390" customFormat="1" x14ac:dyDescent="0.2">
      <c r="E189" s="2391"/>
      <c r="G189" s="2391"/>
      <c r="N189" s="2392"/>
      <c r="O189" s="2393"/>
      <c r="S189" s="2394"/>
      <c r="T189" s="2394"/>
      <c r="U189" s="2394"/>
      <c r="V189" s="2394"/>
      <c r="W189" s="2394"/>
      <c r="X189" s="2394"/>
      <c r="BB189" s="2395"/>
      <c r="BC189" s="2396"/>
      <c r="BD189" s="2397"/>
      <c r="BE189" s="2397"/>
      <c r="BF189" s="2398"/>
    </row>
    <row r="190" spans="5:58" s="2390" customFormat="1" x14ac:dyDescent="0.2">
      <c r="E190" s="2391"/>
      <c r="G190" s="2391"/>
      <c r="N190" s="2392"/>
      <c r="O190" s="2393"/>
      <c r="S190" s="2394"/>
      <c r="T190" s="2394"/>
      <c r="U190" s="2394"/>
      <c r="V190" s="2394"/>
      <c r="W190" s="2394"/>
      <c r="X190" s="2394"/>
      <c r="BB190" s="2395"/>
      <c r="BC190" s="2396"/>
      <c r="BD190" s="2397"/>
      <c r="BE190" s="2397"/>
      <c r="BF190" s="2398"/>
    </row>
    <row r="191" spans="5:58" s="2390" customFormat="1" x14ac:dyDescent="0.2">
      <c r="E191" s="2391"/>
      <c r="G191" s="2391"/>
      <c r="N191" s="2392"/>
      <c r="O191" s="2393"/>
      <c r="S191" s="2394"/>
      <c r="T191" s="2394"/>
      <c r="U191" s="2394"/>
      <c r="V191" s="2394"/>
      <c r="W191" s="2394"/>
      <c r="X191" s="2394"/>
      <c r="BB191" s="2395"/>
      <c r="BC191" s="2396"/>
      <c r="BD191" s="2397"/>
      <c r="BE191" s="2397"/>
      <c r="BF191" s="2398"/>
    </row>
    <row r="192" spans="5:58" s="2390" customFormat="1" x14ac:dyDescent="0.2">
      <c r="E192" s="2391"/>
      <c r="G192" s="2391"/>
      <c r="N192" s="2392"/>
      <c r="O192" s="2393"/>
      <c r="S192" s="2394"/>
      <c r="T192" s="2394"/>
      <c r="U192" s="2394"/>
      <c r="V192" s="2394"/>
      <c r="W192" s="2394"/>
      <c r="X192" s="2394"/>
      <c r="BB192" s="2395"/>
      <c r="BC192" s="2396"/>
      <c r="BD192" s="2397"/>
      <c r="BE192" s="2397"/>
      <c r="BF192" s="2398"/>
    </row>
    <row r="193" spans="5:58" s="2390" customFormat="1" x14ac:dyDescent="0.2">
      <c r="E193" s="2391"/>
      <c r="G193" s="2391"/>
      <c r="N193" s="2392"/>
      <c r="O193" s="2393"/>
      <c r="S193" s="2394"/>
      <c r="T193" s="2394"/>
      <c r="U193" s="2394"/>
      <c r="V193" s="2394"/>
      <c r="W193" s="2394"/>
      <c r="X193" s="2394"/>
      <c r="BB193" s="2395"/>
      <c r="BC193" s="2396"/>
      <c r="BD193" s="2397"/>
      <c r="BE193" s="2397"/>
      <c r="BF193" s="2398"/>
    </row>
    <row r="194" spans="5:58" s="2390" customFormat="1" x14ac:dyDescent="0.2">
      <c r="E194" s="2391"/>
      <c r="G194" s="2391"/>
      <c r="N194" s="2392"/>
      <c r="O194" s="2393"/>
      <c r="S194" s="2394"/>
      <c r="T194" s="2394"/>
      <c r="U194" s="2394"/>
      <c r="V194" s="2394"/>
      <c r="W194" s="2394"/>
      <c r="X194" s="2394"/>
      <c r="BB194" s="2395"/>
      <c r="BC194" s="2396"/>
      <c r="BD194" s="2397"/>
      <c r="BE194" s="2397"/>
      <c r="BF194" s="2398"/>
    </row>
    <row r="195" spans="5:58" s="2390" customFormat="1" x14ac:dyDescent="0.2">
      <c r="E195" s="2391"/>
      <c r="G195" s="2391"/>
      <c r="N195" s="2392"/>
      <c r="O195" s="2393"/>
      <c r="S195" s="2394"/>
      <c r="T195" s="2394"/>
      <c r="U195" s="2394"/>
      <c r="V195" s="2394"/>
      <c r="W195" s="2394"/>
      <c r="X195" s="2394"/>
      <c r="BB195" s="2395"/>
      <c r="BC195" s="2396"/>
      <c r="BD195" s="2397"/>
      <c r="BE195" s="2397"/>
      <c r="BF195" s="2398"/>
    </row>
    <row r="196" spans="5:58" s="2390" customFormat="1" x14ac:dyDescent="0.2">
      <c r="E196" s="2391"/>
      <c r="G196" s="2391"/>
      <c r="N196" s="2392"/>
      <c r="O196" s="2393"/>
      <c r="S196" s="2394"/>
      <c r="T196" s="2394"/>
      <c r="U196" s="2394"/>
      <c r="V196" s="2394"/>
      <c r="W196" s="2394"/>
      <c r="X196" s="2394"/>
      <c r="BB196" s="2395"/>
      <c r="BC196" s="2396"/>
      <c r="BD196" s="2397"/>
      <c r="BE196" s="2397"/>
      <c r="BF196" s="2398"/>
    </row>
    <row r="197" spans="5:58" s="2390" customFormat="1" x14ac:dyDescent="0.2">
      <c r="E197" s="2391"/>
      <c r="G197" s="2391"/>
      <c r="N197" s="2392"/>
      <c r="O197" s="2393"/>
      <c r="S197" s="2394"/>
      <c r="T197" s="2394"/>
      <c r="U197" s="2394"/>
      <c r="V197" s="2394"/>
      <c r="W197" s="2394"/>
      <c r="X197" s="2394"/>
      <c r="BB197" s="2395"/>
      <c r="BC197" s="2396"/>
      <c r="BD197" s="2397"/>
      <c r="BE197" s="2397"/>
      <c r="BF197" s="2398"/>
    </row>
    <row r="198" spans="5:58" s="2390" customFormat="1" x14ac:dyDescent="0.2">
      <c r="E198" s="2391"/>
      <c r="G198" s="2391"/>
      <c r="N198" s="2392"/>
      <c r="O198" s="2393"/>
      <c r="S198" s="2394"/>
      <c r="T198" s="2394"/>
      <c r="U198" s="2394"/>
      <c r="V198" s="2394"/>
      <c r="W198" s="2394"/>
      <c r="X198" s="2394"/>
      <c r="BB198" s="2395"/>
      <c r="BC198" s="2396"/>
      <c r="BD198" s="2397"/>
      <c r="BE198" s="2397"/>
      <c r="BF198" s="2398"/>
    </row>
    <row r="199" spans="5:58" s="2390" customFormat="1" x14ac:dyDescent="0.2">
      <c r="E199" s="2391"/>
      <c r="G199" s="2391"/>
      <c r="N199" s="2392"/>
      <c r="O199" s="2393"/>
      <c r="S199" s="2394"/>
      <c r="T199" s="2394"/>
      <c r="U199" s="2394"/>
      <c r="V199" s="2394"/>
      <c r="W199" s="2394"/>
      <c r="X199" s="2394"/>
      <c r="BB199" s="2395"/>
      <c r="BC199" s="2396"/>
      <c r="BD199" s="2397"/>
      <c r="BE199" s="2397"/>
      <c r="BF199" s="2398"/>
    </row>
    <row r="200" spans="5:58" s="2390" customFormat="1" x14ac:dyDescent="0.2">
      <c r="E200" s="2391"/>
      <c r="G200" s="2391"/>
      <c r="N200" s="2392"/>
      <c r="O200" s="2393"/>
      <c r="S200" s="2394"/>
      <c r="T200" s="2394"/>
      <c r="U200" s="2394"/>
      <c r="V200" s="2394"/>
      <c r="W200" s="2394"/>
      <c r="X200" s="2394"/>
      <c r="BB200" s="2395"/>
      <c r="BC200" s="2396"/>
      <c r="BD200" s="2397"/>
      <c r="BE200" s="2397"/>
      <c r="BF200" s="2398"/>
    </row>
    <row r="201" spans="5:58" s="2390" customFormat="1" x14ac:dyDescent="0.2">
      <c r="E201" s="2391"/>
      <c r="G201" s="2391"/>
      <c r="N201" s="2392"/>
      <c r="O201" s="2393"/>
      <c r="S201" s="2394"/>
      <c r="T201" s="2394"/>
      <c r="U201" s="2394"/>
      <c r="V201" s="2394"/>
      <c r="W201" s="2394"/>
      <c r="X201" s="2394"/>
      <c r="BB201" s="2395"/>
      <c r="BC201" s="2396"/>
      <c r="BD201" s="2397"/>
      <c r="BE201" s="2397"/>
      <c r="BF201" s="2398"/>
    </row>
    <row r="202" spans="5:58" s="2390" customFormat="1" x14ac:dyDescent="0.2">
      <c r="E202" s="2391"/>
      <c r="G202" s="2391"/>
      <c r="N202" s="2392"/>
      <c r="O202" s="2393"/>
      <c r="S202" s="2394"/>
      <c r="T202" s="2394"/>
      <c r="U202" s="2394"/>
      <c r="V202" s="2394"/>
      <c r="W202" s="2394"/>
      <c r="X202" s="2394"/>
      <c r="BB202" s="2395"/>
      <c r="BC202" s="2396"/>
      <c r="BD202" s="2397"/>
      <c r="BE202" s="2397"/>
      <c r="BF202" s="2398"/>
    </row>
    <row r="203" spans="5:58" s="2390" customFormat="1" x14ac:dyDescent="0.2">
      <c r="E203" s="2391"/>
      <c r="G203" s="2391"/>
      <c r="N203" s="2392"/>
      <c r="O203" s="2393"/>
      <c r="S203" s="2394"/>
      <c r="T203" s="2394"/>
      <c r="U203" s="2394"/>
      <c r="V203" s="2394"/>
      <c r="W203" s="2394"/>
      <c r="X203" s="2394"/>
      <c r="BB203" s="2395"/>
      <c r="BC203" s="2396"/>
      <c r="BD203" s="2397"/>
      <c r="BE203" s="2397"/>
      <c r="BF203" s="2398"/>
    </row>
    <row r="204" spans="5:58" s="2390" customFormat="1" x14ac:dyDescent="0.2">
      <c r="E204" s="2391"/>
      <c r="G204" s="2391"/>
      <c r="N204" s="2392"/>
      <c r="O204" s="2393"/>
      <c r="S204" s="2394"/>
      <c r="T204" s="2394"/>
      <c r="U204" s="2394"/>
      <c r="V204" s="2394"/>
      <c r="W204" s="2394"/>
      <c r="X204" s="2394"/>
      <c r="BB204" s="2395"/>
      <c r="BC204" s="2396"/>
      <c r="BD204" s="2397"/>
      <c r="BE204" s="2397"/>
      <c r="BF204" s="2398"/>
    </row>
    <row r="205" spans="5:58" s="2390" customFormat="1" x14ac:dyDescent="0.2">
      <c r="E205" s="2391"/>
      <c r="G205" s="2391"/>
      <c r="N205" s="2392"/>
      <c r="O205" s="2393"/>
      <c r="S205" s="2394"/>
      <c r="T205" s="2394"/>
      <c r="U205" s="2394"/>
      <c r="V205" s="2394"/>
      <c r="W205" s="2394"/>
      <c r="X205" s="2394"/>
      <c r="BB205" s="2395"/>
      <c r="BC205" s="2396"/>
      <c r="BD205" s="2397"/>
      <c r="BE205" s="2397"/>
      <c r="BF205" s="2398"/>
    </row>
    <row r="206" spans="5:58" s="2390" customFormat="1" x14ac:dyDescent="0.2">
      <c r="E206" s="2391"/>
      <c r="G206" s="2391"/>
      <c r="N206" s="2392"/>
      <c r="O206" s="2393"/>
      <c r="S206" s="2394"/>
      <c r="T206" s="2394"/>
      <c r="U206" s="2394"/>
      <c r="V206" s="2394"/>
      <c r="W206" s="2394"/>
      <c r="X206" s="2394"/>
      <c r="BB206" s="2395"/>
      <c r="BC206" s="2396"/>
      <c r="BD206" s="2397"/>
      <c r="BE206" s="2397"/>
      <c r="BF206" s="2398"/>
    </row>
    <row r="207" spans="5:58" s="2390" customFormat="1" x14ac:dyDescent="0.2">
      <c r="E207" s="2391"/>
      <c r="G207" s="2391"/>
      <c r="N207" s="2392"/>
      <c r="O207" s="2393"/>
      <c r="S207" s="2394"/>
      <c r="T207" s="2394"/>
      <c r="U207" s="2394"/>
      <c r="V207" s="2394"/>
      <c r="W207" s="2394"/>
      <c r="X207" s="2394"/>
      <c r="BB207" s="2395"/>
      <c r="BC207" s="2396"/>
      <c r="BD207" s="2397"/>
      <c r="BE207" s="2397"/>
      <c r="BF207" s="2398"/>
    </row>
    <row r="208" spans="5:58" s="2390" customFormat="1" x14ac:dyDescent="0.2">
      <c r="E208" s="2391"/>
      <c r="G208" s="2391"/>
      <c r="N208" s="2392"/>
      <c r="O208" s="2393"/>
      <c r="S208" s="2394"/>
      <c r="T208" s="2394"/>
      <c r="U208" s="2394"/>
      <c r="V208" s="2394"/>
      <c r="W208" s="2394"/>
      <c r="X208" s="2394"/>
      <c r="BB208" s="2395"/>
      <c r="BC208" s="2396"/>
      <c r="BD208" s="2397"/>
      <c r="BE208" s="2397"/>
      <c r="BF208" s="2398"/>
    </row>
    <row r="209" spans="5:58" s="2390" customFormat="1" x14ac:dyDescent="0.2">
      <c r="E209" s="2391"/>
      <c r="G209" s="2391"/>
      <c r="N209" s="2392"/>
      <c r="O209" s="2393"/>
      <c r="S209" s="2394"/>
      <c r="T209" s="2394"/>
      <c r="U209" s="2394"/>
      <c r="V209" s="2394"/>
      <c r="W209" s="2394"/>
      <c r="X209" s="2394"/>
      <c r="BB209" s="2395"/>
      <c r="BC209" s="2396"/>
      <c r="BD209" s="2397"/>
      <c r="BE209" s="2397"/>
      <c r="BF209" s="2398"/>
    </row>
    <row r="210" spans="5:58" s="2390" customFormat="1" x14ac:dyDescent="0.2">
      <c r="E210" s="2391"/>
      <c r="G210" s="2391"/>
      <c r="N210" s="2392"/>
      <c r="O210" s="2393"/>
      <c r="S210" s="2394"/>
      <c r="T210" s="2394"/>
      <c r="U210" s="2394"/>
      <c r="V210" s="2394"/>
      <c r="W210" s="2394"/>
      <c r="X210" s="2394"/>
      <c r="BB210" s="2395"/>
      <c r="BC210" s="2396"/>
      <c r="BD210" s="2397"/>
      <c r="BE210" s="2397"/>
      <c r="BF210" s="2398"/>
    </row>
    <row r="211" spans="5:58" s="2390" customFormat="1" x14ac:dyDescent="0.2">
      <c r="E211" s="2391"/>
      <c r="G211" s="2391"/>
      <c r="N211" s="2392"/>
      <c r="O211" s="2393"/>
      <c r="S211" s="2394"/>
      <c r="T211" s="2394"/>
      <c r="U211" s="2394"/>
      <c r="V211" s="2394"/>
      <c r="W211" s="2394"/>
      <c r="X211" s="2394"/>
      <c r="BB211" s="2395"/>
      <c r="BC211" s="2396"/>
      <c r="BD211" s="2397"/>
      <c r="BE211" s="2397"/>
      <c r="BF211" s="2398"/>
    </row>
    <row r="212" spans="5:58" s="2390" customFormat="1" x14ac:dyDescent="0.2">
      <c r="E212" s="2391"/>
      <c r="G212" s="2391"/>
      <c r="N212" s="2392"/>
      <c r="O212" s="2393"/>
      <c r="S212" s="2394"/>
      <c r="T212" s="2394"/>
      <c r="U212" s="2394"/>
      <c r="V212" s="2394"/>
      <c r="W212" s="2394"/>
      <c r="X212" s="2394"/>
      <c r="BB212" s="2395"/>
      <c r="BC212" s="2396"/>
      <c r="BD212" s="2397"/>
      <c r="BE212" s="2397"/>
      <c r="BF212" s="2398"/>
    </row>
    <row r="213" spans="5:58" s="2390" customFormat="1" x14ac:dyDescent="0.2">
      <c r="E213" s="2391"/>
      <c r="G213" s="2391"/>
      <c r="N213" s="2392"/>
      <c r="O213" s="2393"/>
      <c r="S213" s="2394"/>
      <c r="T213" s="2394"/>
      <c r="U213" s="2394"/>
      <c r="V213" s="2394"/>
      <c r="W213" s="2394"/>
      <c r="X213" s="2394"/>
      <c r="BB213" s="2395"/>
      <c r="BC213" s="2396"/>
      <c r="BD213" s="2397"/>
      <c r="BE213" s="2397"/>
      <c r="BF213" s="2398"/>
    </row>
    <row r="214" spans="5:58" s="2390" customFormat="1" x14ac:dyDescent="0.2">
      <c r="E214" s="2391"/>
      <c r="G214" s="2391"/>
      <c r="N214" s="2392"/>
      <c r="O214" s="2393"/>
      <c r="S214" s="2394"/>
      <c r="T214" s="2394"/>
      <c r="U214" s="2394"/>
      <c r="V214" s="2394"/>
      <c r="W214" s="2394"/>
      <c r="X214" s="2394"/>
      <c r="BB214" s="2395"/>
      <c r="BC214" s="2396"/>
      <c r="BD214" s="2397"/>
      <c r="BE214" s="2397"/>
      <c r="BF214" s="2398"/>
    </row>
    <row r="215" spans="5:58" s="2390" customFormat="1" x14ac:dyDescent="0.2">
      <c r="E215" s="2391"/>
      <c r="G215" s="2391"/>
      <c r="N215" s="2392"/>
      <c r="O215" s="2393"/>
      <c r="S215" s="2394"/>
      <c r="T215" s="2394"/>
      <c r="U215" s="2394"/>
      <c r="V215" s="2394"/>
      <c r="W215" s="2394"/>
      <c r="X215" s="2394"/>
      <c r="BB215" s="2395"/>
      <c r="BC215" s="2396"/>
      <c r="BD215" s="2397"/>
      <c r="BE215" s="2397"/>
      <c r="BF215" s="2398"/>
    </row>
    <row r="216" spans="5:58" s="2390" customFormat="1" x14ac:dyDescent="0.2">
      <c r="E216" s="2391"/>
      <c r="G216" s="2391"/>
      <c r="N216" s="2392"/>
      <c r="O216" s="2393"/>
      <c r="S216" s="2394"/>
      <c r="T216" s="2394"/>
      <c r="U216" s="2394"/>
      <c r="V216" s="2394"/>
      <c r="W216" s="2394"/>
      <c r="X216" s="2394"/>
      <c r="BB216" s="2395"/>
      <c r="BC216" s="2396"/>
      <c r="BD216" s="2397"/>
      <c r="BE216" s="2397"/>
      <c r="BF216" s="2398"/>
    </row>
    <row r="217" spans="5:58" s="2390" customFormat="1" x14ac:dyDescent="0.2">
      <c r="E217" s="2391"/>
      <c r="G217" s="2391"/>
      <c r="N217" s="2392"/>
      <c r="O217" s="2393"/>
      <c r="S217" s="2394"/>
      <c r="T217" s="2394"/>
      <c r="U217" s="2394"/>
      <c r="V217" s="2394"/>
      <c r="W217" s="2394"/>
      <c r="X217" s="2394"/>
      <c r="BB217" s="2395"/>
      <c r="BC217" s="2396"/>
      <c r="BD217" s="2397"/>
      <c r="BE217" s="2397"/>
      <c r="BF217" s="2398"/>
    </row>
    <row r="218" spans="5:58" s="2390" customFormat="1" x14ac:dyDescent="0.2">
      <c r="E218" s="2391"/>
      <c r="G218" s="2391"/>
      <c r="N218" s="2392"/>
      <c r="O218" s="2393"/>
      <c r="S218" s="2394"/>
      <c r="T218" s="2394"/>
      <c r="U218" s="2394"/>
      <c r="V218" s="2394"/>
      <c r="W218" s="2394"/>
      <c r="X218" s="2394"/>
      <c r="BB218" s="2395"/>
      <c r="BC218" s="2396"/>
      <c r="BD218" s="2397"/>
      <c r="BE218" s="2397"/>
      <c r="BF218" s="2398"/>
    </row>
    <row r="219" spans="5:58" s="2390" customFormat="1" x14ac:dyDescent="0.2">
      <c r="E219" s="2391"/>
      <c r="G219" s="2391"/>
      <c r="N219" s="2392"/>
      <c r="O219" s="2393"/>
      <c r="S219" s="2394"/>
      <c r="T219" s="2394"/>
      <c r="U219" s="2394"/>
      <c r="V219" s="2394"/>
      <c r="W219" s="2394"/>
      <c r="X219" s="2394"/>
      <c r="BB219" s="2395"/>
      <c r="BC219" s="2396"/>
      <c r="BD219" s="2397"/>
      <c r="BE219" s="2397"/>
      <c r="BF219" s="2398"/>
    </row>
    <row r="220" spans="5:58" s="2390" customFormat="1" x14ac:dyDescent="0.2">
      <c r="E220" s="2391"/>
      <c r="G220" s="2391"/>
      <c r="N220" s="2392"/>
      <c r="O220" s="2393"/>
      <c r="S220" s="2394"/>
      <c r="T220" s="2394"/>
      <c r="U220" s="2394"/>
      <c r="V220" s="2394"/>
      <c r="W220" s="2394"/>
      <c r="X220" s="2394"/>
      <c r="BB220" s="2395"/>
      <c r="BC220" s="2396"/>
      <c r="BD220" s="2397"/>
      <c r="BE220" s="2397"/>
      <c r="BF220" s="2398"/>
    </row>
    <row r="221" spans="5:58" s="2390" customFormat="1" x14ac:dyDescent="0.2">
      <c r="E221" s="2391"/>
      <c r="G221" s="2391"/>
      <c r="N221" s="2392"/>
      <c r="O221" s="2393"/>
      <c r="S221" s="2394"/>
      <c r="T221" s="2394"/>
      <c r="U221" s="2394"/>
      <c r="V221" s="2394"/>
      <c r="W221" s="2394"/>
      <c r="X221" s="2394"/>
      <c r="BB221" s="2395"/>
      <c r="BC221" s="2396"/>
      <c r="BD221" s="2397"/>
      <c r="BE221" s="2397"/>
      <c r="BF221" s="2398"/>
    </row>
    <row r="222" spans="5:58" s="2390" customFormat="1" x14ac:dyDescent="0.2">
      <c r="E222" s="2391"/>
      <c r="G222" s="2391"/>
      <c r="N222" s="2392"/>
      <c r="O222" s="2393"/>
      <c r="S222" s="2394"/>
      <c r="T222" s="2394"/>
      <c r="U222" s="2394"/>
      <c r="V222" s="2394"/>
      <c r="W222" s="2394"/>
      <c r="X222" s="2394"/>
      <c r="BB222" s="2395"/>
      <c r="BC222" s="2396"/>
      <c r="BD222" s="2397"/>
      <c r="BE222" s="2397"/>
      <c r="BF222" s="2398"/>
    </row>
    <row r="223" spans="5:58" s="2390" customFormat="1" x14ac:dyDescent="0.2">
      <c r="E223" s="2391"/>
      <c r="G223" s="2391"/>
      <c r="N223" s="2392"/>
      <c r="O223" s="2393"/>
      <c r="S223" s="2394"/>
      <c r="T223" s="2394"/>
      <c r="U223" s="2394"/>
      <c r="V223" s="2394"/>
      <c r="W223" s="2394"/>
      <c r="X223" s="2394"/>
      <c r="BB223" s="2395"/>
      <c r="BC223" s="2396"/>
      <c r="BD223" s="2397"/>
      <c r="BE223" s="2397"/>
      <c r="BF223" s="2398"/>
    </row>
    <row r="224" spans="5:58" s="2390" customFormat="1" x14ac:dyDescent="0.2">
      <c r="E224" s="2391"/>
      <c r="G224" s="2391"/>
      <c r="N224" s="2392"/>
      <c r="O224" s="2393"/>
      <c r="S224" s="2394"/>
      <c r="T224" s="2394"/>
      <c r="U224" s="2394"/>
      <c r="V224" s="2394"/>
      <c r="W224" s="2394"/>
      <c r="X224" s="2394"/>
      <c r="BB224" s="2395"/>
      <c r="BC224" s="2396"/>
      <c r="BD224" s="2397"/>
      <c r="BE224" s="2397"/>
      <c r="BF224" s="2398"/>
    </row>
    <row r="225" spans="5:58" s="2390" customFormat="1" x14ac:dyDescent="0.2">
      <c r="E225" s="2391"/>
      <c r="G225" s="2391"/>
      <c r="N225" s="2392"/>
      <c r="O225" s="2393"/>
      <c r="S225" s="2394"/>
      <c r="T225" s="2394"/>
      <c r="U225" s="2394"/>
      <c r="V225" s="2394"/>
      <c r="W225" s="2394"/>
      <c r="X225" s="2394"/>
      <c r="BB225" s="2395"/>
      <c r="BC225" s="2396"/>
      <c r="BD225" s="2397"/>
      <c r="BE225" s="2397"/>
      <c r="BF225" s="2398"/>
    </row>
    <row r="226" spans="5:58" s="2390" customFormat="1" x14ac:dyDescent="0.2">
      <c r="E226" s="2391"/>
      <c r="G226" s="2391"/>
      <c r="N226" s="2392"/>
      <c r="O226" s="2393"/>
      <c r="S226" s="2394"/>
      <c r="T226" s="2394"/>
      <c r="U226" s="2394"/>
      <c r="V226" s="2394"/>
      <c r="W226" s="2394"/>
      <c r="X226" s="2394"/>
      <c r="BB226" s="2395"/>
      <c r="BC226" s="2396"/>
      <c r="BD226" s="2397"/>
      <c r="BE226" s="2397"/>
      <c r="BF226" s="2398"/>
    </row>
    <row r="227" spans="5:58" s="2390" customFormat="1" x14ac:dyDescent="0.2">
      <c r="E227" s="2391"/>
      <c r="G227" s="2391"/>
      <c r="N227" s="2392"/>
      <c r="O227" s="2393"/>
      <c r="S227" s="2394"/>
      <c r="T227" s="2394"/>
      <c r="U227" s="2394"/>
      <c r="V227" s="2394"/>
      <c r="W227" s="2394"/>
      <c r="X227" s="2394"/>
      <c r="BB227" s="2395"/>
      <c r="BC227" s="2396"/>
      <c r="BD227" s="2397"/>
      <c r="BE227" s="2397"/>
      <c r="BF227" s="2398"/>
    </row>
    <row r="228" spans="5:58" s="2390" customFormat="1" x14ac:dyDescent="0.2">
      <c r="E228" s="2391"/>
      <c r="G228" s="2391"/>
      <c r="N228" s="2392"/>
      <c r="O228" s="2393"/>
      <c r="S228" s="2394"/>
      <c r="T228" s="2394"/>
      <c r="U228" s="2394"/>
      <c r="V228" s="2394"/>
      <c r="W228" s="2394"/>
      <c r="X228" s="2394"/>
      <c r="BB228" s="2395"/>
      <c r="BC228" s="2396"/>
      <c r="BD228" s="2397"/>
      <c r="BE228" s="2397"/>
      <c r="BF228" s="2398"/>
    </row>
    <row r="229" spans="5:58" s="2390" customFormat="1" x14ac:dyDescent="0.2">
      <c r="E229" s="2391"/>
      <c r="G229" s="2391"/>
      <c r="N229" s="2392"/>
      <c r="O229" s="2393"/>
      <c r="S229" s="2394"/>
      <c r="T229" s="2394"/>
      <c r="U229" s="2394"/>
      <c r="V229" s="2394"/>
      <c r="W229" s="2394"/>
      <c r="X229" s="2394"/>
      <c r="BB229" s="2395"/>
      <c r="BC229" s="2396"/>
      <c r="BD229" s="2397"/>
      <c r="BE229" s="2397"/>
      <c r="BF229" s="2398"/>
    </row>
    <row r="230" spans="5:58" s="2390" customFormat="1" x14ac:dyDescent="0.2">
      <c r="E230" s="2391"/>
      <c r="G230" s="2391"/>
      <c r="N230" s="2392"/>
      <c r="O230" s="2393"/>
      <c r="S230" s="2394"/>
      <c r="T230" s="2394"/>
      <c r="U230" s="2394"/>
      <c r="V230" s="2394"/>
      <c r="W230" s="2394"/>
      <c r="X230" s="2394"/>
      <c r="BB230" s="2395"/>
      <c r="BC230" s="2396"/>
      <c r="BD230" s="2397"/>
      <c r="BE230" s="2397"/>
      <c r="BF230" s="2398"/>
    </row>
    <row r="231" spans="5:58" s="2390" customFormat="1" x14ac:dyDescent="0.2">
      <c r="E231" s="2391"/>
      <c r="G231" s="2391"/>
      <c r="N231" s="2392"/>
      <c r="O231" s="2393"/>
      <c r="S231" s="2394"/>
      <c r="T231" s="2394"/>
      <c r="U231" s="2394"/>
      <c r="V231" s="2394"/>
      <c r="W231" s="2394"/>
      <c r="X231" s="2394"/>
      <c r="BB231" s="2395"/>
      <c r="BC231" s="2396"/>
      <c r="BD231" s="2397"/>
      <c r="BE231" s="2397"/>
      <c r="BF231" s="2398"/>
    </row>
    <row r="232" spans="5:58" s="2390" customFormat="1" x14ac:dyDescent="0.2">
      <c r="E232" s="2391"/>
      <c r="G232" s="2391"/>
      <c r="N232" s="2392"/>
      <c r="O232" s="2393"/>
      <c r="S232" s="2394"/>
      <c r="T232" s="2394"/>
      <c r="U232" s="2394"/>
      <c r="V232" s="2394"/>
      <c r="W232" s="2394"/>
      <c r="X232" s="2394"/>
      <c r="BB232" s="2395"/>
      <c r="BC232" s="2396"/>
      <c r="BD232" s="2397"/>
      <c r="BE232" s="2397"/>
      <c r="BF232" s="2398"/>
    </row>
    <row r="233" spans="5:58" s="2390" customFormat="1" x14ac:dyDescent="0.2">
      <c r="E233" s="2391"/>
      <c r="G233" s="2391"/>
      <c r="N233" s="2392"/>
      <c r="O233" s="2393"/>
      <c r="S233" s="2394"/>
      <c r="T233" s="2394"/>
      <c r="U233" s="2394"/>
      <c r="V233" s="2394"/>
      <c r="W233" s="2394"/>
      <c r="X233" s="2394"/>
      <c r="BB233" s="2395"/>
      <c r="BC233" s="2396"/>
      <c r="BD233" s="2397"/>
      <c r="BE233" s="2397"/>
      <c r="BF233" s="2398"/>
    </row>
    <row r="234" spans="5:58" s="2390" customFormat="1" x14ac:dyDescent="0.2">
      <c r="E234" s="2391"/>
      <c r="G234" s="2391"/>
      <c r="N234" s="2392"/>
      <c r="O234" s="2393"/>
      <c r="S234" s="2394"/>
      <c r="T234" s="2394"/>
      <c r="U234" s="2394"/>
      <c r="V234" s="2394"/>
      <c r="W234" s="2394"/>
      <c r="X234" s="2394"/>
      <c r="BB234" s="2395"/>
      <c r="BC234" s="2396"/>
      <c r="BD234" s="2397"/>
      <c r="BE234" s="2397"/>
      <c r="BF234" s="2398"/>
    </row>
    <row r="235" spans="5:58" s="2390" customFormat="1" x14ac:dyDescent="0.2">
      <c r="E235" s="2391"/>
      <c r="G235" s="2391"/>
      <c r="N235" s="2392"/>
      <c r="O235" s="2393"/>
      <c r="S235" s="2394"/>
      <c r="T235" s="2394"/>
      <c r="U235" s="2394"/>
      <c r="V235" s="2394"/>
      <c r="W235" s="2394"/>
      <c r="X235" s="2394"/>
      <c r="BB235" s="2395"/>
      <c r="BC235" s="2396"/>
      <c r="BD235" s="2397"/>
      <c r="BE235" s="2397"/>
      <c r="BF235" s="2398"/>
    </row>
    <row r="236" spans="5:58" s="2390" customFormat="1" x14ac:dyDescent="0.2">
      <c r="E236" s="2391"/>
      <c r="G236" s="2391"/>
      <c r="N236" s="2392"/>
      <c r="O236" s="2393"/>
      <c r="S236" s="2394"/>
      <c r="T236" s="2394"/>
      <c r="U236" s="2394"/>
      <c r="V236" s="2394"/>
      <c r="W236" s="2394"/>
      <c r="X236" s="2394"/>
      <c r="BB236" s="2395"/>
      <c r="BC236" s="2396"/>
      <c r="BD236" s="2397"/>
      <c r="BE236" s="2397"/>
      <c r="BF236" s="2398"/>
    </row>
    <row r="237" spans="5:58" s="2390" customFormat="1" x14ac:dyDescent="0.2">
      <c r="E237" s="2391"/>
      <c r="G237" s="2391"/>
      <c r="N237" s="2392"/>
      <c r="O237" s="2393"/>
      <c r="S237" s="2394"/>
      <c r="T237" s="2394"/>
      <c r="U237" s="2394"/>
      <c r="V237" s="2394"/>
      <c r="W237" s="2394"/>
      <c r="X237" s="2394"/>
      <c r="BB237" s="2395"/>
      <c r="BC237" s="2396"/>
      <c r="BD237" s="2397"/>
      <c r="BE237" s="2397"/>
      <c r="BF237" s="2398"/>
    </row>
    <row r="238" spans="5:58" s="2390" customFormat="1" x14ac:dyDescent="0.2">
      <c r="E238" s="2391"/>
      <c r="G238" s="2391"/>
      <c r="N238" s="2392"/>
      <c r="O238" s="2393"/>
      <c r="S238" s="2394"/>
      <c r="T238" s="2394"/>
      <c r="U238" s="2394"/>
      <c r="V238" s="2394"/>
      <c r="W238" s="2394"/>
      <c r="X238" s="2394"/>
      <c r="BB238" s="2395"/>
      <c r="BC238" s="2396"/>
      <c r="BD238" s="2397"/>
      <c r="BE238" s="2397"/>
      <c r="BF238" s="2398"/>
    </row>
    <row r="239" spans="5:58" s="2390" customFormat="1" x14ac:dyDescent="0.2">
      <c r="E239" s="2391"/>
      <c r="G239" s="2391"/>
      <c r="N239" s="2392"/>
      <c r="O239" s="2393"/>
      <c r="S239" s="2394"/>
      <c r="T239" s="2394"/>
      <c r="U239" s="2394"/>
      <c r="V239" s="2394"/>
      <c r="W239" s="2394"/>
      <c r="X239" s="2394"/>
      <c r="BB239" s="2395"/>
      <c r="BC239" s="2396"/>
      <c r="BD239" s="2397"/>
      <c r="BE239" s="2397"/>
      <c r="BF239" s="2398"/>
    </row>
    <row r="240" spans="5:58" s="2390" customFormat="1" x14ac:dyDescent="0.2">
      <c r="E240" s="2391"/>
      <c r="G240" s="2391"/>
      <c r="N240" s="2392"/>
      <c r="O240" s="2393"/>
      <c r="S240" s="2394"/>
      <c r="T240" s="2394"/>
      <c r="U240" s="2394"/>
      <c r="V240" s="2394"/>
      <c r="W240" s="2394"/>
      <c r="X240" s="2394"/>
      <c r="BB240" s="2395"/>
      <c r="BC240" s="2396"/>
      <c r="BD240" s="2397"/>
      <c r="BE240" s="2397"/>
      <c r="BF240" s="2398"/>
    </row>
    <row r="241" spans="5:58" s="2390" customFormat="1" x14ac:dyDescent="0.2">
      <c r="E241" s="2391"/>
      <c r="G241" s="2391"/>
      <c r="N241" s="2392"/>
      <c r="O241" s="2393"/>
      <c r="S241" s="2394"/>
      <c r="T241" s="2394"/>
      <c r="U241" s="2394"/>
      <c r="V241" s="2394"/>
      <c r="W241" s="2394"/>
      <c r="X241" s="2394"/>
      <c r="BB241" s="2395"/>
      <c r="BC241" s="2396"/>
      <c r="BD241" s="2397"/>
      <c r="BE241" s="2397"/>
      <c r="BF241" s="2398"/>
    </row>
    <row r="242" spans="5:58" s="2390" customFormat="1" x14ac:dyDescent="0.2">
      <c r="E242" s="2391"/>
      <c r="G242" s="2391"/>
      <c r="N242" s="2392"/>
      <c r="O242" s="2393"/>
      <c r="S242" s="2394"/>
      <c r="T242" s="2394"/>
      <c r="U242" s="2394"/>
      <c r="V242" s="2394"/>
      <c r="W242" s="2394"/>
      <c r="X242" s="2394"/>
      <c r="BB242" s="2395"/>
      <c r="BC242" s="2396"/>
      <c r="BD242" s="2397"/>
      <c r="BE242" s="2397"/>
      <c r="BF242" s="2398"/>
    </row>
    <row r="243" spans="5:58" s="2390" customFormat="1" x14ac:dyDescent="0.2">
      <c r="E243" s="2391"/>
      <c r="G243" s="2391"/>
      <c r="N243" s="2392"/>
      <c r="O243" s="2393"/>
      <c r="S243" s="2394"/>
      <c r="T243" s="2394"/>
      <c r="U243" s="2394"/>
      <c r="V243" s="2394"/>
      <c r="W243" s="2394"/>
      <c r="X243" s="2394"/>
      <c r="BB243" s="2395"/>
      <c r="BC243" s="2396"/>
      <c r="BD243" s="2397"/>
      <c r="BE243" s="2397"/>
      <c r="BF243" s="2398"/>
    </row>
    <row r="244" spans="5:58" s="2390" customFormat="1" x14ac:dyDescent="0.2">
      <c r="E244" s="2391"/>
      <c r="G244" s="2391"/>
      <c r="N244" s="2392"/>
      <c r="O244" s="2393"/>
      <c r="S244" s="2394"/>
      <c r="T244" s="2394"/>
      <c r="U244" s="2394"/>
      <c r="V244" s="2394"/>
      <c r="W244" s="2394"/>
      <c r="X244" s="2394"/>
      <c r="BB244" s="2395"/>
      <c r="BC244" s="2396"/>
      <c r="BD244" s="2397"/>
      <c r="BE244" s="2397"/>
      <c r="BF244" s="2398"/>
    </row>
    <row r="245" spans="5:58" s="2390" customFormat="1" x14ac:dyDescent="0.2">
      <c r="E245" s="2391"/>
      <c r="G245" s="2391"/>
      <c r="N245" s="2392"/>
      <c r="O245" s="2393"/>
      <c r="S245" s="2394"/>
      <c r="T245" s="2394"/>
      <c r="U245" s="2394"/>
      <c r="V245" s="2394"/>
      <c r="W245" s="2394"/>
      <c r="X245" s="2394"/>
      <c r="BB245" s="2395"/>
      <c r="BC245" s="2396"/>
      <c r="BD245" s="2397"/>
      <c r="BE245" s="2397"/>
      <c r="BF245" s="2398"/>
    </row>
    <row r="246" spans="5:58" s="2390" customFormat="1" x14ac:dyDescent="0.2">
      <c r="E246" s="2391"/>
      <c r="G246" s="2391"/>
      <c r="N246" s="2392"/>
      <c r="O246" s="2393"/>
      <c r="S246" s="2394"/>
      <c r="T246" s="2394"/>
      <c r="U246" s="2394"/>
      <c r="V246" s="2394"/>
      <c r="W246" s="2394"/>
      <c r="X246" s="2394"/>
      <c r="BB246" s="2395"/>
      <c r="BC246" s="2396"/>
      <c r="BD246" s="2397"/>
      <c r="BE246" s="2397"/>
      <c r="BF246" s="2398"/>
    </row>
    <row r="247" spans="5:58" s="2390" customFormat="1" x14ac:dyDescent="0.2">
      <c r="E247" s="2391"/>
      <c r="G247" s="2391"/>
      <c r="N247" s="2392"/>
      <c r="O247" s="2393"/>
      <c r="S247" s="2394"/>
      <c r="T247" s="2394"/>
      <c r="U247" s="2394"/>
      <c r="V247" s="2394"/>
      <c r="W247" s="2394"/>
      <c r="X247" s="2394"/>
      <c r="BB247" s="2395"/>
      <c r="BC247" s="2396"/>
      <c r="BD247" s="2397"/>
      <c r="BE247" s="2397"/>
      <c r="BF247" s="2398"/>
    </row>
    <row r="248" spans="5:58" s="2390" customFormat="1" x14ac:dyDescent="0.2">
      <c r="E248" s="2391"/>
      <c r="G248" s="2391"/>
      <c r="N248" s="2392"/>
      <c r="O248" s="2393"/>
      <c r="S248" s="2394"/>
      <c r="T248" s="2394"/>
      <c r="U248" s="2394"/>
      <c r="V248" s="2394"/>
      <c r="W248" s="2394"/>
      <c r="X248" s="2394"/>
      <c r="BB248" s="2395"/>
      <c r="BC248" s="2396"/>
      <c r="BD248" s="2397"/>
      <c r="BE248" s="2397"/>
      <c r="BF248" s="2398"/>
    </row>
    <row r="249" spans="5:58" s="2390" customFormat="1" x14ac:dyDescent="0.2">
      <c r="E249" s="2391"/>
      <c r="G249" s="2391"/>
      <c r="N249" s="2392"/>
      <c r="O249" s="2393"/>
      <c r="S249" s="2394"/>
      <c r="T249" s="2394"/>
      <c r="U249" s="2394"/>
      <c r="V249" s="2394"/>
      <c r="W249" s="2394"/>
      <c r="X249" s="2394"/>
      <c r="BB249" s="2395"/>
      <c r="BC249" s="2396"/>
      <c r="BD249" s="2397"/>
      <c r="BE249" s="2397"/>
      <c r="BF249" s="2398"/>
    </row>
    <row r="250" spans="5:58" s="2390" customFormat="1" x14ac:dyDescent="0.2">
      <c r="E250" s="2391"/>
      <c r="G250" s="2391"/>
      <c r="N250" s="2392"/>
      <c r="O250" s="2393"/>
      <c r="S250" s="2394"/>
      <c r="T250" s="2394"/>
      <c r="U250" s="2394"/>
      <c r="V250" s="2394"/>
      <c r="W250" s="2394"/>
      <c r="X250" s="2394"/>
      <c r="BB250" s="2395"/>
      <c r="BC250" s="2396"/>
      <c r="BD250" s="2397"/>
      <c r="BE250" s="2397"/>
      <c r="BF250" s="2398"/>
    </row>
    <row r="251" spans="5:58" s="2390" customFormat="1" x14ac:dyDescent="0.2">
      <c r="E251" s="2391"/>
      <c r="G251" s="2391"/>
      <c r="N251" s="2392"/>
      <c r="O251" s="2393"/>
      <c r="S251" s="2394"/>
      <c r="T251" s="2394"/>
      <c r="U251" s="2394"/>
      <c r="V251" s="2394"/>
      <c r="W251" s="2394"/>
      <c r="X251" s="2394"/>
      <c r="BB251" s="2395"/>
      <c r="BC251" s="2396"/>
      <c r="BD251" s="2397"/>
      <c r="BE251" s="2397"/>
      <c r="BF251" s="2398"/>
    </row>
    <row r="252" spans="5:58" s="2390" customFormat="1" x14ac:dyDescent="0.2">
      <c r="E252" s="2391"/>
      <c r="G252" s="2391"/>
      <c r="N252" s="2392"/>
      <c r="O252" s="2393"/>
      <c r="S252" s="2394"/>
      <c r="T252" s="2394"/>
      <c r="U252" s="2394"/>
      <c r="V252" s="2394"/>
      <c r="W252" s="2394"/>
      <c r="X252" s="2394"/>
      <c r="BB252" s="2395"/>
      <c r="BC252" s="2396"/>
      <c r="BD252" s="2397"/>
      <c r="BE252" s="2397"/>
      <c r="BF252" s="2398"/>
    </row>
    <row r="253" spans="5:58" s="2390" customFormat="1" x14ac:dyDescent="0.2">
      <c r="E253" s="2391"/>
      <c r="G253" s="2391"/>
      <c r="N253" s="2392"/>
      <c r="O253" s="2393"/>
      <c r="S253" s="2394"/>
      <c r="T253" s="2394"/>
      <c r="U253" s="2394"/>
      <c r="V253" s="2394"/>
      <c r="W253" s="2394"/>
      <c r="X253" s="2394"/>
      <c r="BB253" s="2395"/>
      <c r="BC253" s="2396"/>
      <c r="BD253" s="2397"/>
      <c r="BE253" s="2397"/>
      <c r="BF253" s="2398"/>
    </row>
    <row r="254" spans="5:58" s="2390" customFormat="1" x14ac:dyDescent="0.2">
      <c r="E254" s="2391"/>
      <c r="G254" s="2391"/>
      <c r="N254" s="2392"/>
      <c r="O254" s="2393"/>
      <c r="S254" s="2394"/>
      <c r="T254" s="2394"/>
      <c r="U254" s="2394"/>
      <c r="V254" s="2394"/>
      <c r="W254" s="2394"/>
      <c r="X254" s="2394"/>
      <c r="BB254" s="2395"/>
      <c r="BC254" s="2396"/>
      <c r="BD254" s="2397"/>
      <c r="BE254" s="2397"/>
      <c r="BF254" s="2398"/>
    </row>
    <row r="255" spans="5:58" s="2390" customFormat="1" x14ac:dyDescent="0.2">
      <c r="E255" s="2391"/>
      <c r="G255" s="2391"/>
      <c r="N255" s="2392"/>
      <c r="O255" s="2393"/>
      <c r="S255" s="2394"/>
      <c r="T255" s="2394"/>
      <c r="U255" s="2394"/>
      <c r="V255" s="2394"/>
      <c r="W255" s="2394"/>
      <c r="X255" s="2394"/>
      <c r="BB255" s="2395"/>
      <c r="BC255" s="2396"/>
      <c r="BD255" s="2397"/>
      <c r="BE255" s="2397"/>
      <c r="BF255" s="2398"/>
    </row>
    <row r="256" spans="5:58" s="2390" customFormat="1" x14ac:dyDescent="0.2">
      <c r="E256" s="2391"/>
      <c r="G256" s="2391"/>
      <c r="N256" s="2392"/>
      <c r="O256" s="2393"/>
      <c r="S256" s="2394"/>
      <c r="T256" s="2394"/>
      <c r="U256" s="2394"/>
      <c r="V256" s="2394"/>
      <c r="W256" s="2394"/>
      <c r="X256" s="2394"/>
      <c r="BB256" s="2395"/>
      <c r="BC256" s="2396"/>
      <c r="BD256" s="2397"/>
      <c r="BE256" s="2397"/>
      <c r="BF256" s="2398"/>
    </row>
    <row r="257" spans="5:58" s="2390" customFormat="1" x14ac:dyDescent="0.2">
      <c r="E257" s="2391"/>
      <c r="G257" s="2391"/>
      <c r="N257" s="2392"/>
      <c r="O257" s="2393"/>
      <c r="S257" s="2394"/>
      <c r="T257" s="2394"/>
      <c r="U257" s="2394"/>
      <c r="V257" s="2394"/>
      <c r="W257" s="2394"/>
      <c r="X257" s="2394"/>
      <c r="BB257" s="2395"/>
      <c r="BC257" s="2396"/>
      <c r="BD257" s="2397"/>
      <c r="BE257" s="2397"/>
      <c r="BF257" s="2398"/>
    </row>
    <row r="258" spans="5:58" s="2390" customFormat="1" x14ac:dyDescent="0.2">
      <c r="E258" s="2391"/>
      <c r="G258" s="2391"/>
      <c r="N258" s="2392"/>
      <c r="O258" s="2393"/>
      <c r="S258" s="2394"/>
      <c r="T258" s="2394"/>
      <c r="U258" s="2394"/>
      <c r="V258" s="2394"/>
      <c r="W258" s="2394"/>
      <c r="X258" s="2394"/>
      <c r="BB258" s="2395"/>
      <c r="BC258" s="2396"/>
      <c r="BD258" s="2397"/>
      <c r="BE258" s="2397"/>
      <c r="BF258" s="2398"/>
    </row>
    <row r="259" spans="5:58" s="2390" customFormat="1" x14ac:dyDescent="0.2">
      <c r="E259" s="2391"/>
      <c r="G259" s="2391"/>
      <c r="N259" s="2392"/>
      <c r="O259" s="2393"/>
      <c r="S259" s="2394"/>
      <c r="T259" s="2394"/>
      <c r="U259" s="2394"/>
      <c r="V259" s="2394"/>
      <c r="W259" s="2394"/>
      <c r="X259" s="2394"/>
      <c r="BB259" s="2395"/>
      <c r="BC259" s="2396"/>
      <c r="BD259" s="2397"/>
      <c r="BE259" s="2397"/>
      <c r="BF259" s="2398"/>
    </row>
    <row r="260" spans="5:58" s="2390" customFormat="1" x14ac:dyDescent="0.2">
      <c r="E260" s="2391"/>
      <c r="G260" s="2391"/>
      <c r="N260" s="2392"/>
      <c r="O260" s="2393"/>
      <c r="S260" s="2394"/>
      <c r="T260" s="2394"/>
      <c r="U260" s="2394"/>
      <c r="V260" s="2394"/>
      <c r="W260" s="2394"/>
      <c r="X260" s="2394"/>
      <c r="BB260" s="2395"/>
      <c r="BC260" s="2396"/>
      <c r="BD260" s="2397"/>
      <c r="BE260" s="2397"/>
      <c r="BF260" s="2398"/>
    </row>
    <row r="261" spans="5:58" s="2390" customFormat="1" x14ac:dyDescent="0.2">
      <c r="E261" s="2391"/>
      <c r="G261" s="2391"/>
      <c r="N261" s="2392"/>
      <c r="O261" s="2393"/>
      <c r="S261" s="2394"/>
      <c r="T261" s="2394"/>
      <c r="U261" s="2394"/>
      <c r="V261" s="2394"/>
      <c r="W261" s="2394"/>
      <c r="X261" s="2394"/>
      <c r="BB261" s="2395"/>
      <c r="BC261" s="2396"/>
      <c r="BD261" s="2397"/>
      <c r="BE261" s="2397"/>
      <c r="BF261" s="2398"/>
    </row>
    <row r="262" spans="5:58" s="2390" customFormat="1" x14ac:dyDescent="0.2">
      <c r="E262" s="2391"/>
      <c r="G262" s="2391"/>
      <c r="N262" s="2392"/>
      <c r="O262" s="2393"/>
      <c r="S262" s="2394"/>
      <c r="T262" s="2394"/>
      <c r="U262" s="2394"/>
      <c r="V262" s="2394"/>
      <c r="W262" s="2394"/>
      <c r="X262" s="2394"/>
      <c r="BB262" s="2395"/>
      <c r="BC262" s="2396"/>
      <c r="BD262" s="2397"/>
      <c r="BE262" s="2397"/>
      <c r="BF262" s="2398"/>
    </row>
    <row r="263" spans="5:58" s="2390" customFormat="1" x14ac:dyDescent="0.2">
      <c r="E263" s="2391"/>
      <c r="G263" s="2391"/>
      <c r="N263" s="2392"/>
      <c r="O263" s="2393"/>
      <c r="S263" s="2394"/>
      <c r="T263" s="2394"/>
      <c r="U263" s="2394"/>
      <c r="V263" s="2394"/>
      <c r="W263" s="2394"/>
      <c r="X263" s="2394"/>
      <c r="BB263" s="2395"/>
      <c r="BC263" s="2396"/>
      <c r="BD263" s="2397"/>
      <c r="BE263" s="2397"/>
      <c r="BF263" s="2398"/>
    </row>
    <row r="264" spans="5:58" s="2390" customFormat="1" x14ac:dyDescent="0.2">
      <c r="E264" s="2391"/>
      <c r="G264" s="2391"/>
      <c r="N264" s="2392"/>
      <c r="O264" s="2393"/>
      <c r="S264" s="2394"/>
      <c r="T264" s="2394"/>
      <c r="U264" s="2394"/>
      <c r="V264" s="2394"/>
      <c r="W264" s="2394"/>
      <c r="X264" s="2394"/>
      <c r="BB264" s="2395"/>
      <c r="BC264" s="2396"/>
      <c r="BD264" s="2397"/>
      <c r="BE264" s="2397"/>
      <c r="BF264" s="2398"/>
    </row>
    <row r="265" spans="5:58" s="2390" customFormat="1" x14ac:dyDescent="0.2">
      <c r="E265" s="2391"/>
      <c r="G265" s="2391"/>
      <c r="N265" s="2392"/>
      <c r="O265" s="2393"/>
      <c r="S265" s="2394"/>
      <c r="T265" s="2394"/>
      <c r="U265" s="2394"/>
      <c r="V265" s="2394"/>
      <c r="W265" s="2394"/>
      <c r="X265" s="2394"/>
      <c r="BB265" s="2395"/>
      <c r="BC265" s="2396"/>
      <c r="BD265" s="2397"/>
      <c r="BE265" s="2397"/>
      <c r="BF265" s="2398"/>
    </row>
    <row r="266" spans="5:58" s="2390" customFormat="1" x14ac:dyDescent="0.2">
      <c r="E266" s="2391"/>
      <c r="G266" s="2391"/>
      <c r="N266" s="2392"/>
      <c r="O266" s="2393"/>
      <c r="S266" s="2394"/>
      <c r="T266" s="2394"/>
      <c r="U266" s="2394"/>
      <c r="V266" s="2394"/>
      <c r="W266" s="2394"/>
      <c r="X266" s="2394"/>
      <c r="BB266" s="2395"/>
      <c r="BC266" s="2396"/>
      <c r="BD266" s="2397"/>
      <c r="BE266" s="2397"/>
      <c r="BF266" s="2398"/>
    </row>
    <row r="267" spans="5:58" s="2390" customFormat="1" x14ac:dyDescent="0.2">
      <c r="E267" s="2391"/>
      <c r="G267" s="2391"/>
      <c r="N267" s="2392"/>
      <c r="O267" s="2393"/>
      <c r="S267" s="2394"/>
      <c r="T267" s="2394"/>
      <c r="U267" s="2394"/>
      <c r="V267" s="2394"/>
      <c r="W267" s="2394"/>
      <c r="X267" s="2394"/>
      <c r="BB267" s="2395"/>
      <c r="BC267" s="2396"/>
      <c r="BD267" s="2397"/>
      <c r="BE267" s="2397"/>
      <c r="BF267" s="2398"/>
    </row>
    <row r="268" spans="5:58" s="2390" customFormat="1" x14ac:dyDescent="0.2">
      <c r="E268" s="2391"/>
      <c r="G268" s="2391"/>
      <c r="N268" s="2392"/>
      <c r="O268" s="2393"/>
      <c r="S268" s="2394"/>
      <c r="T268" s="2394"/>
      <c r="U268" s="2394"/>
      <c r="V268" s="2394"/>
      <c r="W268" s="2394"/>
      <c r="X268" s="2394"/>
      <c r="BB268" s="2395"/>
      <c r="BC268" s="2396"/>
      <c r="BD268" s="2397"/>
      <c r="BE268" s="2397"/>
      <c r="BF268" s="2398"/>
    </row>
    <row r="269" spans="5:58" s="2390" customFormat="1" x14ac:dyDescent="0.2">
      <c r="E269" s="2391"/>
      <c r="G269" s="2391"/>
      <c r="N269" s="2392"/>
      <c r="O269" s="2393"/>
      <c r="S269" s="2394"/>
      <c r="T269" s="2394"/>
      <c r="U269" s="2394"/>
      <c r="V269" s="2394"/>
      <c r="W269" s="2394"/>
      <c r="X269" s="2394"/>
      <c r="BB269" s="2395"/>
      <c r="BC269" s="2396"/>
      <c r="BD269" s="2397"/>
      <c r="BE269" s="2397"/>
      <c r="BF269" s="2398"/>
    </row>
    <row r="270" spans="5:58" s="2390" customFormat="1" x14ac:dyDescent="0.2">
      <c r="E270" s="2391"/>
      <c r="G270" s="2391"/>
      <c r="N270" s="2392"/>
      <c r="O270" s="2393"/>
      <c r="S270" s="2394"/>
      <c r="T270" s="2394"/>
      <c r="U270" s="2394"/>
      <c r="V270" s="2394"/>
      <c r="W270" s="2394"/>
      <c r="X270" s="2394"/>
      <c r="BB270" s="2395"/>
      <c r="BC270" s="2396"/>
      <c r="BD270" s="2397"/>
      <c r="BE270" s="2397"/>
      <c r="BF270" s="2398"/>
    </row>
    <row r="271" spans="5:58" s="2390" customFormat="1" x14ac:dyDescent="0.2">
      <c r="E271" s="2391"/>
      <c r="G271" s="2391"/>
      <c r="N271" s="2392"/>
      <c r="O271" s="2393"/>
      <c r="S271" s="2394"/>
      <c r="T271" s="2394"/>
      <c r="U271" s="2394"/>
      <c r="V271" s="2394"/>
      <c r="W271" s="2394"/>
      <c r="X271" s="2394"/>
      <c r="BB271" s="2395"/>
      <c r="BC271" s="2396"/>
      <c r="BD271" s="2397"/>
      <c r="BE271" s="2397"/>
      <c r="BF271" s="2398"/>
    </row>
    <row r="272" spans="5:58" s="2390" customFormat="1" x14ac:dyDescent="0.2">
      <c r="E272" s="2391"/>
      <c r="G272" s="2391"/>
      <c r="N272" s="2392"/>
      <c r="O272" s="2393"/>
      <c r="S272" s="2394"/>
      <c r="T272" s="2394"/>
      <c r="U272" s="2394"/>
      <c r="V272" s="2394"/>
      <c r="W272" s="2394"/>
      <c r="X272" s="2394"/>
      <c r="BB272" s="2395"/>
      <c r="BC272" s="2396"/>
      <c r="BD272" s="2397"/>
      <c r="BE272" s="2397"/>
      <c r="BF272" s="2398"/>
    </row>
    <row r="273" spans="5:58" s="2390" customFormat="1" x14ac:dyDescent="0.2">
      <c r="E273" s="2391"/>
      <c r="G273" s="2391"/>
      <c r="N273" s="2392"/>
      <c r="O273" s="2393"/>
      <c r="S273" s="2394"/>
      <c r="T273" s="2394"/>
      <c r="U273" s="2394"/>
      <c r="V273" s="2394"/>
      <c r="W273" s="2394"/>
      <c r="X273" s="2394"/>
      <c r="BB273" s="2395"/>
      <c r="BC273" s="2396"/>
      <c r="BD273" s="2397"/>
      <c r="BE273" s="2397"/>
      <c r="BF273" s="2398"/>
    </row>
    <row r="274" spans="5:58" s="2390" customFormat="1" x14ac:dyDescent="0.2">
      <c r="E274" s="2391"/>
      <c r="G274" s="2391"/>
      <c r="N274" s="2392"/>
      <c r="O274" s="2393"/>
      <c r="S274" s="2394"/>
      <c r="T274" s="2394"/>
      <c r="U274" s="2394"/>
      <c r="V274" s="2394"/>
      <c r="W274" s="2394"/>
      <c r="X274" s="2394"/>
      <c r="BB274" s="2395"/>
      <c r="BC274" s="2396"/>
      <c r="BD274" s="2397"/>
      <c r="BE274" s="2397"/>
      <c r="BF274" s="2398"/>
    </row>
    <row r="275" spans="5:58" s="2390" customFormat="1" x14ac:dyDescent="0.2">
      <c r="E275" s="2391"/>
      <c r="G275" s="2391"/>
      <c r="N275" s="2392"/>
      <c r="O275" s="2393"/>
      <c r="S275" s="2394"/>
      <c r="T275" s="2394"/>
      <c r="U275" s="2394"/>
      <c r="V275" s="2394"/>
      <c r="W275" s="2394"/>
      <c r="X275" s="2394"/>
      <c r="BB275" s="2395"/>
      <c r="BC275" s="2396"/>
      <c r="BD275" s="2397"/>
      <c r="BE275" s="2397"/>
      <c r="BF275" s="2398"/>
    </row>
    <row r="276" spans="5:58" s="2390" customFormat="1" x14ac:dyDescent="0.2">
      <c r="E276" s="2391"/>
      <c r="G276" s="2391"/>
      <c r="N276" s="2392"/>
      <c r="O276" s="2393"/>
      <c r="S276" s="2394"/>
      <c r="T276" s="2394"/>
      <c r="U276" s="2394"/>
      <c r="V276" s="2394"/>
      <c r="W276" s="2394"/>
      <c r="X276" s="2394"/>
      <c r="BB276" s="2395"/>
      <c r="BC276" s="2396"/>
      <c r="BD276" s="2397"/>
      <c r="BE276" s="2397"/>
      <c r="BF276" s="2398"/>
    </row>
    <row r="277" spans="5:58" s="2390" customFormat="1" x14ac:dyDescent="0.2">
      <c r="E277" s="2391"/>
      <c r="G277" s="2391"/>
      <c r="N277" s="2392"/>
      <c r="O277" s="2393"/>
      <c r="S277" s="2394"/>
      <c r="T277" s="2394"/>
      <c r="U277" s="2394"/>
      <c r="V277" s="2394"/>
      <c r="W277" s="2394"/>
      <c r="X277" s="2394"/>
      <c r="BB277" s="2395"/>
      <c r="BC277" s="2396"/>
      <c r="BD277" s="2397"/>
      <c r="BE277" s="2397"/>
      <c r="BF277" s="2398"/>
    </row>
    <row r="278" spans="5:58" s="2390" customFormat="1" x14ac:dyDescent="0.2">
      <c r="E278" s="2391"/>
      <c r="G278" s="2391"/>
      <c r="N278" s="2392"/>
      <c r="O278" s="2393"/>
      <c r="S278" s="2394"/>
      <c r="T278" s="2394"/>
      <c r="U278" s="2394"/>
      <c r="V278" s="2394"/>
      <c r="W278" s="2394"/>
      <c r="X278" s="2394"/>
      <c r="BB278" s="2395"/>
      <c r="BC278" s="2396"/>
      <c r="BD278" s="2397"/>
      <c r="BE278" s="2397"/>
      <c r="BF278" s="2398"/>
    </row>
    <row r="279" spans="5:58" s="2390" customFormat="1" x14ac:dyDescent="0.2">
      <c r="E279" s="2391"/>
      <c r="G279" s="2391"/>
      <c r="N279" s="2392"/>
      <c r="O279" s="2393"/>
      <c r="S279" s="2394"/>
      <c r="T279" s="2394"/>
      <c r="U279" s="2394"/>
      <c r="V279" s="2394"/>
      <c r="W279" s="2394"/>
      <c r="X279" s="2394"/>
      <c r="BB279" s="2395"/>
      <c r="BC279" s="2396"/>
      <c r="BD279" s="2397"/>
      <c r="BE279" s="2397"/>
      <c r="BF279" s="2398"/>
    </row>
    <row r="280" spans="5:58" s="2390" customFormat="1" x14ac:dyDescent="0.2">
      <c r="E280" s="2391"/>
      <c r="G280" s="2391"/>
      <c r="N280" s="2392"/>
      <c r="O280" s="2393"/>
      <c r="S280" s="2394"/>
      <c r="T280" s="2394"/>
      <c r="U280" s="2394"/>
      <c r="V280" s="2394"/>
      <c r="W280" s="2394"/>
      <c r="X280" s="2394"/>
      <c r="BB280" s="2395"/>
      <c r="BC280" s="2396"/>
      <c r="BD280" s="2397"/>
      <c r="BE280" s="2397"/>
      <c r="BF280" s="2398"/>
    </row>
    <row r="281" spans="5:58" s="2390" customFormat="1" x14ac:dyDescent="0.2">
      <c r="E281" s="2391"/>
      <c r="G281" s="2391"/>
      <c r="N281" s="2392"/>
      <c r="O281" s="2393"/>
      <c r="S281" s="2394"/>
      <c r="T281" s="2394"/>
      <c r="U281" s="2394"/>
      <c r="V281" s="2394"/>
      <c r="W281" s="2394"/>
      <c r="X281" s="2394"/>
      <c r="BB281" s="2395"/>
      <c r="BC281" s="2396"/>
      <c r="BD281" s="2397"/>
      <c r="BE281" s="2397"/>
      <c r="BF281" s="2398"/>
    </row>
    <row r="282" spans="5:58" s="2390" customFormat="1" x14ac:dyDescent="0.2">
      <c r="E282" s="2391"/>
      <c r="G282" s="2391"/>
      <c r="N282" s="2392"/>
      <c r="O282" s="2393"/>
      <c r="S282" s="2394"/>
      <c r="T282" s="2394"/>
      <c r="U282" s="2394"/>
      <c r="V282" s="2394"/>
      <c r="W282" s="2394"/>
      <c r="X282" s="2394"/>
      <c r="BB282" s="2395"/>
      <c r="BC282" s="2396"/>
      <c r="BD282" s="2397"/>
      <c r="BE282" s="2397"/>
      <c r="BF282" s="2398"/>
    </row>
    <row r="283" spans="5:58" s="2390" customFormat="1" x14ac:dyDescent="0.2">
      <c r="E283" s="2391"/>
      <c r="G283" s="2391"/>
      <c r="N283" s="2392"/>
      <c r="O283" s="2393"/>
      <c r="S283" s="2394"/>
      <c r="T283" s="2394"/>
      <c r="U283" s="2394"/>
      <c r="V283" s="2394"/>
      <c r="W283" s="2394"/>
      <c r="X283" s="2394"/>
      <c r="BB283" s="2395"/>
      <c r="BC283" s="2396"/>
      <c r="BD283" s="2397"/>
      <c r="BE283" s="2397"/>
      <c r="BF283" s="2398"/>
    </row>
    <row r="284" spans="5:58" s="2390" customFormat="1" x14ac:dyDescent="0.2">
      <c r="E284" s="2391"/>
      <c r="G284" s="2391"/>
      <c r="N284" s="2392"/>
      <c r="O284" s="2393"/>
      <c r="S284" s="2394"/>
      <c r="T284" s="2394"/>
      <c r="U284" s="2394"/>
      <c r="V284" s="2394"/>
      <c r="W284" s="2394"/>
      <c r="X284" s="2394"/>
      <c r="BB284" s="2395"/>
      <c r="BC284" s="2396"/>
      <c r="BD284" s="2397"/>
      <c r="BE284" s="2397"/>
      <c r="BF284" s="2398"/>
    </row>
    <row r="285" spans="5:58" s="2390" customFormat="1" x14ac:dyDescent="0.2">
      <c r="E285" s="2391"/>
      <c r="G285" s="2391"/>
      <c r="N285" s="2392"/>
      <c r="O285" s="2393"/>
      <c r="S285" s="2394"/>
      <c r="T285" s="2394"/>
      <c r="U285" s="2394"/>
      <c r="V285" s="2394"/>
      <c r="W285" s="2394"/>
      <c r="X285" s="2394"/>
      <c r="BB285" s="2395"/>
      <c r="BC285" s="2396"/>
      <c r="BD285" s="2397"/>
      <c r="BE285" s="2397"/>
      <c r="BF285" s="2398"/>
    </row>
    <row r="286" spans="5:58" s="2390" customFormat="1" x14ac:dyDescent="0.2">
      <c r="E286" s="2391"/>
      <c r="G286" s="2391"/>
      <c r="N286" s="2392"/>
      <c r="O286" s="2393"/>
      <c r="S286" s="2394"/>
      <c r="T286" s="2394"/>
      <c r="U286" s="2394"/>
      <c r="V286" s="2394"/>
      <c r="W286" s="2394"/>
      <c r="X286" s="2394"/>
      <c r="BB286" s="2395"/>
      <c r="BC286" s="2396"/>
      <c r="BD286" s="2397"/>
      <c r="BE286" s="2397"/>
      <c r="BF286" s="2398"/>
    </row>
    <row r="287" spans="5:58" s="2390" customFormat="1" x14ac:dyDescent="0.2">
      <c r="E287" s="2391"/>
      <c r="G287" s="2391"/>
      <c r="N287" s="2392"/>
      <c r="O287" s="2393"/>
      <c r="S287" s="2394"/>
      <c r="T287" s="2394"/>
      <c r="U287" s="2394"/>
      <c r="V287" s="2394"/>
      <c r="W287" s="2394"/>
      <c r="X287" s="2394"/>
      <c r="BB287" s="2395"/>
      <c r="BC287" s="2396"/>
      <c r="BD287" s="2397"/>
      <c r="BE287" s="2397"/>
      <c r="BF287" s="2398"/>
    </row>
    <row r="288" spans="5:58" s="2390" customFormat="1" x14ac:dyDescent="0.2">
      <c r="E288" s="2391"/>
      <c r="G288" s="2391"/>
      <c r="N288" s="2392"/>
      <c r="O288" s="2393"/>
      <c r="S288" s="2394"/>
      <c r="T288" s="2394"/>
      <c r="U288" s="2394"/>
      <c r="V288" s="2394"/>
      <c r="W288" s="2394"/>
      <c r="X288" s="2394"/>
      <c r="BB288" s="2395"/>
      <c r="BC288" s="2396"/>
      <c r="BD288" s="2397"/>
      <c r="BE288" s="2397"/>
      <c r="BF288" s="2398"/>
    </row>
    <row r="289" spans="5:58" s="2390" customFormat="1" x14ac:dyDescent="0.2">
      <c r="E289" s="2391"/>
      <c r="G289" s="2391"/>
      <c r="N289" s="2392"/>
      <c r="O289" s="2393"/>
      <c r="S289" s="2394"/>
      <c r="T289" s="2394"/>
      <c r="U289" s="2394"/>
      <c r="V289" s="2394"/>
      <c r="W289" s="2394"/>
      <c r="X289" s="2394"/>
      <c r="BB289" s="2395"/>
      <c r="BC289" s="2396"/>
      <c r="BD289" s="2397"/>
      <c r="BE289" s="2397"/>
      <c r="BF289" s="2398"/>
    </row>
    <row r="290" spans="5:58" s="2390" customFormat="1" x14ac:dyDescent="0.2">
      <c r="E290" s="2391"/>
      <c r="G290" s="2391"/>
      <c r="N290" s="2392"/>
      <c r="O290" s="2393"/>
      <c r="S290" s="2394"/>
      <c r="T290" s="2394"/>
      <c r="U290" s="2394"/>
      <c r="V290" s="2394"/>
      <c r="W290" s="2394"/>
      <c r="X290" s="2394"/>
      <c r="BB290" s="2395"/>
      <c r="BC290" s="2396"/>
      <c r="BD290" s="2397"/>
      <c r="BE290" s="2397"/>
      <c r="BF290" s="2398"/>
    </row>
    <row r="291" spans="5:58" s="2390" customFormat="1" x14ac:dyDescent="0.2">
      <c r="E291" s="2391"/>
      <c r="G291" s="2391"/>
      <c r="N291" s="2392"/>
      <c r="O291" s="2393"/>
      <c r="S291" s="2394"/>
      <c r="T291" s="2394"/>
      <c r="U291" s="2394"/>
      <c r="V291" s="2394"/>
      <c r="W291" s="2394"/>
      <c r="X291" s="2394"/>
      <c r="BB291" s="2395"/>
      <c r="BC291" s="2396"/>
      <c r="BD291" s="2397"/>
      <c r="BE291" s="2397"/>
      <c r="BF291" s="2398"/>
    </row>
    <row r="292" spans="5:58" s="2390" customFormat="1" x14ac:dyDescent="0.2">
      <c r="E292" s="2391"/>
      <c r="G292" s="2391"/>
      <c r="N292" s="2392"/>
      <c r="O292" s="2393"/>
      <c r="S292" s="2394"/>
      <c r="T292" s="2394"/>
      <c r="U292" s="2394"/>
      <c r="V292" s="2394"/>
      <c r="W292" s="2394"/>
      <c r="X292" s="2394"/>
      <c r="BB292" s="2395"/>
      <c r="BC292" s="2396"/>
      <c r="BD292" s="2397"/>
      <c r="BE292" s="2397"/>
      <c r="BF292" s="2398"/>
    </row>
    <row r="293" spans="5:58" s="2390" customFormat="1" x14ac:dyDescent="0.2">
      <c r="E293" s="2391"/>
      <c r="G293" s="2391"/>
      <c r="N293" s="2392"/>
      <c r="O293" s="2393"/>
      <c r="S293" s="2394"/>
      <c r="T293" s="2394"/>
      <c r="U293" s="2394"/>
      <c r="V293" s="2394"/>
      <c r="W293" s="2394"/>
      <c r="X293" s="2394"/>
      <c r="BB293" s="2395"/>
      <c r="BC293" s="2396"/>
      <c r="BD293" s="2397"/>
      <c r="BE293" s="2397"/>
      <c r="BF293" s="2398"/>
    </row>
    <row r="294" spans="5:58" s="2390" customFormat="1" x14ac:dyDescent="0.2">
      <c r="E294" s="2391"/>
      <c r="G294" s="2391"/>
      <c r="N294" s="2392"/>
      <c r="O294" s="2393"/>
      <c r="S294" s="2394"/>
      <c r="T294" s="2394"/>
      <c r="U294" s="2394"/>
      <c r="V294" s="2394"/>
      <c r="W294" s="2394"/>
      <c r="X294" s="2394"/>
      <c r="BB294" s="2395"/>
      <c r="BC294" s="2396"/>
      <c r="BD294" s="2397"/>
      <c r="BE294" s="2397"/>
      <c r="BF294" s="2398"/>
    </row>
    <row r="295" spans="5:58" s="2390" customFormat="1" x14ac:dyDescent="0.2">
      <c r="E295" s="2391"/>
      <c r="G295" s="2391"/>
      <c r="N295" s="2392"/>
      <c r="O295" s="2393"/>
      <c r="S295" s="2394"/>
      <c r="T295" s="2394"/>
      <c r="U295" s="2394"/>
      <c r="V295" s="2394"/>
      <c r="W295" s="2394"/>
      <c r="X295" s="2394"/>
      <c r="BB295" s="2395"/>
      <c r="BC295" s="2396"/>
      <c r="BD295" s="2397"/>
      <c r="BE295" s="2397"/>
      <c r="BF295" s="2398"/>
    </row>
    <row r="296" spans="5:58" s="2390" customFormat="1" x14ac:dyDescent="0.2">
      <c r="E296" s="2391"/>
      <c r="G296" s="2391"/>
      <c r="N296" s="2392"/>
      <c r="O296" s="2393"/>
      <c r="S296" s="2394"/>
      <c r="T296" s="2394"/>
      <c r="U296" s="2394"/>
      <c r="V296" s="2394"/>
      <c r="W296" s="2394"/>
      <c r="X296" s="2394"/>
      <c r="BB296" s="2395"/>
      <c r="BC296" s="2396"/>
      <c r="BD296" s="2397"/>
      <c r="BE296" s="2397"/>
      <c r="BF296" s="2398"/>
    </row>
    <row r="297" spans="5:58" s="2390" customFormat="1" x14ac:dyDescent="0.2">
      <c r="E297" s="2391"/>
      <c r="G297" s="2391"/>
      <c r="N297" s="2392"/>
      <c r="O297" s="2393"/>
      <c r="S297" s="2394"/>
      <c r="T297" s="2394"/>
      <c r="U297" s="2394"/>
      <c r="V297" s="2394"/>
      <c r="W297" s="2394"/>
      <c r="X297" s="2394"/>
      <c r="BB297" s="2395"/>
      <c r="BC297" s="2396"/>
      <c r="BD297" s="2397"/>
      <c r="BE297" s="2397"/>
      <c r="BF297" s="2398"/>
    </row>
    <row r="298" spans="5:58" s="2390" customFormat="1" x14ac:dyDescent="0.2">
      <c r="E298" s="2391"/>
      <c r="G298" s="2391"/>
      <c r="N298" s="2392"/>
      <c r="O298" s="2393"/>
      <c r="S298" s="2394"/>
      <c r="T298" s="2394"/>
      <c r="U298" s="2394"/>
      <c r="V298" s="2394"/>
      <c r="W298" s="2394"/>
      <c r="X298" s="2394"/>
      <c r="BB298" s="2395"/>
      <c r="BC298" s="2396"/>
      <c r="BD298" s="2397"/>
      <c r="BE298" s="2397"/>
      <c r="BF298" s="2398"/>
    </row>
    <row r="299" spans="5:58" s="2390" customFormat="1" x14ac:dyDescent="0.2">
      <c r="E299" s="2391"/>
      <c r="G299" s="2391"/>
      <c r="N299" s="2392"/>
      <c r="O299" s="2393"/>
      <c r="S299" s="2394"/>
      <c r="T299" s="2394"/>
      <c r="U299" s="2394"/>
      <c r="V299" s="2394"/>
      <c r="W299" s="2394"/>
      <c r="X299" s="2394"/>
      <c r="BB299" s="2395"/>
      <c r="BC299" s="2396"/>
      <c r="BD299" s="2397"/>
      <c r="BE299" s="2397"/>
      <c r="BF299" s="2398"/>
    </row>
    <row r="300" spans="5:58" s="2390" customFormat="1" x14ac:dyDescent="0.2">
      <c r="E300" s="2391"/>
      <c r="G300" s="2391"/>
      <c r="N300" s="2392"/>
      <c r="O300" s="2393"/>
      <c r="S300" s="2394"/>
      <c r="T300" s="2394"/>
      <c r="U300" s="2394"/>
      <c r="V300" s="2394"/>
      <c r="W300" s="2394"/>
      <c r="X300" s="2394"/>
      <c r="BB300" s="2395"/>
      <c r="BC300" s="2396"/>
      <c r="BD300" s="2397"/>
      <c r="BE300" s="2397"/>
      <c r="BF300" s="2398"/>
    </row>
    <row r="301" spans="5:58" s="2390" customFormat="1" x14ac:dyDescent="0.2">
      <c r="E301" s="2391"/>
      <c r="G301" s="2391"/>
      <c r="N301" s="2392"/>
      <c r="O301" s="2393"/>
      <c r="S301" s="2394"/>
      <c r="T301" s="2394"/>
      <c r="U301" s="2394"/>
      <c r="V301" s="2394"/>
      <c r="W301" s="2394"/>
      <c r="X301" s="2394"/>
      <c r="BB301" s="2395"/>
      <c r="BC301" s="2396"/>
      <c r="BD301" s="2397"/>
      <c r="BE301" s="2397"/>
      <c r="BF301" s="2398"/>
    </row>
    <row r="302" spans="5:58" s="2390" customFormat="1" x14ac:dyDescent="0.2">
      <c r="E302" s="2391"/>
      <c r="G302" s="2391"/>
      <c r="N302" s="2392"/>
      <c r="O302" s="2393"/>
      <c r="S302" s="2394"/>
      <c r="T302" s="2394"/>
      <c r="U302" s="2394"/>
      <c r="V302" s="2394"/>
      <c r="W302" s="2394"/>
      <c r="X302" s="2394"/>
      <c r="BB302" s="2395"/>
      <c r="BC302" s="2396"/>
      <c r="BD302" s="2397"/>
      <c r="BE302" s="2397"/>
      <c r="BF302" s="2398"/>
    </row>
    <row r="303" spans="5:58" s="2390" customFormat="1" x14ac:dyDescent="0.2">
      <c r="E303" s="2391"/>
      <c r="G303" s="2391"/>
      <c r="N303" s="2392"/>
      <c r="O303" s="2393"/>
      <c r="S303" s="2394"/>
      <c r="T303" s="2394"/>
      <c r="U303" s="2394"/>
      <c r="V303" s="2394"/>
      <c r="W303" s="2394"/>
      <c r="X303" s="2394"/>
      <c r="BB303" s="2395"/>
      <c r="BC303" s="2396"/>
      <c r="BD303" s="2397"/>
      <c r="BE303" s="2397"/>
      <c r="BF303" s="2398"/>
    </row>
    <row r="304" spans="5:58" s="2390" customFormat="1" x14ac:dyDescent="0.2">
      <c r="E304" s="2391"/>
      <c r="G304" s="2391"/>
      <c r="N304" s="2392"/>
      <c r="O304" s="2393"/>
      <c r="S304" s="2394"/>
      <c r="T304" s="2394"/>
      <c r="U304" s="2394"/>
      <c r="V304" s="2394"/>
      <c r="W304" s="2394"/>
      <c r="X304" s="2394"/>
      <c r="BB304" s="2395"/>
      <c r="BC304" s="2396"/>
      <c r="BD304" s="2397"/>
      <c r="BE304" s="2397"/>
      <c r="BF304" s="2398"/>
    </row>
    <row r="305" spans="5:58" s="2390" customFormat="1" x14ac:dyDescent="0.2">
      <c r="E305" s="2391"/>
      <c r="G305" s="2391"/>
      <c r="N305" s="2392"/>
      <c r="O305" s="2393"/>
      <c r="S305" s="2394"/>
      <c r="T305" s="2394"/>
      <c r="U305" s="2394"/>
      <c r="V305" s="2394"/>
      <c r="W305" s="2394"/>
      <c r="X305" s="2394"/>
      <c r="BB305" s="2395"/>
      <c r="BC305" s="2396"/>
      <c r="BD305" s="2397"/>
      <c r="BE305" s="2397"/>
      <c r="BF305" s="2398"/>
    </row>
    <row r="306" spans="5:58" s="2390" customFormat="1" x14ac:dyDescent="0.2">
      <c r="E306" s="2391"/>
      <c r="G306" s="2391"/>
      <c r="N306" s="2392"/>
      <c r="O306" s="2393"/>
      <c r="S306" s="2394"/>
      <c r="T306" s="2394"/>
      <c r="U306" s="2394"/>
      <c r="V306" s="2394"/>
      <c r="W306" s="2394"/>
      <c r="X306" s="2394"/>
      <c r="BB306" s="2395"/>
      <c r="BC306" s="2396"/>
      <c r="BD306" s="2397"/>
      <c r="BE306" s="2397"/>
      <c r="BF306" s="2398"/>
    </row>
    <row r="307" spans="5:58" s="2390" customFormat="1" x14ac:dyDescent="0.2">
      <c r="E307" s="2391"/>
      <c r="G307" s="2391"/>
      <c r="N307" s="2392"/>
      <c r="O307" s="2393"/>
      <c r="S307" s="2394"/>
      <c r="T307" s="2394"/>
      <c r="U307" s="2394"/>
      <c r="V307" s="2394"/>
      <c r="W307" s="2394"/>
      <c r="X307" s="2394"/>
      <c r="BB307" s="2395"/>
      <c r="BC307" s="2396"/>
      <c r="BD307" s="2397"/>
      <c r="BE307" s="2397"/>
      <c r="BF307" s="2398"/>
    </row>
    <row r="308" spans="5:58" s="2390" customFormat="1" x14ac:dyDescent="0.2">
      <c r="E308" s="2391"/>
      <c r="G308" s="2391"/>
      <c r="N308" s="2392"/>
      <c r="O308" s="2393"/>
      <c r="S308" s="2394"/>
      <c r="T308" s="2394"/>
      <c r="U308" s="2394"/>
      <c r="V308" s="2394"/>
      <c r="W308" s="2394"/>
      <c r="X308" s="2394"/>
      <c r="BB308" s="2395"/>
      <c r="BC308" s="2396"/>
      <c r="BD308" s="2397"/>
      <c r="BE308" s="2397"/>
      <c r="BF308" s="2398"/>
    </row>
    <row r="309" spans="5:58" s="2390" customFormat="1" x14ac:dyDescent="0.2">
      <c r="E309" s="2391"/>
      <c r="G309" s="2391"/>
      <c r="N309" s="2392"/>
      <c r="O309" s="2393"/>
      <c r="S309" s="2394"/>
      <c r="T309" s="2394"/>
      <c r="U309" s="2394"/>
      <c r="V309" s="2394"/>
      <c r="W309" s="2394"/>
      <c r="X309" s="2394"/>
      <c r="BB309" s="2395"/>
      <c r="BC309" s="2396"/>
      <c r="BD309" s="2397"/>
      <c r="BE309" s="2397"/>
      <c r="BF309" s="2398"/>
    </row>
    <row r="310" spans="5:58" s="2390" customFormat="1" x14ac:dyDescent="0.2">
      <c r="E310" s="2391"/>
      <c r="G310" s="2391"/>
      <c r="N310" s="2392"/>
      <c r="O310" s="2393"/>
      <c r="S310" s="2394"/>
      <c r="T310" s="2394"/>
      <c r="U310" s="2394"/>
      <c r="V310" s="2394"/>
      <c r="W310" s="2394"/>
      <c r="X310" s="2394"/>
      <c r="BB310" s="2395"/>
      <c r="BC310" s="2396"/>
      <c r="BD310" s="2397"/>
      <c r="BE310" s="2397"/>
      <c r="BF310" s="2398"/>
    </row>
    <row r="311" spans="5:58" s="2390" customFormat="1" x14ac:dyDescent="0.2">
      <c r="E311" s="2391"/>
      <c r="G311" s="2391"/>
      <c r="N311" s="2392"/>
      <c r="O311" s="2393"/>
      <c r="S311" s="2394"/>
      <c r="T311" s="2394"/>
      <c r="U311" s="2394"/>
      <c r="V311" s="2394"/>
      <c r="W311" s="2394"/>
      <c r="X311" s="2394"/>
      <c r="BB311" s="2395"/>
      <c r="BC311" s="2396"/>
      <c r="BD311" s="2397"/>
      <c r="BE311" s="2397"/>
      <c r="BF311" s="2398"/>
    </row>
    <row r="312" spans="5:58" s="2390" customFormat="1" x14ac:dyDescent="0.2">
      <c r="E312" s="2391"/>
      <c r="G312" s="2391"/>
      <c r="N312" s="2392"/>
      <c r="O312" s="2393"/>
      <c r="S312" s="2394"/>
      <c r="T312" s="2394"/>
      <c r="U312" s="2394"/>
      <c r="V312" s="2394"/>
      <c r="W312" s="2394"/>
      <c r="X312" s="2394"/>
      <c r="BB312" s="2395"/>
      <c r="BC312" s="2396"/>
      <c r="BD312" s="2397"/>
      <c r="BE312" s="2397"/>
      <c r="BF312" s="2398"/>
    </row>
    <row r="313" spans="5:58" s="2390" customFormat="1" x14ac:dyDescent="0.2">
      <c r="E313" s="2391"/>
      <c r="G313" s="2391"/>
      <c r="N313" s="2392"/>
      <c r="O313" s="2393"/>
      <c r="S313" s="2394"/>
      <c r="T313" s="2394"/>
      <c r="U313" s="2394"/>
      <c r="V313" s="2394"/>
      <c r="W313" s="2394"/>
      <c r="X313" s="2394"/>
      <c r="BB313" s="2395"/>
      <c r="BC313" s="2396"/>
      <c r="BD313" s="2397"/>
      <c r="BE313" s="2397"/>
      <c r="BF313" s="2398"/>
    </row>
    <row r="314" spans="5:58" s="2390" customFormat="1" x14ac:dyDescent="0.2">
      <c r="E314" s="2391"/>
      <c r="G314" s="2391"/>
      <c r="N314" s="2392"/>
      <c r="O314" s="2393"/>
      <c r="S314" s="2394"/>
      <c r="T314" s="2394"/>
      <c r="U314" s="2394"/>
      <c r="V314" s="2394"/>
      <c r="W314" s="2394"/>
      <c r="X314" s="2394"/>
      <c r="BB314" s="2395"/>
      <c r="BC314" s="2396"/>
      <c r="BD314" s="2397"/>
      <c r="BE314" s="2397"/>
      <c r="BF314" s="2398"/>
    </row>
    <row r="315" spans="5:58" s="2390" customFormat="1" x14ac:dyDescent="0.2">
      <c r="E315" s="2391"/>
      <c r="G315" s="2391"/>
      <c r="N315" s="2392"/>
      <c r="O315" s="2393"/>
      <c r="S315" s="2394"/>
      <c r="T315" s="2394"/>
      <c r="U315" s="2394"/>
      <c r="V315" s="2394"/>
      <c r="W315" s="2394"/>
      <c r="X315" s="2394"/>
      <c r="BB315" s="2395"/>
      <c r="BC315" s="2396"/>
      <c r="BD315" s="2397"/>
      <c r="BE315" s="2397"/>
      <c r="BF315" s="2398"/>
    </row>
    <row r="316" spans="5:58" s="2390" customFormat="1" x14ac:dyDescent="0.2">
      <c r="E316" s="2391"/>
      <c r="G316" s="2391"/>
      <c r="N316" s="2392"/>
      <c r="O316" s="2393"/>
      <c r="S316" s="2394"/>
      <c r="T316" s="2394"/>
      <c r="U316" s="2394"/>
      <c r="V316" s="2394"/>
      <c r="W316" s="2394"/>
      <c r="X316" s="2394"/>
      <c r="BB316" s="2395"/>
      <c r="BC316" s="2396"/>
      <c r="BD316" s="2397"/>
      <c r="BE316" s="2397"/>
      <c r="BF316" s="2398"/>
    </row>
    <row r="317" spans="5:58" s="2390" customFormat="1" x14ac:dyDescent="0.2">
      <c r="E317" s="2391"/>
      <c r="G317" s="2391"/>
      <c r="N317" s="2392"/>
      <c r="O317" s="2393"/>
      <c r="S317" s="2394"/>
      <c r="T317" s="2394"/>
      <c r="U317" s="2394"/>
      <c r="V317" s="2394"/>
      <c r="W317" s="2394"/>
      <c r="X317" s="2394"/>
      <c r="BB317" s="2395"/>
      <c r="BC317" s="2396"/>
      <c r="BD317" s="2397"/>
      <c r="BE317" s="2397"/>
      <c r="BF317" s="2398"/>
    </row>
    <row r="318" spans="5:58" s="2390" customFormat="1" x14ac:dyDescent="0.2">
      <c r="E318" s="2391"/>
      <c r="G318" s="2391"/>
      <c r="N318" s="2392"/>
      <c r="O318" s="2393"/>
      <c r="S318" s="2394"/>
      <c r="T318" s="2394"/>
      <c r="U318" s="2394"/>
      <c r="V318" s="2394"/>
      <c r="W318" s="2394"/>
      <c r="X318" s="2394"/>
      <c r="BB318" s="2395"/>
      <c r="BC318" s="2396"/>
      <c r="BD318" s="2397"/>
      <c r="BE318" s="2397"/>
      <c r="BF318" s="2398"/>
    </row>
    <row r="319" spans="5:58" s="2390" customFormat="1" x14ac:dyDescent="0.2">
      <c r="E319" s="2391"/>
      <c r="G319" s="2391"/>
      <c r="N319" s="2392"/>
      <c r="O319" s="2393"/>
      <c r="S319" s="2394"/>
      <c r="T319" s="2394"/>
      <c r="U319" s="2394"/>
      <c r="V319" s="2394"/>
      <c r="W319" s="2394"/>
      <c r="X319" s="2394"/>
      <c r="BB319" s="2395"/>
      <c r="BC319" s="2396"/>
      <c r="BD319" s="2397"/>
      <c r="BE319" s="2397"/>
      <c r="BF319" s="2398"/>
    </row>
    <row r="320" spans="5:58" s="2390" customFormat="1" x14ac:dyDescent="0.2">
      <c r="E320" s="2391"/>
      <c r="G320" s="2391"/>
      <c r="N320" s="2392"/>
      <c r="O320" s="2393"/>
      <c r="S320" s="2394"/>
      <c r="T320" s="2394"/>
      <c r="U320" s="2394"/>
      <c r="V320" s="2394"/>
      <c r="W320" s="2394"/>
      <c r="X320" s="2394"/>
      <c r="BB320" s="2395"/>
      <c r="BC320" s="2396"/>
      <c r="BD320" s="2397"/>
      <c r="BE320" s="2397"/>
      <c r="BF320" s="2398"/>
    </row>
    <row r="321" spans="5:58" s="2390" customFormat="1" x14ac:dyDescent="0.2">
      <c r="E321" s="2391"/>
      <c r="G321" s="2391"/>
      <c r="N321" s="2392"/>
      <c r="O321" s="2393"/>
      <c r="S321" s="2394"/>
      <c r="T321" s="2394"/>
      <c r="U321" s="2394"/>
      <c r="V321" s="2394"/>
      <c r="W321" s="2394"/>
      <c r="X321" s="2394"/>
      <c r="BB321" s="2395"/>
      <c r="BC321" s="2396"/>
      <c r="BD321" s="2397"/>
      <c r="BE321" s="2397"/>
      <c r="BF321" s="2398"/>
    </row>
    <row r="322" spans="5:58" s="2390" customFormat="1" x14ac:dyDescent="0.2">
      <c r="E322" s="2391"/>
      <c r="G322" s="2391"/>
      <c r="N322" s="2392"/>
      <c r="O322" s="2393"/>
      <c r="S322" s="2394"/>
      <c r="T322" s="2394"/>
      <c r="U322" s="2394"/>
      <c r="V322" s="2394"/>
      <c r="W322" s="2394"/>
      <c r="X322" s="2394"/>
      <c r="BB322" s="2395"/>
      <c r="BC322" s="2396"/>
      <c r="BD322" s="2397"/>
      <c r="BE322" s="2397"/>
      <c r="BF322" s="2398"/>
    </row>
    <row r="323" spans="5:58" s="2390" customFormat="1" x14ac:dyDescent="0.2">
      <c r="E323" s="2391"/>
      <c r="G323" s="2391"/>
      <c r="N323" s="2392"/>
      <c r="O323" s="2393"/>
      <c r="S323" s="2394"/>
      <c r="T323" s="2394"/>
      <c r="U323" s="2394"/>
      <c r="V323" s="2394"/>
      <c r="W323" s="2394"/>
      <c r="X323" s="2394"/>
      <c r="BB323" s="2395"/>
      <c r="BC323" s="2396"/>
      <c r="BD323" s="2397"/>
      <c r="BE323" s="2397"/>
      <c r="BF323" s="2398"/>
    </row>
    <row r="324" spans="5:58" s="2390" customFormat="1" x14ac:dyDescent="0.2">
      <c r="E324" s="2391"/>
      <c r="G324" s="2391"/>
      <c r="N324" s="2392"/>
      <c r="O324" s="2393"/>
      <c r="S324" s="2394"/>
      <c r="T324" s="2394"/>
      <c r="U324" s="2394"/>
      <c r="V324" s="2394"/>
      <c r="W324" s="2394"/>
      <c r="X324" s="2394"/>
      <c r="BB324" s="2395"/>
      <c r="BC324" s="2396"/>
      <c r="BD324" s="2397"/>
      <c r="BE324" s="2397"/>
      <c r="BF324" s="2398"/>
    </row>
    <row r="325" spans="5:58" s="2390" customFormat="1" x14ac:dyDescent="0.2">
      <c r="E325" s="2391"/>
      <c r="G325" s="2391"/>
      <c r="N325" s="2392"/>
      <c r="O325" s="2393"/>
      <c r="S325" s="2394"/>
      <c r="T325" s="2394"/>
      <c r="U325" s="2394"/>
      <c r="V325" s="2394"/>
      <c r="W325" s="2394"/>
      <c r="X325" s="2394"/>
      <c r="BB325" s="2395"/>
      <c r="BC325" s="2396"/>
      <c r="BD325" s="2397"/>
      <c r="BE325" s="2397"/>
      <c r="BF325" s="2398"/>
    </row>
    <row r="326" spans="5:58" s="2390" customFormat="1" x14ac:dyDescent="0.2">
      <c r="E326" s="2391"/>
      <c r="G326" s="2391"/>
      <c r="N326" s="2392"/>
      <c r="O326" s="2393"/>
      <c r="S326" s="2394"/>
      <c r="T326" s="2394"/>
      <c r="U326" s="2394"/>
      <c r="V326" s="2394"/>
      <c r="W326" s="2394"/>
      <c r="X326" s="2394"/>
      <c r="BB326" s="2395"/>
      <c r="BC326" s="2396"/>
      <c r="BD326" s="2397"/>
      <c r="BE326" s="2397"/>
      <c r="BF326" s="2398"/>
    </row>
    <row r="327" spans="5:58" s="2390" customFormat="1" x14ac:dyDescent="0.2">
      <c r="E327" s="2391"/>
      <c r="G327" s="2391"/>
      <c r="N327" s="2392"/>
      <c r="O327" s="2393"/>
      <c r="S327" s="2394"/>
      <c r="T327" s="2394"/>
      <c r="U327" s="2394"/>
      <c r="V327" s="2394"/>
      <c r="W327" s="2394"/>
      <c r="X327" s="2394"/>
      <c r="BB327" s="2395"/>
      <c r="BC327" s="2396"/>
      <c r="BD327" s="2397"/>
      <c r="BE327" s="2397"/>
      <c r="BF327" s="2398"/>
    </row>
    <row r="328" spans="5:58" s="2390" customFormat="1" x14ac:dyDescent="0.2">
      <c r="E328" s="2391"/>
      <c r="G328" s="2391"/>
      <c r="N328" s="2392"/>
      <c r="O328" s="2393"/>
      <c r="S328" s="2394"/>
      <c r="T328" s="2394"/>
      <c r="U328" s="2394"/>
      <c r="V328" s="2394"/>
      <c r="W328" s="2394"/>
      <c r="X328" s="2394"/>
      <c r="BB328" s="2395"/>
      <c r="BC328" s="2396"/>
      <c r="BD328" s="2397"/>
      <c r="BE328" s="2397"/>
      <c r="BF328" s="2398"/>
    </row>
    <row r="329" spans="5:58" s="2390" customFormat="1" x14ac:dyDescent="0.2">
      <c r="E329" s="2391"/>
      <c r="G329" s="2391"/>
      <c r="N329" s="2392"/>
      <c r="O329" s="2393"/>
      <c r="S329" s="2394"/>
      <c r="T329" s="2394"/>
      <c r="U329" s="2394"/>
      <c r="V329" s="2394"/>
      <c r="W329" s="2394"/>
      <c r="X329" s="2394"/>
      <c r="BB329" s="2395"/>
      <c r="BC329" s="2396"/>
      <c r="BD329" s="2397"/>
      <c r="BE329" s="2397"/>
      <c r="BF329" s="2398"/>
    </row>
    <row r="330" spans="5:58" s="2390" customFormat="1" x14ac:dyDescent="0.2">
      <c r="E330" s="2391"/>
      <c r="G330" s="2391"/>
      <c r="N330" s="2392"/>
      <c r="O330" s="2393"/>
      <c r="S330" s="2394"/>
      <c r="T330" s="2394"/>
      <c r="U330" s="2394"/>
      <c r="V330" s="2394"/>
      <c r="W330" s="2394"/>
      <c r="X330" s="2394"/>
      <c r="BB330" s="2395"/>
      <c r="BC330" s="2396"/>
      <c r="BD330" s="2397"/>
      <c r="BE330" s="2397"/>
      <c r="BF330" s="2398"/>
    </row>
    <row r="331" spans="5:58" s="2390" customFormat="1" x14ac:dyDescent="0.2">
      <c r="E331" s="2391"/>
      <c r="G331" s="2391"/>
      <c r="N331" s="2392"/>
      <c r="O331" s="2393"/>
      <c r="S331" s="2394"/>
      <c r="T331" s="2394"/>
      <c r="U331" s="2394"/>
      <c r="V331" s="2394"/>
      <c r="W331" s="2394"/>
      <c r="X331" s="2394"/>
      <c r="BB331" s="2395"/>
      <c r="BC331" s="2396"/>
      <c r="BD331" s="2397"/>
      <c r="BE331" s="2397"/>
      <c r="BF331" s="2398"/>
    </row>
    <row r="332" spans="5:58" s="2390" customFormat="1" x14ac:dyDescent="0.2">
      <c r="E332" s="2391"/>
      <c r="G332" s="2391"/>
      <c r="N332" s="2392"/>
      <c r="O332" s="2393"/>
      <c r="S332" s="2394"/>
      <c r="T332" s="2394"/>
      <c r="U332" s="2394"/>
      <c r="V332" s="2394"/>
      <c r="W332" s="2394"/>
      <c r="X332" s="2394"/>
      <c r="BB332" s="2395"/>
      <c r="BC332" s="2396"/>
      <c r="BD332" s="2397"/>
      <c r="BE332" s="2397"/>
      <c r="BF332" s="2398"/>
    </row>
    <row r="333" spans="5:58" s="2390" customFormat="1" x14ac:dyDescent="0.2">
      <c r="E333" s="2391"/>
      <c r="G333" s="2391"/>
      <c r="N333" s="2392"/>
      <c r="O333" s="2393"/>
      <c r="S333" s="2394"/>
      <c r="T333" s="2394"/>
      <c r="U333" s="2394"/>
      <c r="V333" s="2394"/>
      <c r="W333" s="2394"/>
      <c r="X333" s="2394"/>
      <c r="BB333" s="2395"/>
      <c r="BC333" s="2396"/>
      <c r="BD333" s="2397"/>
      <c r="BE333" s="2397"/>
      <c r="BF333" s="2398"/>
    </row>
    <row r="334" spans="5:58" s="2390" customFormat="1" x14ac:dyDescent="0.2">
      <c r="E334" s="2391"/>
      <c r="G334" s="2391"/>
      <c r="N334" s="2392"/>
      <c r="O334" s="2393"/>
      <c r="S334" s="2394"/>
      <c r="T334" s="2394"/>
      <c r="U334" s="2394"/>
      <c r="V334" s="2394"/>
      <c r="W334" s="2394"/>
      <c r="X334" s="2394"/>
      <c r="BB334" s="2395"/>
      <c r="BC334" s="2396"/>
      <c r="BD334" s="2397"/>
      <c r="BE334" s="2397"/>
      <c r="BF334" s="2398"/>
    </row>
    <row r="335" spans="5:58" s="2390" customFormat="1" x14ac:dyDescent="0.2">
      <c r="E335" s="2391"/>
      <c r="G335" s="2391"/>
      <c r="N335" s="2392"/>
      <c r="O335" s="2393"/>
      <c r="S335" s="2394"/>
      <c r="T335" s="2394"/>
      <c r="U335" s="2394"/>
      <c r="V335" s="2394"/>
      <c r="W335" s="2394"/>
      <c r="X335" s="2394"/>
      <c r="BB335" s="2395"/>
      <c r="BC335" s="2396"/>
      <c r="BD335" s="2397"/>
      <c r="BE335" s="2397"/>
      <c r="BF335" s="2398"/>
    </row>
    <row r="336" spans="5:58" s="2390" customFormat="1" x14ac:dyDescent="0.2">
      <c r="E336" s="2391"/>
      <c r="G336" s="2391"/>
      <c r="N336" s="2392"/>
      <c r="O336" s="2393"/>
      <c r="S336" s="2394"/>
      <c r="T336" s="2394"/>
      <c r="U336" s="2394"/>
      <c r="V336" s="2394"/>
      <c r="W336" s="2394"/>
      <c r="X336" s="2394"/>
      <c r="BB336" s="2395"/>
      <c r="BC336" s="2396"/>
      <c r="BD336" s="2397"/>
      <c r="BE336" s="2397"/>
      <c r="BF336" s="2398"/>
    </row>
    <row r="337" spans="5:58" s="2390" customFormat="1" x14ac:dyDescent="0.2">
      <c r="E337" s="2391"/>
      <c r="G337" s="2391"/>
      <c r="N337" s="2392"/>
      <c r="O337" s="2393"/>
      <c r="S337" s="2394"/>
      <c r="T337" s="2394"/>
      <c r="U337" s="2394"/>
      <c r="V337" s="2394"/>
      <c r="W337" s="2394"/>
      <c r="X337" s="2394"/>
      <c r="BB337" s="2395"/>
      <c r="BC337" s="2396"/>
      <c r="BD337" s="2397"/>
      <c r="BE337" s="2397"/>
      <c r="BF337" s="2398"/>
    </row>
    <row r="338" spans="5:58" s="2390" customFormat="1" x14ac:dyDescent="0.2">
      <c r="E338" s="2391"/>
      <c r="G338" s="2391"/>
      <c r="N338" s="2392"/>
      <c r="O338" s="2393"/>
      <c r="S338" s="2394"/>
      <c r="T338" s="2394"/>
      <c r="U338" s="2394"/>
      <c r="V338" s="2394"/>
      <c r="W338" s="2394"/>
      <c r="X338" s="2394"/>
      <c r="BB338" s="2395"/>
      <c r="BC338" s="2396"/>
      <c r="BD338" s="2397"/>
      <c r="BE338" s="2397"/>
      <c r="BF338" s="2398"/>
    </row>
    <row r="339" spans="5:58" s="2390" customFormat="1" x14ac:dyDescent="0.2">
      <c r="E339" s="2391"/>
      <c r="G339" s="2391"/>
      <c r="N339" s="2392"/>
      <c r="O339" s="2393"/>
      <c r="S339" s="2394"/>
      <c r="T339" s="2394"/>
      <c r="U339" s="2394"/>
      <c r="V339" s="2394"/>
      <c r="W339" s="2394"/>
      <c r="X339" s="2394"/>
      <c r="BB339" s="2395"/>
      <c r="BC339" s="2396"/>
      <c r="BD339" s="2397"/>
      <c r="BE339" s="2397"/>
      <c r="BF339" s="2398"/>
    </row>
    <row r="340" spans="5:58" s="2390" customFormat="1" x14ac:dyDescent="0.2">
      <c r="E340" s="2391"/>
      <c r="G340" s="2391"/>
      <c r="N340" s="2392"/>
      <c r="O340" s="2393"/>
      <c r="S340" s="2394"/>
      <c r="T340" s="2394"/>
      <c r="U340" s="2394"/>
      <c r="V340" s="2394"/>
      <c r="W340" s="2394"/>
      <c r="X340" s="2394"/>
      <c r="BB340" s="2395"/>
      <c r="BC340" s="2396"/>
      <c r="BD340" s="2397"/>
      <c r="BE340" s="2397"/>
      <c r="BF340" s="2398"/>
    </row>
    <row r="341" spans="5:58" s="2390" customFormat="1" x14ac:dyDescent="0.2">
      <c r="E341" s="2391"/>
      <c r="G341" s="2391"/>
      <c r="N341" s="2392"/>
      <c r="O341" s="2393"/>
      <c r="S341" s="2394"/>
      <c r="T341" s="2394"/>
      <c r="U341" s="2394"/>
      <c r="V341" s="2394"/>
      <c r="W341" s="2394"/>
      <c r="X341" s="2394"/>
      <c r="BB341" s="2395"/>
      <c r="BC341" s="2396"/>
      <c r="BD341" s="2397"/>
      <c r="BE341" s="2397"/>
      <c r="BF341" s="2398"/>
    </row>
    <row r="342" spans="5:58" s="2390" customFormat="1" x14ac:dyDescent="0.2">
      <c r="E342" s="2391"/>
      <c r="G342" s="2391"/>
      <c r="N342" s="2392"/>
      <c r="O342" s="2393"/>
      <c r="S342" s="2394"/>
      <c r="T342" s="2394"/>
      <c r="U342" s="2394"/>
      <c r="V342" s="2394"/>
      <c r="W342" s="2394"/>
      <c r="X342" s="2394"/>
      <c r="BB342" s="2395"/>
      <c r="BC342" s="2396"/>
      <c r="BD342" s="2397"/>
      <c r="BE342" s="2397"/>
      <c r="BF342" s="2398"/>
    </row>
    <row r="343" spans="5:58" s="2390" customFormat="1" x14ac:dyDescent="0.2">
      <c r="E343" s="2391"/>
      <c r="G343" s="2391"/>
      <c r="N343" s="2392"/>
      <c r="O343" s="2393"/>
      <c r="S343" s="2394"/>
      <c r="T343" s="2394"/>
      <c r="U343" s="2394"/>
      <c r="V343" s="2394"/>
      <c r="W343" s="2394"/>
      <c r="X343" s="2394"/>
      <c r="BB343" s="2395"/>
      <c r="BC343" s="2396"/>
      <c r="BD343" s="2397"/>
      <c r="BE343" s="2397"/>
      <c r="BF343" s="2398"/>
    </row>
    <row r="344" spans="5:58" s="2390" customFormat="1" x14ac:dyDescent="0.2">
      <c r="E344" s="2391"/>
      <c r="G344" s="2391"/>
      <c r="N344" s="2392"/>
      <c r="O344" s="2393"/>
      <c r="S344" s="2394"/>
      <c r="T344" s="2394"/>
      <c r="U344" s="2394"/>
      <c r="V344" s="2394"/>
      <c r="W344" s="2394"/>
      <c r="X344" s="2394"/>
      <c r="BB344" s="2395"/>
      <c r="BC344" s="2396"/>
      <c r="BD344" s="2397"/>
      <c r="BE344" s="2397"/>
      <c r="BF344" s="2398"/>
    </row>
    <row r="345" spans="5:58" s="2390" customFormat="1" x14ac:dyDescent="0.2">
      <c r="E345" s="2391"/>
      <c r="G345" s="2391"/>
      <c r="N345" s="2392"/>
      <c r="O345" s="2393"/>
      <c r="S345" s="2394"/>
      <c r="T345" s="2394"/>
      <c r="U345" s="2394"/>
      <c r="V345" s="2394"/>
      <c r="W345" s="2394"/>
      <c r="X345" s="2394"/>
      <c r="BB345" s="2395"/>
      <c r="BC345" s="2396"/>
      <c r="BD345" s="2397"/>
      <c r="BE345" s="2397"/>
      <c r="BF345" s="2398"/>
    </row>
    <row r="346" spans="5:58" s="2390" customFormat="1" x14ac:dyDescent="0.2">
      <c r="E346" s="2391"/>
      <c r="G346" s="2391"/>
      <c r="N346" s="2392"/>
      <c r="O346" s="2393"/>
      <c r="S346" s="2394"/>
      <c r="T346" s="2394"/>
      <c r="U346" s="2394"/>
      <c r="V346" s="2394"/>
      <c r="W346" s="2394"/>
      <c r="X346" s="2394"/>
      <c r="BB346" s="2395"/>
      <c r="BC346" s="2396"/>
      <c r="BD346" s="2397"/>
      <c r="BE346" s="2397"/>
      <c r="BF346" s="2398"/>
    </row>
    <row r="347" spans="5:58" s="2390" customFormat="1" x14ac:dyDescent="0.2">
      <c r="E347" s="2391"/>
      <c r="G347" s="2391"/>
      <c r="N347" s="2392"/>
      <c r="O347" s="2393"/>
      <c r="S347" s="2394"/>
      <c r="T347" s="2394"/>
      <c r="U347" s="2394"/>
      <c r="V347" s="2394"/>
      <c r="W347" s="2394"/>
      <c r="X347" s="2394"/>
      <c r="BB347" s="2395"/>
      <c r="BC347" s="2396"/>
      <c r="BD347" s="2397"/>
      <c r="BE347" s="2397"/>
      <c r="BF347" s="2398"/>
    </row>
    <row r="348" spans="5:58" s="2390" customFormat="1" x14ac:dyDescent="0.2">
      <c r="E348" s="2391"/>
      <c r="G348" s="2391"/>
      <c r="N348" s="2392"/>
      <c r="O348" s="2393"/>
      <c r="S348" s="2394"/>
      <c r="T348" s="2394"/>
      <c r="U348" s="2394"/>
      <c r="V348" s="2394"/>
      <c r="W348" s="2394"/>
      <c r="X348" s="2394"/>
      <c r="BB348" s="2395"/>
      <c r="BC348" s="2396"/>
      <c r="BD348" s="2397"/>
      <c r="BE348" s="2397"/>
      <c r="BF348" s="2398"/>
    </row>
    <row r="349" spans="5:58" s="2390" customFormat="1" x14ac:dyDescent="0.2">
      <c r="E349" s="2391"/>
      <c r="G349" s="2391"/>
      <c r="N349" s="2392"/>
      <c r="O349" s="2393"/>
      <c r="S349" s="2394"/>
      <c r="T349" s="2394"/>
      <c r="U349" s="2394"/>
      <c r="V349" s="2394"/>
      <c r="W349" s="2394"/>
      <c r="X349" s="2394"/>
      <c r="BB349" s="2395"/>
      <c r="BC349" s="2396"/>
      <c r="BD349" s="2397"/>
      <c r="BE349" s="2397"/>
      <c r="BF349" s="2398"/>
    </row>
    <row r="350" spans="5:58" s="2390" customFormat="1" x14ac:dyDescent="0.2">
      <c r="E350" s="2391"/>
      <c r="G350" s="2391"/>
      <c r="N350" s="2392"/>
      <c r="O350" s="2393"/>
      <c r="S350" s="2394"/>
      <c r="T350" s="2394"/>
      <c r="U350" s="2394"/>
      <c r="V350" s="2394"/>
      <c r="W350" s="2394"/>
      <c r="X350" s="2394"/>
      <c r="BB350" s="2395"/>
      <c r="BC350" s="2396"/>
      <c r="BD350" s="2397"/>
      <c r="BE350" s="2397"/>
      <c r="BF350" s="2398"/>
    </row>
    <row r="351" spans="5:58" s="2390" customFormat="1" x14ac:dyDescent="0.2">
      <c r="E351" s="2391"/>
      <c r="G351" s="2391"/>
      <c r="N351" s="2392"/>
      <c r="O351" s="2393"/>
      <c r="S351" s="2394"/>
      <c r="T351" s="2394"/>
      <c r="U351" s="2394"/>
      <c r="V351" s="2394"/>
      <c r="W351" s="2394"/>
      <c r="X351" s="2394"/>
      <c r="BB351" s="2395"/>
      <c r="BC351" s="2396"/>
      <c r="BD351" s="2397"/>
      <c r="BE351" s="2397"/>
      <c r="BF351" s="2398"/>
    </row>
    <row r="352" spans="5:58" s="2390" customFormat="1" x14ac:dyDescent="0.2">
      <c r="E352" s="2391"/>
      <c r="G352" s="2391"/>
      <c r="N352" s="2392"/>
      <c r="O352" s="2393"/>
      <c r="S352" s="2394"/>
      <c r="T352" s="2394"/>
      <c r="U352" s="2394"/>
      <c r="V352" s="2394"/>
      <c r="W352" s="2394"/>
      <c r="X352" s="2394"/>
      <c r="BB352" s="2395"/>
      <c r="BC352" s="2396"/>
      <c r="BD352" s="2397"/>
      <c r="BE352" s="2397"/>
      <c r="BF352" s="2398"/>
    </row>
    <row r="353" spans="5:58" s="2390" customFormat="1" x14ac:dyDescent="0.2">
      <c r="E353" s="2391"/>
      <c r="G353" s="2391"/>
      <c r="N353" s="2392"/>
      <c r="O353" s="2393"/>
      <c r="S353" s="2394"/>
      <c r="T353" s="2394"/>
      <c r="U353" s="2394"/>
      <c r="V353" s="2394"/>
      <c r="W353" s="2394"/>
      <c r="X353" s="2394"/>
      <c r="BB353" s="2395"/>
      <c r="BC353" s="2396"/>
      <c r="BD353" s="2397"/>
      <c r="BE353" s="2397"/>
      <c r="BF353" s="2398"/>
    </row>
    <row r="354" spans="5:58" s="2390" customFormat="1" x14ac:dyDescent="0.2">
      <c r="E354" s="2391"/>
      <c r="G354" s="2391"/>
      <c r="N354" s="2392"/>
      <c r="O354" s="2393"/>
      <c r="S354" s="2394"/>
      <c r="T354" s="2394"/>
      <c r="U354" s="2394"/>
      <c r="V354" s="2394"/>
      <c r="W354" s="2394"/>
      <c r="X354" s="2394"/>
      <c r="BB354" s="2395"/>
      <c r="BC354" s="2396"/>
      <c r="BD354" s="2397"/>
      <c r="BE354" s="2397"/>
      <c r="BF354" s="2398"/>
    </row>
    <row r="355" spans="5:58" s="2390" customFormat="1" x14ac:dyDescent="0.2">
      <c r="E355" s="2391"/>
      <c r="G355" s="2391"/>
      <c r="N355" s="2392"/>
      <c r="O355" s="2393"/>
      <c r="S355" s="2394"/>
      <c r="T355" s="2394"/>
      <c r="U355" s="2394"/>
      <c r="V355" s="2394"/>
      <c r="W355" s="2394"/>
      <c r="X355" s="2394"/>
      <c r="BB355" s="2395"/>
      <c r="BC355" s="2396"/>
      <c r="BD355" s="2397"/>
      <c r="BE355" s="2397"/>
      <c r="BF355" s="2398"/>
    </row>
    <row r="356" spans="5:58" s="2390" customFormat="1" x14ac:dyDescent="0.2">
      <c r="E356" s="2391"/>
      <c r="G356" s="2391"/>
      <c r="N356" s="2392"/>
      <c r="O356" s="2393"/>
      <c r="S356" s="2394"/>
      <c r="T356" s="2394"/>
      <c r="U356" s="2394"/>
      <c r="V356" s="2394"/>
      <c r="W356" s="2394"/>
      <c r="X356" s="2394"/>
      <c r="BB356" s="2395"/>
      <c r="BC356" s="2396"/>
      <c r="BD356" s="2397"/>
      <c r="BE356" s="2397"/>
      <c r="BF356" s="2398"/>
    </row>
    <row r="357" spans="5:58" s="2390" customFormat="1" x14ac:dyDescent="0.2">
      <c r="E357" s="2391"/>
      <c r="G357" s="2391"/>
      <c r="N357" s="2392"/>
      <c r="O357" s="2393"/>
      <c r="S357" s="2394"/>
      <c r="T357" s="2394"/>
      <c r="U357" s="2394"/>
      <c r="V357" s="2394"/>
      <c r="W357" s="2394"/>
      <c r="X357" s="2394"/>
      <c r="BB357" s="2395"/>
      <c r="BC357" s="2396"/>
      <c r="BD357" s="2397"/>
      <c r="BE357" s="2397"/>
      <c r="BF357" s="2398"/>
    </row>
    <row r="358" spans="5:58" s="2390" customFormat="1" x14ac:dyDescent="0.2">
      <c r="E358" s="2391"/>
      <c r="G358" s="2391"/>
      <c r="N358" s="2392"/>
      <c r="O358" s="2393"/>
      <c r="S358" s="2394"/>
      <c r="T358" s="2394"/>
      <c r="U358" s="2394"/>
      <c r="V358" s="2394"/>
      <c r="W358" s="2394"/>
      <c r="X358" s="2394"/>
      <c r="BB358" s="2395"/>
      <c r="BC358" s="2396"/>
      <c r="BD358" s="2397"/>
      <c r="BE358" s="2397"/>
      <c r="BF358" s="2398"/>
    </row>
    <row r="359" spans="5:58" s="2390" customFormat="1" x14ac:dyDescent="0.2">
      <c r="E359" s="2391"/>
      <c r="G359" s="2391"/>
      <c r="N359" s="2392"/>
      <c r="O359" s="2393"/>
      <c r="S359" s="2394"/>
      <c r="T359" s="2394"/>
      <c r="U359" s="2394"/>
      <c r="V359" s="2394"/>
      <c r="W359" s="2394"/>
      <c r="X359" s="2394"/>
      <c r="BB359" s="2395"/>
      <c r="BC359" s="2396"/>
      <c r="BD359" s="2397"/>
      <c r="BE359" s="2397"/>
      <c r="BF359" s="2398"/>
    </row>
    <row r="360" spans="5:58" s="2390" customFormat="1" x14ac:dyDescent="0.2">
      <c r="E360" s="2391"/>
      <c r="G360" s="2391"/>
      <c r="N360" s="2392"/>
      <c r="O360" s="2393"/>
      <c r="S360" s="2394"/>
      <c r="T360" s="2394"/>
      <c r="U360" s="2394"/>
      <c r="V360" s="2394"/>
      <c r="W360" s="2394"/>
      <c r="X360" s="2394"/>
      <c r="BB360" s="2395"/>
      <c r="BC360" s="2396"/>
      <c r="BD360" s="2397"/>
      <c r="BE360" s="2397"/>
      <c r="BF360" s="2398"/>
    </row>
    <row r="361" spans="5:58" s="2390" customFormat="1" x14ac:dyDescent="0.2">
      <c r="E361" s="2391"/>
      <c r="G361" s="2391"/>
      <c r="N361" s="2392"/>
      <c r="O361" s="2393"/>
      <c r="S361" s="2394"/>
      <c r="T361" s="2394"/>
      <c r="U361" s="2394"/>
      <c r="V361" s="2394"/>
      <c r="W361" s="2394"/>
      <c r="X361" s="2394"/>
      <c r="BB361" s="2395"/>
      <c r="BC361" s="2396"/>
      <c r="BD361" s="2397"/>
      <c r="BE361" s="2397"/>
      <c r="BF361" s="2398"/>
    </row>
    <row r="362" spans="5:58" s="2390" customFormat="1" x14ac:dyDescent="0.2">
      <c r="E362" s="2391"/>
      <c r="G362" s="2391"/>
      <c r="N362" s="2392"/>
      <c r="O362" s="2393"/>
      <c r="S362" s="2394"/>
      <c r="T362" s="2394"/>
      <c r="U362" s="2394"/>
      <c r="V362" s="2394"/>
      <c r="W362" s="2394"/>
      <c r="X362" s="2394"/>
      <c r="BB362" s="2395"/>
      <c r="BC362" s="2396"/>
      <c r="BD362" s="2397"/>
      <c r="BE362" s="2397"/>
      <c r="BF362" s="2398"/>
    </row>
    <row r="363" spans="5:58" s="2390" customFormat="1" x14ac:dyDescent="0.2">
      <c r="E363" s="2391"/>
      <c r="G363" s="2391"/>
      <c r="N363" s="2392"/>
      <c r="O363" s="2393"/>
      <c r="S363" s="2394"/>
      <c r="T363" s="2394"/>
      <c r="U363" s="2394"/>
      <c r="V363" s="2394"/>
      <c r="W363" s="2394"/>
      <c r="X363" s="2394"/>
      <c r="BB363" s="2395"/>
      <c r="BC363" s="2396"/>
      <c r="BD363" s="2397"/>
      <c r="BE363" s="2397"/>
      <c r="BF363" s="2398"/>
    </row>
    <row r="364" spans="5:58" s="2390" customFormat="1" x14ac:dyDescent="0.2">
      <c r="E364" s="2391"/>
      <c r="G364" s="2391"/>
      <c r="N364" s="2392"/>
      <c r="O364" s="2393"/>
      <c r="S364" s="2394"/>
      <c r="T364" s="2394"/>
      <c r="U364" s="2394"/>
      <c r="V364" s="2394"/>
      <c r="W364" s="2394"/>
      <c r="X364" s="2394"/>
      <c r="BB364" s="2395"/>
      <c r="BC364" s="2396"/>
      <c r="BD364" s="2397"/>
      <c r="BE364" s="2397"/>
      <c r="BF364" s="2398"/>
    </row>
    <row r="365" spans="5:58" s="2390" customFormat="1" x14ac:dyDescent="0.2">
      <c r="E365" s="2391"/>
      <c r="G365" s="2391"/>
      <c r="N365" s="2392"/>
      <c r="O365" s="2393"/>
      <c r="S365" s="2394"/>
      <c r="T365" s="2394"/>
      <c r="U365" s="2394"/>
      <c r="V365" s="2394"/>
      <c r="W365" s="2394"/>
      <c r="X365" s="2394"/>
      <c r="BB365" s="2395"/>
      <c r="BC365" s="2396"/>
      <c r="BD365" s="2397"/>
      <c r="BE365" s="2397"/>
      <c r="BF365" s="2398"/>
    </row>
    <row r="366" spans="5:58" s="2390" customFormat="1" x14ac:dyDescent="0.2">
      <c r="E366" s="2391"/>
      <c r="G366" s="2391"/>
      <c r="N366" s="2392"/>
      <c r="O366" s="2393"/>
      <c r="S366" s="2394"/>
      <c r="T366" s="2394"/>
      <c r="U366" s="2394"/>
      <c r="V366" s="2394"/>
      <c r="W366" s="2394"/>
      <c r="X366" s="2394"/>
      <c r="BB366" s="2395"/>
      <c r="BC366" s="2396"/>
      <c r="BD366" s="2397"/>
      <c r="BE366" s="2397"/>
      <c r="BF366" s="2398"/>
    </row>
    <row r="367" spans="5:58" s="2390" customFormat="1" x14ac:dyDescent="0.2">
      <c r="E367" s="2391"/>
      <c r="G367" s="2391"/>
      <c r="N367" s="2392"/>
      <c r="O367" s="2393"/>
      <c r="S367" s="2394"/>
      <c r="T367" s="2394"/>
      <c r="U367" s="2394"/>
      <c r="V367" s="2394"/>
      <c r="W367" s="2394"/>
      <c r="X367" s="2394"/>
      <c r="BB367" s="2395"/>
      <c r="BC367" s="2396"/>
      <c r="BD367" s="2397"/>
      <c r="BE367" s="2397"/>
      <c r="BF367" s="2398"/>
    </row>
    <row r="368" spans="5:58" s="2390" customFormat="1" x14ac:dyDescent="0.2">
      <c r="E368" s="2391"/>
      <c r="G368" s="2391"/>
      <c r="N368" s="2392"/>
      <c r="O368" s="2393"/>
      <c r="S368" s="2394"/>
      <c r="T368" s="2394"/>
      <c r="U368" s="2394"/>
      <c r="V368" s="2394"/>
      <c r="W368" s="2394"/>
      <c r="X368" s="2394"/>
      <c r="BB368" s="2395"/>
      <c r="BC368" s="2396"/>
      <c r="BD368" s="2397"/>
      <c r="BE368" s="2397"/>
      <c r="BF368" s="2398"/>
    </row>
    <row r="369" spans="5:58" s="2390" customFormat="1" x14ac:dyDescent="0.2">
      <c r="E369" s="2391"/>
      <c r="G369" s="2391"/>
      <c r="N369" s="2392"/>
      <c r="O369" s="2393"/>
      <c r="S369" s="2394"/>
      <c r="T369" s="2394"/>
      <c r="U369" s="2394"/>
      <c r="V369" s="2394"/>
      <c r="W369" s="2394"/>
      <c r="X369" s="2394"/>
      <c r="BB369" s="2395"/>
      <c r="BC369" s="2396"/>
      <c r="BD369" s="2397"/>
      <c r="BE369" s="2397"/>
      <c r="BF369" s="2398"/>
    </row>
    <row r="370" spans="5:58" s="2390" customFormat="1" x14ac:dyDescent="0.2">
      <c r="E370" s="2391"/>
      <c r="G370" s="2391"/>
      <c r="N370" s="2392"/>
      <c r="O370" s="2393"/>
      <c r="S370" s="2394"/>
      <c r="T370" s="2394"/>
      <c r="U370" s="2394"/>
      <c r="V370" s="2394"/>
      <c r="W370" s="2394"/>
      <c r="X370" s="2394"/>
      <c r="BB370" s="2395"/>
      <c r="BC370" s="2396"/>
      <c r="BD370" s="2397"/>
      <c r="BE370" s="2397"/>
      <c r="BF370" s="2398"/>
    </row>
    <row r="371" spans="5:58" s="2390" customFormat="1" x14ac:dyDescent="0.2">
      <c r="E371" s="2391"/>
      <c r="G371" s="2391"/>
      <c r="N371" s="2392"/>
      <c r="O371" s="2393"/>
      <c r="S371" s="2394"/>
      <c r="T371" s="2394"/>
      <c r="U371" s="2394"/>
      <c r="V371" s="2394"/>
      <c r="W371" s="2394"/>
      <c r="X371" s="2394"/>
      <c r="BB371" s="2395"/>
      <c r="BC371" s="2396"/>
      <c r="BD371" s="2397"/>
      <c r="BE371" s="2397"/>
      <c r="BF371" s="2398"/>
    </row>
    <row r="372" spans="5:58" s="2390" customFormat="1" x14ac:dyDescent="0.2">
      <c r="E372" s="2391"/>
      <c r="G372" s="2391"/>
      <c r="N372" s="2392"/>
      <c r="O372" s="2393"/>
      <c r="S372" s="2394"/>
      <c r="T372" s="2394"/>
      <c r="U372" s="2394"/>
      <c r="V372" s="2394"/>
      <c r="W372" s="2394"/>
      <c r="X372" s="2394"/>
      <c r="BB372" s="2395"/>
      <c r="BC372" s="2396"/>
      <c r="BD372" s="2397"/>
      <c r="BE372" s="2397"/>
      <c r="BF372" s="2398"/>
    </row>
    <row r="373" spans="5:58" s="2390" customFormat="1" x14ac:dyDescent="0.2">
      <c r="E373" s="2391"/>
      <c r="G373" s="2391"/>
      <c r="N373" s="2392"/>
      <c r="O373" s="2393"/>
      <c r="S373" s="2394"/>
      <c r="T373" s="2394"/>
      <c r="U373" s="2394"/>
      <c r="V373" s="2394"/>
      <c r="W373" s="2394"/>
      <c r="X373" s="2394"/>
      <c r="BB373" s="2395"/>
      <c r="BC373" s="2396"/>
      <c r="BD373" s="2397"/>
      <c r="BE373" s="2397"/>
      <c r="BF373" s="2398"/>
    </row>
    <row r="374" spans="5:58" s="2390" customFormat="1" x14ac:dyDescent="0.2">
      <c r="E374" s="2391"/>
      <c r="G374" s="2391"/>
      <c r="N374" s="2392"/>
      <c r="O374" s="2393"/>
      <c r="S374" s="2394"/>
      <c r="T374" s="2394"/>
      <c r="U374" s="2394"/>
      <c r="V374" s="2394"/>
      <c r="W374" s="2394"/>
      <c r="X374" s="2394"/>
      <c r="BB374" s="2395"/>
      <c r="BC374" s="2396"/>
      <c r="BD374" s="2397"/>
      <c r="BE374" s="2397"/>
      <c r="BF374" s="2398"/>
    </row>
    <row r="375" spans="5:58" s="2390" customFormat="1" x14ac:dyDescent="0.2">
      <c r="E375" s="2391"/>
      <c r="G375" s="2391"/>
      <c r="N375" s="2392"/>
      <c r="O375" s="2393"/>
      <c r="S375" s="2394"/>
      <c r="T375" s="2394"/>
      <c r="U375" s="2394"/>
      <c r="V375" s="2394"/>
      <c r="W375" s="2394"/>
      <c r="X375" s="2394"/>
      <c r="BB375" s="2395"/>
      <c r="BC375" s="2396"/>
      <c r="BD375" s="2397"/>
      <c r="BE375" s="2397"/>
      <c r="BF375" s="2398"/>
    </row>
    <row r="376" spans="5:58" s="2390" customFormat="1" x14ac:dyDescent="0.2">
      <c r="E376" s="2391"/>
      <c r="G376" s="2391"/>
      <c r="N376" s="2392"/>
      <c r="O376" s="2393"/>
      <c r="S376" s="2394"/>
      <c r="T376" s="2394"/>
      <c r="U376" s="2394"/>
      <c r="V376" s="2394"/>
      <c r="W376" s="2394"/>
      <c r="X376" s="2394"/>
      <c r="BB376" s="2395"/>
      <c r="BC376" s="2396"/>
      <c r="BD376" s="2397"/>
      <c r="BE376" s="2397"/>
      <c r="BF376" s="2398"/>
    </row>
    <row r="377" spans="5:58" s="2390" customFormat="1" x14ac:dyDescent="0.2">
      <c r="E377" s="2391"/>
      <c r="G377" s="2391"/>
      <c r="N377" s="2392"/>
      <c r="O377" s="2393"/>
      <c r="S377" s="2394"/>
      <c r="T377" s="2394"/>
      <c r="U377" s="2394"/>
      <c r="V377" s="2394"/>
      <c r="W377" s="2394"/>
      <c r="X377" s="2394"/>
      <c r="BB377" s="2395"/>
      <c r="BC377" s="2396"/>
      <c r="BD377" s="2397"/>
      <c r="BE377" s="2397"/>
      <c r="BF377" s="2398"/>
    </row>
    <row r="378" spans="5:58" s="2390" customFormat="1" x14ac:dyDescent="0.2">
      <c r="E378" s="2391"/>
      <c r="G378" s="2391"/>
      <c r="N378" s="2392"/>
      <c r="O378" s="2393"/>
      <c r="S378" s="2394"/>
      <c r="T378" s="2394"/>
      <c r="U378" s="2394"/>
      <c r="V378" s="2394"/>
      <c r="W378" s="2394"/>
      <c r="X378" s="2394"/>
      <c r="BB378" s="2395"/>
      <c r="BC378" s="2396"/>
      <c r="BD378" s="2397"/>
      <c r="BE378" s="2397"/>
      <c r="BF378" s="2398"/>
    </row>
    <row r="379" spans="5:58" s="2390" customFormat="1" x14ac:dyDescent="0.2">
      <c r="E379" s="2391"/>
      <c r="G379" s="2391"/>
      <c r="N379" s="2392"/>
      <c r="O379" s="2393"/>
      <c r="S379" s="2394"/>
      <c r="T379" s="2394"/>
      <c r="U379" s="2394"/>
      <c r="V379" s="2394"/>
      <c r="W379" s="2394"/>
      <c r="X379" s="2394"/>
      <c r="BB379" s="2395"/>
      <c r="BC379" s="2396"/>
      <c r="BD379" s="2397"/>
      <c r="BE379" s="2397"/>
      <c r="BF379" s="2398"/>
    </row>
    <row r="380" spans="5:58" s="2390" customFormat="1" x14ac:dyDescent="0.2">
      <c r="E380" s="2391"/>
      <c r="G380" s="2391"/>
      <c r="N380" s="2392"/>
      <c r="O380" s="2393"/>
      <c r="S380" s="2394"/>
      <c r="T380" s="2394"/>
      <c r="U380" s="2394"/>
      <c r="V380" s="2394"/>
      <c r="W380" s="2394"/>
      <c r="X380" s="2394"/>
      <c r="BB380" s="2395"/>
      <c r="BC380" s="2396"/>
      <c r="BD380" s="2397"/>
      <c r="BE380" s="2397"/>
      <c r="BF380" s="2398"/>
    </row>
    <row r="381" spans="5:58" s="2390" customFormat="1" x14ac:dyDescent="0.2">
      <c r="E381" s="2391"/>
      <c r="G381" s="2391"/>
      <c r="N381" s="2392"/>
      <c r="O381" s="2393"/>
      <c r="S381" s="2394"/>
      <c r="T381" s="2394"/>
      <c r="U381" s="2394"/>
      <c r="V381" s="2394"/>
      <c r="W381" s="2394"/>
      <c r="X381" s="2394"/>
      <c r="BB381" s="2395"/>
      <c r="BC381" s="2396"/>
      <c r="BD381" s="2397"/>
      <c r="BE381" s="2397"/>
      <c r="BF381" s="2398"/>
    </row>
    <row r="382" spans="5:58" s="2390" customFormat="1" x14ac:dyDescent="0.2">
      <c r="E382" s="2391"/>
      <c r="G382" s="2391"/>
      <c r="N382" s="2392"/>
      <c r="O382" s="2393"/>
      <c r="S382" s="2394"/>
      <c r="T382" s="2394"/>
      <c r="U382" s="2394"/>
      <c r="V382" s="2394"/>
      <c r="W382" s="2394"/>
      <c r="X382" s="2394"/>
      <c r="BB382" s="2395"/>
      <c r="BC382" s="2396"/>
      <c r="BD382" s="2397"/>
      <c r="BE382" s="2397"/>
      <c r="BF382" s="2398"/>
    </row>
    <row r="383" spans="5:58" s="2390" customFormat="1" x14ac:dyDescent="0.2">
      <c r="E383" s="2391"/>
      <c r="G383" s="2391"/>
      <c r="N383" s="2392"/>
      <c r="O383" s="2393"/>
      <c r="S383" s="2394"/>
      <c r="T383" s="2394"/>
      <c r="U383" s="2394"/>
      <c r="V383" s="2394"/>
      <c r="W383" s="2394"/>
      <c r="X383" s="2394"/>
      <c r="BB383" s="2395"/>
      <c r="BC383" s="2396"/>
      <c r="BD383" s="2397"/>
      <c r="BE383" s="2397"/>
      <c r="BF383" s="2398"/>
    </row>
    <row r="384" spans="5:58" s="2390" customFormat="1" x14ac:dyDescent="0.2">
      <c r="E384" s="2391"/>
      <c r="G384" s="2391"/>
      <c r="N384" s="2392"/>
      <c r="O384" s="2393"/>
      <c r="S384" s="2394"/>
      <c r="T384" s="2394"/>
      <c r="U384" s="2394"/>
      <c r="V384" s="2394"/>
      <c r="W384" s="2394"/>
      <c r="X384" s="2394"/>
      <c r="BB384" s="2395"/>
      <c r="BC384" s="2396"/>
      <c r="BD384" s="2397"/>
      <c r="BE384" s="2397"/>
      <c r="BF384" s="2398"/>
    </row>
    <row r="385" spans="5:58" s="2390" customFormat="1" x14ac:dyDescent="0.2">
      <c r="E385" s="2391"/>
      <c r="G385" s="2391"/>
      <c r="N385" s="2392"/>
      <c r="O385" s="2393"/>
      <c r="S385" s="2394"/>
      <c r="T385" s="2394"/>
      <c r="U385" s="2394"/>
      <c r="V385" s="2394"/>
      <c r="W385" s="2394"/>
      <c r="X385" s="2394"/>
      <c r="BB385" s="2395"/>
      <c r="BC385" s="2396"/>
      <c r="BD385" s="2397"/>
      <c r="BE385" s="2397"/>
      <c r="BF385" s="2398"/>
    </row>
    <row r="386" spans="5:58" s="2390" customFormat="1" x14ac:dyDescent="0.2">
      <c r="E386" s="2391"/>
      <c r="G386" s="2391"/>
      <c r="N386" s="2392"/>
      <c r="O386" s="2393"/>
      <c r="S386" s="2394"/>
      <c r="T386" s="2394"/>
      <c r="U386" s="2394"/>
      <c r="V386" s="2394"/>
      <c r="W386" s="2394"/>
      <c r="X386" s="2394"/>
      <c r="BB386" s="2395"/>
      <c r="BC386" s="2396"/>
      <c r="BD386" s="2397"/>
      <c r="BE386" s="2397"/>
      <c r="BF386" s="2398"/>
    </row>
    <row r="387" spans="5:58" s="2390" customFormat="1" x14ac:dyDescent="0.2">
      <c r="E387" s="2391"/>
      <c r="G387" s="2391"/>
      <c r="N387" s="2392"/>
      <c r="O387" s="2393"/>
      <c r="S387" s="2394"/>
      <c r="T387" s="2394"/>
      <c r="U387" s="2394"/>
      <c r="V387" s="2394"/>
      <c r="W387" s="2394"/>
      <c r="X387" s="2394"/>
      <c r="BB387" s="2395"/>
      <c r="BC387" s="2396"/>
      <c r="BD387" s="2397"/>
      <c r="BE387" s="2397"/>
      <c r="BF387" s="2398"/>
    </row>
    <row r="388" spans="5:58" s="2390" customFormat="1" x14ac:dyDescent="0.2">
      <c r="E388" s="2391"/>
      <c r="G388" s="2391"/>
      <c r="N388" s="2392"/>
      <c r="O388" s="2393"/>
      <c r="S388" s="2394"/>
      <c r="T388" s="2394"/>
      <c r="U388" s="2394"/>
      <c r="V388" s="2394"/>
      <c r="W388" s="2394"/>
      <c r="X388" s="2394"/>
      <c r="BB388" s="2395"/>
      <c r="BC388" s="2396"/>
      <c r="BD388" s="2397"/>
      <c r="BE388" s="2397"/>
      <c r="BF388" s="2398"/>
    </row>
    <row r="389" spans="5:58" s="2390" customFormat="1" x14ac:dyDescent="0.2">
      <c r="E389" s="2391"/>
      <c r="G389" s="2391"/>
      <c r="N389" s="2392"/>
      <c r="O389" s="2393"/>
      <c r="S389" s="2394"/>
      <c r="T389" s="2394"/>
      <c r="U389" s="2394"/>
      <c r="V389" s="2394"/>
      <c r="W389" s="2394"/>
      <c r="X389" s="2394"/>
      <c r="BB389" s="2395"/>
      <c r="BC389" s="2396"/>
      <c r="BD389" s="2397"/>
      <c r="BE389" s="2397"/>
      <c r="BF389" s="2398"/>
    </row>
    <row r="390" spans="5:58" s="2390" customFormat="1" x14ac:dyDescent="0.2">
      <c r="E390" s="2391"/>
      <c r="G390" s="2391"/>
      <c r="N390" s="2392"/>
      <c r="O390" s="2393"/>
      <c r="S390" s="2394"/>
      <c r="T390" s="2394"/>
      <c r="U390" s="2394"/>
      <c r="V390" s="2394"/>
      <c r="W390" s="2394"/>
      <c r="X390" s="2394"/>
      <c r="BB390" s="2395"/>
      <c r="BC390" s="2396"/>
      <c r="BD390" s="2397"/>
      <c r="BE390" s="2397"/>
      <c r="BF390" s="2398"/>
    </row>
    <row r="391" spans="5:58" s="2390" customFormat="1" x14ac:dyDescent="0.2">
      <c r="E391" s="2391"/>
      <c r="G391" s="2391"/>
      <c r="N391" s="2392"/>
      <c r="O391" s="2393"/>
      <c r="S391" s="2394"/>
      <c r="T391" s="2394"/>
      <c r="U391" s="2394"/>
      <c r="V391" s="2394"/>
      <c r="W391" s="2394"/>
      <c r="X391" s="2394"/>
      <c r="BB391" s="2395"/>
      <c r="BC391" s="2396"/>
      <c r="BD391" s="2397"/>
      <c r="BE391" s="2397"/>
      <c r="BF391" s="2398"/>
    </row>
    <row r="392" spans="5:58" s="2390" customFormat="1" x14ac:dyDescent="0.2">
      <c r="E392" s="2391"/>
      <c r="G392" s="2391"/>
      <c r="N392" s="2392"/>
      <c r="O392" s="2393"/>
      <c r="S392" s="2394"/>
      <c r="T392" s="2394"/>
      <c r="U392" s="2394"/>
      <c r="V392" s="2394"/>
      <c r="W392" s="2394"/>
      <c r="X392" s="2394"/>
      <c r="BB392" s="2395"/>
      <c r="BC392" s="2396"/>
      <c r="BD392" s="2397"/>
      <c r="BE392" s="2397"/>
      <c r="BF392" s="2398"/>
    </row>
    <row r="393" spans="5:58" s="2390" customFormat="1" x14ac:dyDescent="0.2">
      <c r="E393" s="2391"/>
      <c r="G393" s="2391"/>
      <c r="N393" s="2392"/>
      <c r="O393" s="2393"/>
      <c r="S393" s="2394"/>
      <c r="T393" s="2394"/>
      <c r="U393" s="2394"/>
      <c r="V393" s="2394"/>
      <c r="W393" s="2394"/>
      <c r="X393" s="2394"/>
      <c r="BB393" s="2395"/>
      <c r="BC393" s="2396"/>
      <c r="BD393" s="2397"/>
      <c r="BE393" s="2397"/>
      <c r="BF393" s="2398"/>
    </row>
    <row r="394" spans="5:58" s="2390" customFormat="1" x14ac:dyDescent="0.2">
      <c r="E394" s="2391"/>
      <c r="G394" s="2391"/>
      <c r="N394" s="2392"/>
      <c r="O394" s="2393"/>
      <c r="S394" s="2394"/>
      <c r="T394" s="2394"/>
      <c r="U394" s="2394"/>
      <c r="V394" s="2394"/>
      <c r="W394" s="2394"/>
      <c r="X394" s="2394"/>
      <c r="BB394" s="2395"/>
      <c r="BC394" s="2396"/>
      <c r="BD394" s="2397"/>
      <c r="BE394" s="2397"/>
      <c r="BF394" s="2398"/>
    </row>
    <row r="395" spans="5:58" s="2390" customFormat="1" x14ac:dyDescent="0.2">
      <c r="E395" s="2391"/>
      <c r="G395" s="2391"/>
      <c r="N395" s="2392"/>
      <c r="O395" s="2393"/>
      <c r="S395" s="2394"/>
      <c r="T395" s="2394"/>
      <c r="U395" s="2394"/>
      <c r="V395" s="2394"/>
      <c r="W395" s="2394"/>
      <c r="X395" s="2394"/>
      <c r="BB395" s="2395"/>
      <c r="BC395" s="2396"/>
      <c r="BD395" s="2397"/>
      <c r="BE395" s="2397"/>
      <c r="BF395" s="2398"/>
    </row>
    <row r="396" spans="5:58" s="2390" customFormat="1" x14ac:dyDescent="0.2">
      <c r="E396" s="2391"/>
      <c r="G396" s="2391"/>
      <c r="N396" s="2392"/>
      <c r="O396" s="2393"/>
      <c r="S396" s="2394"/>
      <c r="T396" s="2394"/>
      <c r="U396" s="2394"/>
      <c r="V396" s="2394"/>
      <c r="W396" s="2394"/>
      <c r="X396" s="2394"/>
      <c r="BB396" s="2395"/>
      <c r="BC396" s="2396"/>
      <c r="BD396" s="2397"/>
      <c r="BE396" s="2397"/>
      <c r="BF396" s="2398"/>
    </row>
    <row r="397" spans="5:58" s="2390" customFormat="1" x14ac:dyDescent="0.2">
      <c r="E397" s="2391"/>
      <c r="G397" s="2391"/>
      <c r="N397" s="2392"/>
      <c r="O397" s="2393"/>
      <c r="S397" s="2394"/>
      <c r="T397" s="2394"/>
      <c r="U397" s="2394"/>
      <c r="V397" s="2394"/>
      <c r="W397" s="2394"/>
      <c r="X397" s="2394"/>
      <c r="BB397" s="2395"/>
      <c r="BC397" s="2396"/>
      <c r="BD397" s="2397"/>
      <c r="BE397" s="2397"/>
      <c r="BF397" s="2398"/>
    </row>
    <row r="398" spans="5:58" s="2390" customFormat="1" x14ac:dyDescent="0.2">
      <c r="E398" s="2391"/>
      <c r="G398" s="2391"/>
      <c r="N398" s="2392"/>
      <c r="O398" s="2393"/>
      <c r="S398" s="2394"/>
      <c r="T398" s="2394"/>
      <c r="U398" s="2394"/>
      <c r="V398" s="2394"/>
      <c r="W398" s="2394"/>
      <c r="X398" s="2394"/>
      <c r="BB398" s="2395"/>
      <c r="BC398" s="2396"/>
      <c r="BD398" s="2397"/>
      <c r="BE398" s="2397"/>
      <c r="BF398" s="2398"/>
    </row>
    <row r="399" spans="5:58" s="2390" customFormat="1" x14ac:dyDescent="0.2">
      <c r="E399" s="2391"/>
      <c r="G399" s="2391"/>
      <c r="N399" s="2392"/>
      <c r="O399" s="2393"/>
      <c r="S399" s="2394"/>
      <c r="T399" s="2394"/>
      <c r="U399" s="2394"/>
      <c r="V399" s="2394"/>
      <c r="W399" s="2394"/>
      <c r="X399" s="2394"/>
      <c r="BB399" s="2395"/>
      <c r="BC399" s="2396"/>
      <c r="BD399" s="2397"/>
      <c r="BE399" s="2397"/>
      <c r="BF399" s="2398"/>
    </row>
    <row r="400" spans="5:58" s="2390" customFormat="1" x14ac:dyDescent="0.2">
      <c r="E400" s="2391"/>
      <c r="G400" s="2391"/>
      <c r="N400" s="2392"/>
      <c r="O400" s="2393"/>
      <c r="S400" s="2394"/>
      <c r="T400" s="2394"/>
      <c r="U400" s="2394"/>
      <c r="V400" s="2394"/>
      <c r="W400" s="2394"/>
      <c r="X400" s="2394"/>
      <c r="BB400" s="2395"/>
      <c r="BC400" s="2396"/>
      <c r="BD400" s="2397"/>
      <c r="BE400" s="2397"/>
      <c r="BF400" s="2398"/>
    </row>
    <row r="401" spans="5:58" s="2390" customFormat="1" x14ac:dyDescent="0.2">
      <c r="E401" s="2391"/>
      <c r="G401" s="2391"/>
      <c r="N401" s="2392"/>
      <c r="O401" s="2393"/>
      <c r="S401" s="2394"/>
      <c r="T401" s="2394"/>
      <c r="U401" s="2394"/>
      <c r="V401" s="2394"/>
      <c r="W401" s="2394"/>
      <c r="X401" s="2394"/>
      <c r="BB401" s="2395"/>
      <c r="BC401" s="2396"/>
      <c r="BD401" s="2397"/>
      <c r="BE401" s="2397"/>
      <c r="BF401" s="2398"/>
    </row>
    <row r="402" spans="5:58" s="2390" customFormat="1" x14ac:dyDescent="0.2">
      <c r="E402" s="2391"/>
      <c r="G402" s="2391"/>
      <c r="N402" s="2392"/>
      <c r="O402" s="2393"/>
      <c r="S402" s="2394"/>
      <c r="T402" s="2394"/>
      <c r="U402" s="2394"/>
      <c r="V402" s="2394"/>
      <c r="W402" s="2394"/>
      <c r="X402" s="2394"/>
      <c r="BB402" s="2395"/>
      <c r="BC402" s="2396"/>
      <c r="BD402" s="2397"/>
      <c r="BE402" s="2397"/>
      <c r="BF402" s="2398"/>
    </row>
    <row r="403" spans="5:58" s="2390" customFormat="1" x14ac:dyDescent="0.2">
      <c r="E403" s="2391"/>
      <c r="G403" s="2391"/>
      <c r="N403" s="2392"/>
      <c r="O403" s="2393"/>
      <c r="S403" s="2394"/>
      <c r="T403" s="2394"/>
      <c r="U403" s="2394"/>
      <c r="V403" s="2394"/>
      <c r="W403" s="2394"/>
      <c r="X403" s="2394"/>
      <c r="BB403" s="2395"/>
      <c r="BC403" s="2396"/>
      <c r="BD403" s="2397"/>
      <c r="BE403" s="2397"/>
      <c r="BF403" s="2398"/>
    </row>
    <row r="404" spans="5:58" s="2390" customFormat="1" x14ac:dyDescent="0.2">
      <c r="E404" s="2391"/>
      <c r="G404" s="2391"/>
      <c r="N404" s="2392"/>
      <c r="O404" s="2393"/>
      <c r="S404" s="2394"/>
      <c r="T404" s="2394"/>
      <c r="U404" s="2394"/>
      <c r="V404" s="2394"/>
      <c r="W404" s="2394"/>
      <c r="X404" s="2394"/>
      <c r="BB404" s="2395"/>
      <c r="BC404" s="2396"/>
      <c r="BD404" s="2397"/>
      <c r="BE404" s="2397"/>
      <c r="BF404" s="2398"/>
    </row>
    <row r="405" spans="5:58" s="2390" customFormat="1" x14ac:dyDescent="0.2">
      <c r="E405" s="2391"/>
      <c r="G405" s="2391"/>
      <c r="N405" s="2392"/>
      <c r="O405" s="2393"/>
      <c r="S405" s="2394"/>
      <c r="T405" s="2394"/>
      <c r="U405" s="2394"/>
      <c r="V405" s="2394"/>
      <c r="W405" s="2394"/>
      <c r="X405" s="2394"/>
      <c r="BB405" s="2395"/>
      <c r="BC405" s="2396"/>
      <c r="BD405" s="2397"/>
      <c r="BE405" s="2397"/>
      <c r="BF405" s="2398"/>
    </row>
    <row r="406" spans="5:58" s="2390" customFormat="1" x14ac:dyDescent="0.2">
      <c r="E406" s="2391"/>
      <c r="G406" s="2391"/>
      <c r="N406" s="2392"/>
      <c r="O406" s="2393"/>
      <c r="S406" s="2394"/>
      <c r="T406" s="2394"/>
      <c r="U406" s="2394"/>
      <c r="V406" s="2394"/>
      <c r="W406" s="2394"/>
      <c r="X406" s="2394"/>
      <c r="BB406" s="2395"/>
      <c r="BC406" s="2396"/>
      <c r="BD406" s="2397"/>
      <c r="BE406" s="2397"/>
      <c r="BF406" s="2398"/>
    </row>
    <row r="407" spans="5:58" s="2390" customFormat="1" x14ac:dyDescent="0.2">
      <c r="E407" s="2391"/>
      <c r="G407" s="2391"/>
      <c r="N407" s="2392"/>
      <c r="O407" s="2393"/>
      <c r="S407" s="2394"/>
      <c r="T407" s="2394"/>
      <c r="U407" s="2394"/>
      <c r="V407" s="2394"/>
      <c r="W407" s="2394"/>
      <c r="X407" s="2394"/>
      <c r="BB407" s="2395"/>
      <c r="BC407" s="2396"/>
      <c r="BD407" s="2397"/>
      <c r="BE407" s="2397"/>
      <c r="BF407" s="2398"/>
    </row>
    <row r="408" spans="5:58" s="2390" customFormat="1" x14ac:dyDescent="0.2">
      <c r="E408" s="2391"/>
      <c r="G408" s="2391"/>
      <c r="N408" s="2392"/>
      <c r="O408" s="2393"/>
      <c r="S408" s="2394"/>
      <c r="T408" s="2394"/>
      <c r="U408" s="2394"/>
      <c r="V408" s="2394"/>
      <c r="W408" s="2394"/>
      <c r="X408" s="2394"/>
      <c r="BB408" s="2395"/>
      <c r="BC408" s="2396"/>
      <c r="BD408" s="2397"/>
      <c r="BE408" s="2397"/>
      <c r="BF408" s="2398"/>
    </row>
    <row r="409" spans="5:58" s="2390" customFormat="1" x14ac:dyDescent="0.2">
      <c r="E409" s="2391"/>
      <c r="G409" s="2391"/>
      <c r="N409" s="2392"/>
      <c r="O409" s="2393"/>
      <c r="S409" s="2394"/>
      <c r="T409" s="2394"/>
      <c r="U409" s="2394"/>
      <c r="V409" s="2394"/>
      <c r="W409" s="2394"/>
      <c r="X409" s="2394"/>
      <c r="BB409" s="2395"/>
      <c r="BC409" s="2396"/>
      <c r="BD409" s="2397"/>
      <c r="BE409" s="2397"/>
      <c r="BF409" s="2398"/>
    </row>
    <row r="410" spans="5:58" s="2390" customFormat="1" x14ac:dyDescent="0.2">
      <c r="E410" s="2391"/>
      <c r="G410" s="2391"/>
      <c r="N410" s="2392"/>
      <c r="O410" s="2393"/>
      <c r="S410" s="2394"/>
      <c r="T410" s="2394"/>
      <c r="U410" s="2394"/>
      <c r="V410" s="2394"/>
      <c r="W410" s="2394"/>
      <c r="X410" s="2394"/>
      <c r="BB410" s="2395"/>
      <c r="BC410" s="2396"/>
      <c r="BD410" s="2397"/>
      <c r="BE410" s="2397"/>
      <c r="BF410" s="2398"/>
    </row>
    <row r="411" spans="5:58" s="2390" customFormat="1" x14ac:dyDescent="0.2">
      <c r="E411" s="2391"/>
      <c r="G411" s="2391"/>
      <c r="N411" s="2392"/>
      <c r="O411" s="2393"/>
      <c r="S411" s="2394"/>
      <c r="T411" s="2394"/>
      <c r="U411" s="2394"/>
      <c r="V411" s="2394"/>
      <c r="W411" s="2394"/>
      <c r="X411" s="2394"/>
      <c r="BB411" s="2395"/>
      <c r="BC411" s="2396"/>
      <c r="BD411" s="2397"/>
      <c r="BE411" s="2397"/>
      <c r="BF411" s="2398"/>
    </row>
    <row r="412" spans="5:58" s="2390" customFormat="1" x14ac:dyDescent="0.2">
      <c r="E412" s="2391"/>
      <c r="G412" s="2391"/>
      <c r="N412" s="2392"/>
      <c r="O412" s="2393"/>
      <c r="S412" s="2394"/>
      <c r="T412" s="2394"/>
      <c r="U412" s="2394"/>
      <c r="V412" s="2394"/>
      <c r="W412" s="2394"/>
      <c r="X412" s="2394"/>
      <c r="BB412" s="2395"/>
      <c r="BC412" s="2396"/>
      <c r="BD412" s="2397"/>
      <c r="BE412" s="2397"/>
      <c r="BF412" s="2398"/>
    </row>
    <row r="413" spans="5:58" s="2390" customFormat="1" x14ac:dyDescent="0.2">
      <c r="E413" s="2391"/>
      <c r="G413" s="2391"/>
      <c r="N413" s="2392"/>
      <c r="O413" s="2393"/>
      <c r="S413" s="2394"/>
      <c r="T413" s="2394"/>
      <c r="U413" s="2394"/>
      <c r="V413" s="2394"/>
      <c r="W413" s="2394"/>
      <c r="X413" s="2394"/>
      <c r="BB413" s="2395"/>
      <c r="BC413" s="2396"/>
      <c r="BD413" s="2397"/>
      <c r="BE413" s="2397"/>
      <c r="BF413" s="2398"/>
    </row>
    <row r="414" spans="5:58" s="2390" customFormat="1" x14ac:dyDescent="0.2">
      <c r="E414" s="2391"/>
      <c r="G414" s="2391"/>
      <c r="N414" s="2392"/>
      <c r="O414" s="2393"/>
      <c r="S414" s="2394"/>
      <c r="T414" s="2394"/>
      <c r="U414" s="2394"/>
      <c r="V414" s="2394"/>
      <c r="W414" s="2394"/>
      <c r="X414" s="2394"/>
      <c r="BB414" s="2395"/>
      <c r="BC414" s="2396"/>
      <c r="BD414" s="2397"/>
      <c r="BE414" s="2397"/>
      <c r="BF414" s="2398"/>
    </row>
    <row r="415" spans="5:58" s="2390" customFormat="1" x14ac:dyDescent="0.2">
      <c r="E415" s="2391"/>
      <c r="G415" s="2391"/>
      <c r="N415" s="2392"/>
      <c r="O415" s="2393"/>
      <c r="S415" s="2394"/>
      <c r="T415" s="2394"/>
      <c r="U415" s="2394"/>
      <c r="V415" s="2394"/>
      <c r="W415" s="2394"/>
      <c r="X415" s="2394"/>
      <c r="BB415" s="2395"/>
      <c r="BC415" s="2396"/>
      <c r="BD415" s="2397"/>
      <c r="BE415" s="2397"/>
      <c r="BF415" s="2398"/>
    </row>
    <row r="416" spans="5:58" s="2390" customFormat="1" x14ac:dyDescent="0.2">
      <c r="E416" s="2391"/>
      <c r="G416" s="2391"/>
      <c r="N416" s="2392"/>
      <c r="O416" s="2393"/>
      <c r="S416" s="2394"/>
      <c r="T416" s="2394"/>
      <c r="U416" s="2394"/>
      <c r="V416" s="2394"/>
      <c r="W416" s="2394"/>
      <c r="X416" s="2394"/>
      <c r="BB416" s="2395"/>
      <c r="BC416" s="2396"/>
      <c r="BD416" s="2397"/>
      <c r="BE416" s="2397"/>
      <c r="BF416" s="2398"/>
    </row>
    <row r="417" spans="5:58" s="2390" customFormat="1" x14ac:dyDescent="0.2">
      <c r="E417" s="2391"/>
      <c r="G417" s="2391"/>
      <c r="N417" s="2392"/>
      <c r="O417" s="2393"/>
      <c r="S417" s="2394"/>
      <c r="T417" s="2394"/>
      <c r="U417" s="2394"/>
      <c r="V417" s="2394"/>
      <c r="W417" s="2394"/>
      <c r="X417" s="2394"/>
      <c r="BB417" s="2395"/>
      <c r="BC417" s="2396"/>
      <c r="BD417" s="2397"/>
      <c r="BE417" s="2397"/>
      <c r="BF417" s="2398"/>
    </row>
    <row r="418" spans="5:58" s="2390" customFormat="1" x14ac:dyDescent="0.2">
      <c r="E418" s="2391"/>
      <c r="G418" s="2391"/>
      <c r="N418" s="2392"/>
      <c r="O418" s="2393"/>
      <c r="S418" s="2394"/>
      <c r="T418" s="2394"/>
      <c r="U418" s="2394"/>
      <c r="V418" s="2394"/>
      <c r="W418" s="2394"/>
      <c r="X418" s="2394"/>
      <c r="BB418" s="2395"/>
      <c r="BC418" s="2396"/>
      <c r="BD418" s="2397"/>
      <c r="BE418" s="2397"/>
      <c r="BF418" s="2398"/>
    </row>
    <row r="419" spans="5:58" s="2390" customFormat="1" x14ac:dyDescent="0.2">
      <c r="E419" s="2391"/>
      <c r="G419" s="2391"/>
      <c r="N419" s="2392"/>
      <c r="O419" s="2393"/>
      <c r="S419" s="2394"/>
      <c r="T419" s="2394"/>
      <c r="U419" s="2394"/>
      <c r="V419" s="2394"/>
      <c r="W419" s="2394"/>
      <c r="X419" s="2394"/>
      <c r="BB419" s="2395"/>
      <c r="BC419" s="2396"/>
      <c r="BD419" s="2397"/>
      <c r="BE419" s="2397"/>
      <c r="BF419" s="2398"/>
    </row>
    <row r="420" spans="5:58" s="2390" customFormat="1" x14ac:dyDescent="0.2">
      <c r="E420" s="2391"/>
      <c r="G420" s="2391"/>
      <c r="N420" s="2392"/>
      <c r="O420" s="2393"/>
      <c r="S420" s="2394"/>
      <c r="T420" s="2394"/>
      <c r="U420" s="2394"/>
      <c r="V420" s="2394"/>
      <c r="W420" s="2394"/>
      <c r="X420" s="2394"/>
      <c r="BB420" s="2395"/>
      <c r="BC420" s="2396"/>
      <c r="BD420" s="2397"/>
      <c r="BE420" s="2397"/>
      <c r="BF420" s="2398"/>
    </row>
    <row r="421" spans="5:58" s="2390" customFormat="1" x14ac:dyDescent="0.2">
      <c r="E421" s="2391"/>
      <c r="G421" s="2391"/>
      <c r="N421" s="2392"/>
      <c r="O421" s="2393"/>
      <c r="S421" s="2394"/>
      <c r="T421" s="2394"/>
      <c r="U421" s="2394"/>
      <c r="V421" s="2394"/>
      <c r="W421" s="2394"/>
      <c r="X421" s="2394"/>
      <c r="BB421" s="2395"/>
      <c r="BC421" s="2396"/>
      <c r="BD421" s="2397"/>
      <c r="BE421" s="2397"/>
      <c r="BF421" s="2398"/>
    </row>
    <row r="422" spans="5:58" s="2390" customFormat="1" x14ac:dyDescent="0.2">
      <c r="E422" s="2391"/>
      <c r="G422" s="2391"/>
      <c r="N422" s="2392"/>
      <c r="O422" s="2393"/>
      <c r="S422" s="2394"/>
      <c r="T422" s="2394"/>
      <c r="U422" s="2394"/>
      <c r="V422" s="2394"/>
      <c r="W422" s="2394"/>
      <c r="X422" s="2394"/>
      <c r="BB422" s="2395"/>
      <c r="BC422" s="2396"/>
      <c r="BD422" s="2397"/>
      <c r="BE422" s="2397"/>
      <c r="BF422" s="2398"/>
    </row>
    <row r="423" spans="5:58" s="2390" customFormat="1" x14ac:dyDescent="0.2">
      <c r="E423" s="2391"/>
      <c r="G423" s="2391"/>
      <c r="N423" s="2392"/>
      <c r="O423" s="2393"/>
      <c r="S423" s="2394"/>
      <c r="T423" s="2394"/>
      <c r="U423" s="2394"/>
      <c r="V423" s="2394"/>
      <c r="W423" s="2394"/>
      <c r="X423" s="2394"/>
      <c r="BB423" s="2395"/>
      <c r="BC423" s="2396"/>
      <c r="BD423" s="2397"/>
      <c r="BE423" s="2397"/>
      <c r="BF423" s="2398"/>
    </row>
    <row r="424" spans="5:58" s="2390" customFormat="1" x14ac:dyDescent="0.2">
      <c r="E424" s="2391"/>
      <c r="G424" s="2391"/>
      <c r="N424" s="2392"/>
      <c r="O424" s="2393"/>
      <c r="S424" s="2394"/>
      <c r="T424" s="2394"/>
      <c r="U424" s="2394"/>
      <c r="V424" s="2394"/>
      <c r="W424" s="2394"/>
      <c r="X424" s="2394"/>
      <c r="BB424" s="2395"/>
      <c r="BC424" s="2396"/>
      <c r="BD424" s="2397"/>
      <c r="BE424" s="2397"/>
      <c r="BF424" s="2398"/>
    </row>
    <row r="425" spans="5:58" s="2390" customFormat="1" x14ac:dyDescent="0.2">
      <c r="E425" s="2391"/>
      <c r="G425" s="2391"/>
      <c r="N425" s="2392"/>
      <c r="O425" s="2393"/>
      <c r="S425" s="2394"/>
      <c r="T425" s="2394"/>
      <c r="U425" s="2394"/>
      <c r="V425" s="2394"/>
      <c r="W425" s="2394"/>
      <c r="X425" s="2394"/>
      <c r="BB425" s="2395"/>
      <c r="BC425" s="2396"/>
      <c r="BD425" s="2397"/>
      <c r="BE425" s="2397"/>
      <c r="BF425" s="2398"/>
    </row>
    <row r="426" spans="5:58" s="2390" customFormat="1" x14ac:dyDescent="0.2">
      <c r="E426" s="2391"/>
      <c r="G426" s="2391"/>
      <c r="N426" s="2392"/>
      <c r="O426" s="2393"/>
      <c r="S426" s="2394"/>
      <c r="T426" s="2394"/>
      <c r="U426" s="2394"/>
      <c r="V426" s="2394"/>
      <c r="W426" s="2394"/>
      <c r="X426" s="2394"/>
      <c r="BB426" s="2395"/>
      <c r="BC426" s="2396"/>
      <c r="BD426" s="2397"/>
      <c r="BE426" s="2397"/>
      <c r="BF426" s="2398"/>
    </row>
    <row r="427" spans="5:58" s="2390" customFormat="1" x14ac:dyDescent="0.2">
      <c r="E427" s="2391"/>
      <c r="G427" s="2391"/>
      <c r="N427" s="2392"/>
      <c r="O427" s="2393"/>
      <c r="S427" s="2394"/>
      <c r="T427" s="2394"/>
      <c r="U427" s="2394"/>
      <c r="V427" s="2394"/>
      <c r="W427" s="2394"/>
      <c r="X427" s="2394"/>
      <c r="BB427" s="2395"/>
      <c r="BC427" s="2396"/>
      <c r="BD427" s="2397"/>
      <c r="BE427" s="2397"/>
      <c r="BF427" s="2398"/>
    </row>
    <row r="428" spans="5:58" s="2390" customFormat="1" x14ac:dyDescent="0.2">
      <c r="E428" s="2391"/>
      <c r="G428" s="2391"/>
      <c r="N428" s="2392"/>
      <c r="O428" s="2393"/>
      <c r="S428" s="2394"/>
      <c r="T428" s="2394"/>
      <c r="U428" s="2394"/>
      <c r="V428" s="2394"/>
      <c r="W428" s="2394"/>
      <c r="X428" s="2394"/>
      <c r="BB428" s="2395"/>
      <c r="BC428" s="2396"/>
      <c r="BD428" s="2397"/>
      <c r="BE428" s="2397"/>
      <c r="BF428" s="2398"/>
    </row>
    <row r="429" spans="5:58" s="2390" customFormat="1" x14ac:dyDescent="0.2">
      <c r="E429" s="2391"/>
      <c r="G429" s="2391"/>
      <c r="N429" s="2392"/>
      <c r="O429" s="2393"/>
      <c r="S429" s="2394"/>
      <c r="T429" s="2394"/>
      <c r="U429" s="2394"/>
      <c r="V429" s="2394"/>
      <c r="W429" s="2394"/>
      <c r="X429" s="2394"/>
      <c r="BB429" s="2395"/>
      <c r="BC429" s="2396"/>
      <c r="BD429" s="2397"/>
      <c r="BE429" s="2397"/>
      <c r="BF429" s="2398"/>
    </row>
    <row r="430" spans="5:58" s="2390" customFormat="1" x14ac:dyDescent="0.2">
      <c r="E430" s="2391"/>
      <c r="G430" s="2391"/>
      <c r="N430" s="2392"/>
      <c r="O430" s="2393"/>
      <c r="S430" s="2394"/>
      <c r="T430" s="2394"/>
      <c r="U430" s="2394"/>
      <c r="V430" s="2394"/>
      <c r="W430" s="2394"/>
      <c r="X430" s="2394"/>
      <c r="BB430" s="2395"/>
      <c r="BC430" s="2396"/>
      <c r="BD430" s="2397"/>
      <c r="BE430" s="2397"/>
      <c r="BF430" s="2398"/>
    </row>
    <row r="431" spans="5:58" s="2390" customFormat="1" x14ac:dyDescent="0.2">
      <c r="E431" s="2391"/>
      <c r="G431" s="2391"/>
      <c r="N431" s="2392"/>
      <c r="O431" s="2393"/>
      <c r="S431" s="2394"/>
      <c r="T431" s="2394"/>
      <c r="U431" s="2394"/>
      <c r="V431" s="2394"/>
      <c r="W431" s="2394"/>
      <c r="X431" s="2394"/>
      <c r="BB431" s="2395"/>
      <c r="BC431" s="2396"/>
      <c r="BD431" s="2397"/>
      <c r="BE431" s="2397"/>
      <c r="BF431" s="2398"/>
    </row>
    <row r="432" spans="5:58" s="2390" customFormat="1" x14ac:dyDescent="0.2">
      <c r="E432" s="2391"/>
      <c r="G432" s="2391"/>
      <c r="N432" s="2392"/>
      <c r="O432" s="2393"/>
      <c r="S432" s="2394"/>
      <c r="T432" s="2394"/>
      <c r="U432" s="2394"/>
      <c r="V432" s="2394"/>
      <c r="W432" s="2394"/>
      <c r="X432" s="2394"/>
      <c r="BB432" s="2395"/>
      <c r="BC432" s="2396"/>
      <c r="BD432" s="2397"/>
      <c r="BE432" s="2397"/>
      <c r="BF432" s="2398"/>
    </row>
    <row r="433" spans="5:58" s="2390" customFormat="1" x14ac:dyDescent="0.2">
      <c r="E433" s="2391"/>
      <c r="G433" s="2391"/>
      <c r="N433" s="2392"/>
      <c r="O433" s="2393"/>
      <c r="S433" s="2394"/>
      <c r="T433" s="2394"/>
      <c r="U433" s="2394"/>
      <c r="V433" s="2394"/>
      <c r="W433" s="2394"/>
      <c r="X433" s="2394"/>
      <c r="BB433" s="2395"/>
      <c r="BC433" s="2396"/>
      <c r="BD433" s="2397"/>
      <c r="BE433" s="2397"/>
      <c r="BF433" s="2398"/>
    </row>
    <row r="434" spans="5:58" s="2390" customFormat="1" x14ac:dyDescent="0.2">
      <c r="E434" s="2391"/>
      <c r="G434" s="2391"/>
      <c r="N434" s="2392"/>
      <c r="O434" s="2393"/>
      <c r="S434" s="2394"/>
      <c r="T434" s="2394"/>
      <c r="U434" s="2394"/>
      <c r="V434" s="2394"/>
      <c r="W434" s="2394"/>
      <c r="X434" s="2394"/>
      <c r="BB434" s="2395"/>
      <c r="BC434" s="2396"/>
      <c r="BD434" s="2397"/>
      <c r="BE434" s="2397"/>
      <c r="BF434" s="2398"/>
    </row>
    <row r="435" spans="5:58" s="2390" customFormat="1" x14ac:dyDescent="0.2">
      <c r="E435" s="2391"/>
      <c r="G435" s="2391"/>
      <c r="N435" s="2392"/>
      <c r="O435" s="2393"/>
      <c r="S435" s="2394"/>
      <c r="T435" s="2394"/>
      <c r="U435" s="2394"/>
      <c r="V435" s="2394"/>
      <c r="W435" s="2394"/>
      <c r="X435" s="2394"/>
      <c r="BB435" s="2395"/>
      <c r="BC435" s="2396"/>
      <c r="BD435" s="2397"/>
      <c r="BE435" s="2397"/>
      <c r="BF435" s="2398"/>
    </row>
    <row r="436" spans="5:58" s="2390" customFormat="1" x14ac:dyDescent="0.2">
      <c r="E436" s="2391"/>
      <c r="G436" s="2391"/>
      <c r="N436" s="2392"/>
      <c r="O436" s="2393"/>
      <c r="S436" s="2394"/>
      <c r="T436" s="2394"/>
      <c r="U436" s="2394"/>
      <c r="V436" s="2394"/>
      <c r="W436" s="2394"/>
      <c r="X436" s="2394"/>
      <c r="BB436" s="2395"/>
      <c r="BC436" s="2396"/>
      <c r="BD436" s="2397"/>
      <c r="BE436" s="2397"/>
      <c r="BF436" s="2398"/>
    </row>
    <row r="437" spans="5:58" s="2390" customFormat="1" x14ac:dyDescent="0.2">
      <c r="E437" s="2391"/>
      <c r="G437" s="2391"/>
      <c r="N437" s="2392"/>
      <c r="O437" s="2393"/>
      <c r="S437" s="2394"/>
      <c r="T437" s="2394"/>
      <c r="U437" s="2394"/>
      <c r="V437" s="2394"/>
      <c r="W437" s="2394"/>
      <c r="X437" s="2394"/>
      <c r="BB437" s="2395"/>
      <c r="BC437" s="2396"/>
      <c r="BD437" s="2397"/>
      <c r="BE437" s="2397"/>
      <c r="BF437" s="2398"/>
    </row>
    <row r="438" spans="5:58" s="2390" customFormat="1" x14ac:dyDescent="0.2">
      <c r="E438" s="2391"/>
      <c r="G438" s="2391"/>
      <c r="N438" s="2392"/>
      <c r="O438" s="2393"/>
      <c r="S438" s="2394"/>
      <c r="T438" s="2394"/>
      <c r="U438" s="2394"/>
      <c r="V438" s="2394"/>
      <c r="W438" s="2394"/>
      <c r="X438" s="2394"/>
      <c r="BB438" s="2395"/>
      <c r="BC438" s="2396"/>
      <c r="BD438" s="2397"/>
      <c r="BE438" s="2397"/>
      <c r="BF438" s="2398"/>
    </row>
    <row r="439" spans="5:58" s="2390" customFormat="1" x14ac:dyDescent="0.2">
      <c r="E439" s="2391"/>
      <c r="G439" s="2391"/>
      <c r="N439" s="2392"/>
      <c r="O439" s="2393"/>
      <c r="S439" s="2394"/>
      <c r="T439" s="2394"/>
      <c r="U439" s="2394"/>
      <c r="V439" s="2394"/>
      <c r="W439" s="2394"/>
      <c r="X439" s="2394"/>
      <c r="BB439" s="2395"/>
      <c r="BC439" s="2396"/>
      <c r="BD439" s="2397"/>
      <c r="BE439" s="2397"/>
      <c r="BF439" s="2398"/>
    </row>
    <row r="440" spans="5:58" s="2390" customFormat="1" x14ac:dyDescent="0.2">
      <c r="E440" s="2391"/>
      <c r="G440" s="2391"/>
      <c r="N440" s="2392"/>
      <c r="O440" s="2393"/>
      <c r="S440" s="2394"/>
      <c r="T440" s="2394"/>
      <c r="U440" s="2394"/>
      <c r="V440" s="2394"/>
      <c r="W440" s="2394"/>
      <c r="X440" s="2394"/>
      <c r="BB440" s="2395"/>
      <c r="BC440" s="2396"/>
      <c r="BD440" s="2397"/>
      <c r="BE440" s="2397"/>
      <c r="BF440" s="2398"/>
    </row>
    <row r="441" spans="5:58" s="2390" customFormat="1" x14ac:dyDescent="0.2">
      <c r="E441" s="2391"/>
      <c r="G441" s="2391"/>
      <c r="N441" s="2392"/>
      <c r="O441" s="2393"/>
      <c r="S441" s="2394"/>
      <c r="T441" s="2394"/>
      <c r="U441" s="2394"/>
      <c r="V441" s="2394"/>
      <c r="W441" s="2394"/>
      <c r="X441" s="2394"/>
      <c r="BB441" s="2395"/>
      <c r="BC441" s="2396"/>
      <c r="BD441" s="2397"/>
      <c r="BE441" s="2397"/>
      <c r="BF441" s="2398"/>
    </row>
    <row r="442" spans="5:58" s="2390" customFormat="1" x14ac:dyDescent="0.2">
      <c r="E442" s="2391"/>
      <c r="G442" s="2391"/>
      <c r="N442" s="2392"/>
      <c r="O442" s="2393"/>
      <c r="S442" s="2394"/>
      <c r="T442" s="2394"/>
      <c r="U442" s="2394"/>
      <c r="V442" s="2394"/>
      <c r="W442" s="2394"/>
      <c r="X442" s="2394"/>
      <c r="BB442" s="2395"/>
      <c r="BC442" s="2396"/>
      <c r="BD442" s="2397"/>
      <c r="BE442" s="2397"/>
      <c r="BF442" s="2398"/>
    </row>
    <row r="443" spans="5:58" s="2390" customFormat="1" x14ac:dyDescent="0.2">
      <c r="E443" s="2391"/>
      <c r="G443" s="2391"/>
      <c r="N443" s="2392"/>
      <c r="O443" s="2393"/>
      <c r="S443" s="2394"/>
      <c r="T443" s="2394"/>
      <c r="U443" s="2394"/>
      <c r="V443" s="2394"/>
      <c r="W443" s="2394"/>
      <c r="X443" s="2394"/>
      <c r="BB443" s="2395"/>
      <c r="BC443" s="2396"/>
      <c r="BD443" s="2397"/>
      <c r="BE443" s="2397"/>
      <c r="BF443" s="2398"/>
    </row>
    <row r="444" spans="5:58" s="2390" customFormat="1" x14ac:dyDescent="0.2">
      <c r="E444" s="2391"/>
      <c r="G444" s="2391"/>
      <c r="N444" s="2392"/>
      <c r="O444" s="2393"/>
      <c r="S444" s="2394"/>
      <c r="T444" s="2394"/>
      <c r="U444" s="2394"/>
      <c r="V444" s="2394"/>
      <c r="W444" s="2394"/>
      <c r="X444" s="2394"/>
      <c r="BB444" s="2395"/>
      <c r="BC444" s="2396"/>
      <c r="BD444" s="2397"/>
      <c r="BE444" s="2397"/>
      <c r="BF444" s="2398"/>
    </row>
    <row r="445" spans="5:58" s="2390" customFormat="1" x14ac:dyDescent="0.2">
      <c r="E445" s="2391"/>
      <c r="G445" s="2391"/>
      <c r="N445" s="2392"/>
      <c r="O445" s="2393"/>
      <c r="S445" s="2394"/>
      <c r="T445" s="2394"/>
      <c r="U445" s="2394"/>
      <c r="V445" s="2394"/>
      <c r="W445" s="2394"/>
      <c r="X445" s="2394"/>
      <c r="BB445" s="2395"/>
      <c r="BC445" s="2396"/>
      <c r="BD445" s="2397"/>
      <c r="BE445" s="2397"/>
      <c r="BF445" s="2398"/>
    </row>
    <row r="446" spans="5:58" s="2390" customFormat="1" x14ac:dyDescent="0.2">
      <c r="E446" s="2391"/>
      <c r="G446" s="2391"/>
      <c r="N446" s="2392"/>
      <c r="O446" s="2393"/>
      <c r="S446" s="2394"/>
      <c r="T446" s="2394"/>
      <c r="U446" s="2394"/>
      <c r="V446" s="2394"/>
      <c r="W446" s="2394"/>
      <c r="X446" s="2394"/>
      <c r="BB446" s="2395"/>
      <c r="BC446" s="2396"/>
      <c r="BD446" s="2397"/>
      <c r="BE446" s="2397"/>
      <c r="BF446" s="2398"/>
    </row>
    <row r="447" spans="5:58" s="2390" customFormat="1" x14ac:dyDescent="0.2">
      <c r="E447" s="2391"/>
      <c r="G447" s="2391"/>
      <c r="N447" s="2392"/>
      <c r="O447" s="2393"/>
      <c r="S447" s="2394"/>
      <c r="T447" s="2394"/>
      <c r="U447" s="2394"/>
      <c r="V447" s="2394"/>
      <c r="W447" s="2394"/>
      <c r="X447" s="2394"/>
      <c r="BB447" s="2395"/>
      <c r="BC447" s="2396"/>
      <c r="BD447" s="2397"/>
      <c r="BE447" s="2397"/>
      <c r="BF447" s="2398"/>
    </row>
    <row r="448" spans="5:58" s="2390" customFormat="1" x14ac:dyDescent="0.2">
      <c r="E448" s="2391"/>
      <c r="G448" s="2391"/>
      <c r="N448" s="2392"/>
      <c r="O448" s="2393"/>
      <c r="S448" s="2394"/>
      <c r="T448" s="2394"/>
      <c r="U448" s="2394"/>
      <c r="V448" s="2394"/>
      <c r="W448" s="2394"/>
      <c r="X448" s="2394"/>
      <c r="BB448" s="2395"/>
      <c r="BC448" s="2396"/>
      <c r="BD448" s="2397"/>
      <c r="BE448" s="2397"/>
      <c r="BF448" s="2398"/>
    </row>
    <row r="449" spans="5:58" s="2390" customFormat="1" x14ac:dyDescent="0.2">
      <c r="E449" s="2391"/>
      <c r="G449" s="2391"/>
      <c r="N449" s="2392"/>
      <c r="O449" s="2393"/>
      <c r="S449" s="2394"/>
      <c r="T449" s="2394"/>
      <c r="U449" s="2394"/>
      <c r="V449" s="2394"/>
      <c r="W449" s="2394"/>
      <c r="X449" s="2394"/>
      <c r="BB449" s="2395"/>
      <c r="BC449" s="2396"/>
      <c r="BD449" s="2397"/>
      <c r="BE449" s="2397"/>
      <c r="BF449" s="2398"/>
    </row>
    <row r="450" spans="5:58" s="2390" customFormat="1" x14ac:dyDescent="0.2">
      <c r="E450" s="2391"/>
      <c r="G450" s="2391"/>
      <c r="N450" s="2392"/>
      <c r="O450" s="2393"/>
      <c r="S450" s="2394"/>
      <c r="T450" s="2394"/>
      <c r="U450" s="2394"/>
      <c r="V450" s="2394"/>
      <c r="W450" s="2394"/>
      <c r="X450" s="2394"/>
      <c r="BB450" s="2395"/>
      <c r="BC450" s="2396"/>
      <c r="BD450" s="2397"/>
      <c r="BE450" s="2397"/>
      <c r="BF450" s="2398"/>
    </row>
    <row r="451" spans="5:58" s="2390" customFormat="1" x14ac:dyDescent="0.2">
      <c r="E451" s="2391"/>
      <c r="G451" s="2391"/>
      <c r="N451" s="2392"/>
      <c r="O451" s="2393"/>
      <c r="S451" s="2394"/>
      <c r="T451" s="2394"/>
      <c r="U451" s="2394"/>
      <c r="V451" s="2394"/>
      <c r="W451" s="2394"/>
      <c r="X451" s="2394"/>
      <c r="BB451" s="2395"/>
      <c r="BC451" s="2396"/>
      <c r="BD451" s="2397"/>
      <c r="BE451" s="2397"/>
      <c r="BF451" s="2398"/>
    </row>
    <row r="452" spans="5:58" s="2390" customFormat="1" x14ac:dyDescent="0.2">
      <c r="E452" s="2391"/>
      <c r="G452" s="2391"/>
      <c r="N452" s="2392"/>
      <c r="O452" s="2393"/>
      <c r="S452" s="2394"/>
      <c r="T452" s="2394"/>
      <c r="U452" s="2394"/>
      <c r="V452" s="2394"/>
      <c r="W452" s="2394"/>
      <c r="X452" s="2394"/>
      <c r="BB452" s="2395"/>
      <c r="BC452" s="2396"/>
      <c r="BD452" s="2397"/>
      <c r="BE452" s="2397"/>
      <c r="BF452" s="2398"/>
    </row>
    <row r="453" spans="5:58" s="2390" customFormat="1" x14ac:dyDescent="0.2">
      <c r="E453" s="2391"/>
      <c r="G453" s="2391"/>
      <c r="N453" s="2392"/>
      <c r="O453" s="2393"/>
      <c r="S453" s="2394"/>
      <c r="T453" s="2394"/>
      <c r="U453" s="2394"/>
      <c r="V453" s="2394"/>
      <c r="W453" s="2394"/>
      <c r="X453" s="2394"/>
      <c r="BB453" s="2395"/>
      <c r="BC453" s="2396"/>
      <c r="BD453" s="2397"/>
      <c r="BE453" s="2397"/>
      <c r="BF453" s="2398"/>
    </row>
    <row r="454" spans="5:58" s="2390" customFormat="1" x14ac:dyDescent="0.2">
      <c r="E454" s="2391"/>
      <c r="G454" s="2391"/>
      <c r="N454" s="2392"/>
      <c r="O454" s="2393"/>
      <c r="S454" s="2394"/>
      <c r="T454" s="2394"/>
      <c r="U454" s="2394"/>
      <c r="V454" s="2394"/>
      <c r="W454" s="2394"/>
      <c r="X454" s="2394"/>
      <c r="BB454" s="2395"/>
      <c r="BC454" s="2396"/>
      <c r="BD454" s="2397"/>
      <c r="BE454" s="2397"/>
      <c r="BF454" s="2398"/>
    </row>
    <row r="455" spans="5:58" s="2390" customFormat="1" x14ac:dyDescent="0.2">
      <c r="E455" s="2391"/>
      <c r="G455" s="2391"/>
      <c r="N455" s="2392"/>
      <c r="O455" s="2393"/>
      <c r="S455" s="2394"/>
      <c r="T455" s="2394"/>
      <c r="U455" s="2394"/>
      <c r="V455" s="2394"/>
      <c r="W455" s="2394"/>
      <c r="X455" s="2394"/>
      <c r="BB455" s="2395"/>
      <c r="BC455" s="2396"/>
      <c r="BD455" s="2397"/>
      <c r="BE455" s="2397"/>
      <c r="BF455" s="2398"/>
    </row>
    <row r="456" spans="5:58" s="2390" customFormat="1" x14ac:dyDescent="0.2">
      <c r="E456" s="2391"/>
      <c r="G456" s="2391"/>
      <c r="N456" s="2392"/>
      <c r="O456" s="2393"/>
      <c r="S456" s="2394"/>
      <c r="T456" s="2394"/>
      <c r="U456" s="2394"/>
      <c r="V456" s="2394"/>
      <c r="W456" s="2394"/>
      <c r="X456" s="2394"/>
      <c r="BB456" s="2395"/>
      <c r="BC456" s="2396"/>
      <c r="BD456" s="2397"/>
      <c r="BE456" s="2397"/>
      <c r="BF456" s="2398"/>
    </row>
    <row r="457" spans="5:58" s="2390" customFormat="1" x14ac:dyDescent="0.2">
      <c r="E457" s="2391"/>
      <c r="G457" s="2391"/>
      <c r="N457" s="2392"/>
      <c r="O457" s="2393"/>
      <c r="S457" s="2394"/>
      <c r="T457" s="2394"/>
      <c r="U457" s="2394"/>
      <c r="V457" s="2394"/>
      <c r="W457" s="2394"/>
      <c r="X457" s="2394"/>
      <c r="BB457" s="2395"/>
      <c r="BC457" s="2396"/>
      <c r="BD457" s="2397"/>
      <c r="BE457" s="2397"/>
      <c r="BF457" s="2398"/>
    </row>
    <row r="458" spans="5:58" s="2390" customFormat="1" x14ac:dyDescent="0.2">
      <c r="E458" s="2391"/>
      <c r="G458" s="2391"/>
      <c r="N458" s="2392"/>
      <c r="O458" s="2393"/>
      <c r="S458" s="2394"/>
      <c r="T458" s="2394"/>
      <c r="U458" s="2394"/>
      <c r="V458" s="2394"/>
      <c r="W458" s="2394"/>
      <c r="X458" s="2394"/>
      <c r="BB458" s="2395"/>
      <c r="BC458" s="2396"/>
      <c r="BD458" s="2397"/>
      <c r="BE458" s="2397"/>
      <c r="BF458" s="2398"/>
    </row>
    <row r="459" spans="5:58" s="2390" customFormat="1" x14ac:dyDescent="0.2">
      <c r="E459" s="2391"/>
      <c r="G459" s="2391"/>
      <c r="N459" s="2392"/>
      <c r="O459" s="2393"/>
      <c r="S459" s="2394"/>
      <c r="T459" s="2394"/>
      <c r="U459" s="2394"/>
      <c r="V459" s="2394"/>
      <c r="W459" s="2394"/>
      <c r="X459" s="2394"/>
      <c r="BB459" s="2395"/>
      <c r="BC459" s="2396"/>
      <c r="BD459" s="2397"/>
      <c r="BE459" s="2397"/>
      <c r="BF459" s="2398"/>
    </row>
    <row r="460" spans="5:58" s="2390" customFormat="1" x14ac:dyDescent="0.2">
      <c r="E460" s="2391"/>
      <c r="G460" s="2391"/>
      <c r="N460" s="2392"/>
      <c r="O460" s="2393"/>
      <c r="S460" s="2394"/>
      <c r="T460" s="2394"/>
      <c r="U460" s="2394"/>
      <c r="V460" s="2394"/>
      <c r="W460" s="2394"/>
      <c r="X460" s="2394"/>
      <c r="BB460" s="2395"/>
      <c r="BC460" s="2396"/>
      <c r="BD460" s="2397"/>
      <c r="BE460" s="2397"/>
      <c r="BF460" s="2398"/>
    </row>
    <row r="461" spans="5:58" s="2390" customFormat="1" x14ac:dyDescent="0.2">
      <c r="E461" s="2391"/>
      <c r="G461" s="2391"/>
      <c r="N461" s="2392"/>
      <c r="O461" s="2393"/>
      <c r="S461" s="2394"/>
      <c r="T461" s="2394"/>
      <c r="U461" s="2394"/>
      <c r="V461" s="2394"/>
      <c r="W461" s="2394"/>
      <c r="X461" s="2394"/>
      <c r="BB461" s="2395"/>
      <c r="BC461" s="2396"/>
      <c r="BD461" s="2397"/>
      <c r="BE461" s="2397"/>
      <c r="BF461" s="2398"/>
    </row>
    <row r="462" spans="5:58" s="2390" customFormat="1" x14ac:dyDescent="0.2">
      <c r="E462" s="2391"/>
      <c r="G462" s="2391"/>
      <c r="N462" s="2392"/>
      <c r="O462" s="2393"/>
      <c r="S462" s="2394"/>
      <c r="T462" s="2394"/>
      <c r="U462" s="2394"/>
      <c r="V462" s="2394"/>
      <c r="W462" s="2394"/>
      <c r="X462" s="2394"/>
      <c r="BB462" s="2395"/>
      <c r="BC462" s="2396"/>
      <c r="BD462" s="2397"/>
      <c r="BE462" s="2397"/>
      <c r="BF462" s="2398"/>
    </row>
    <row r="463" spans="5:58" s="2390" customFormat="1" x14ac:dyDescent="0.2">
      <c r="E463" s="2391"/>
      <c r="G463" s="2391"/>
      <c r="N463" s="2392"/>
      <c r="O463" s="2393"/>
      <c r="S463" s="2394"/>
      <c r="T463" s="2394"/>
      <c r="U463" s="2394"/>
      <c r="V463" s="2394"/>
      <c r="W463" s="2394"/>
      <c r="X463" s="2394"/>
      <c r="BB463" s="2395"/>
      <c r="BC463" s="2396"/>
      <c r="BD463" s="2397"/>
      <c r="BE463" s="2397"/>
      <c r="BF463" s="2398"/>
    </row>
    <row r="464" spans="5:58" s="2390" customFormat="1" x14ac:dyDescent="0.2">
      <c r="E464" s="2391"/>
      <c r="G464" s="2391"/>
      <c r="N464" s="2392"/>
      <c r="O464" s="2393"/>
      <c r="S464" s="2394"/>
      <c r="T464" s="2394"/>
      <c r="U464" s="2394"/>
      <c r="V464" s="2394"/>
      <c r="W464" s="2394"/>
      <c r="X464" s="2394"/>
      <c r="BB464" s="2395"/>
      <c r="BC464" s="2396"/>
      <c r="BD464" s="2397"/>
      <c r="BE464" s="2397"/>
      <c r="BF464" s="2398"/>
    </row>
    <row r="465" spans="5:58" s="2390" customFormat="1" x14ac:dyDescent="0.2">
      <c r="E465" s="2391"/>
      <c r="G465" s="2391"/>
      <c r="N465" s="2392"/>
      <c r="O465" s="2393"/>
      <c r="S465" s="2394"/>
      <c r="T465" s="2394"/>
      <c r="U465" s="2394"/>
      <c r="V465" s="2394"/>
      <c r="W465" s="2394"/>
      <c r="X465" s="2394"/>
      <c r="BB465" s="2395"/>
      <c r="BC465" s="2396"/>
      <c r="BD465" s="2397"/>
      <c r="BE465" s="2397"/>
      <c r="BF465" s="2398"/>
    </row>
    <row r="466" spans="5:58" s="2390" customFormat="1" x14ac:dyDescent="0.2">
      <c r="E466" s="2391"/>
      <c r="G466" s="2391"/>
      <c r="N466" s="2392"/>
      <c r="O466" s="2393"/>
      <c r="S466" s="2394"/>
      <c r="T466" s="2394"/>
      <c r="U466" s="2394"/>
      <c r="V466" s="2394"/>
      <c r="W466" s="2394"/>
      <c r="X466" s="2394"/>
      <c r="BB466" s="2395"/>
      <c r="BC466" s="2396"/>
      <c r="BD466" s="2397"/>
      <c r="BE466" s="2397"/>
      <c r="BF466" s="2398"/>
    </row>
    <row r="467" spans="5:58" s="2390" customFormat="1" x14ac:dyDescent="0.2">
      <c r="E467" s="2391"/>
      <c r="G467" s="2391"/>
      <c r="N467" s="2392"/>
      <c r="O467" s="2393"/>
      <c r="S467" s="2394"/>
      <c r="T467" s="2394"/>
      <c r="U467" s="2394"/>
      <c r="V467" s="2394"/>
      <c r="W467" s="2394"/>
      <c r="X467" s="2394"/>
      <c r="BB467" s="2395"/>
      <c r="BC467" s="2396"/>
      <c r="BD467" s="2397"/>
      <c r="BE467" s="2397"/>
      <c r="BF467" s="2398"/>
    </row>
    <row r="468" spans="5:58" s="2390" customFormat="1" x14ac:dyDescent="0.2">
      <c r="E468" s="2391"/>
      <c r="G468" s="2391"/>
      <c r="N468" s="2392"/>
      <c r="O468" s="2393"/>
      <c r="S468" s="2394"/>
      <c r="T468" s="2394"/>
      <c r="U468" s="2394"/>
      <c r="V468" s="2394"/>
      <c r="W468" s="2394"/>
      <c r="X468" s="2394"/>
      <c r="BB468" s="2395"/>
      <c r="BC468" s="2396"/>
      <c r="BD468" s="2397"/>
      <c r="BE468" s="2397"/>
      <c r="BF468" s="2398"/>
    </row>
    <row r="469" spans="5:58" s="2390" customFormat="1" x14ac:dyDescent="0.2">
      <c r="E469" s="2391"/>
      <c r="G469" s="2391"/>
      <c r="N469" s="2392"/>
      <c r="O469" s="2393"/>
      <c r="S469" s="2394"/>
      <c r="T469" s="2394"/>
      <c r="U469" s="2394"/>
      <c r="V469" s="2394"/>
      <c r="W469" s="2394"/>
      <c r="X469" s="2394"/>
      <c r="BB469" s="2395"/>
      <c r="BC469" s="2396"/>
      <c r="BD469" s="2397"/>
      <c r="BE469" s="2397"/>
      <c r="BF469" s="2398"/>
    </row>
    <row r="470" spans="5:58" s="2390" customFormat="1" x14ac:dyDescent="0.2">
      <c r="E470" s="2391"/>
      <c r="G470" s="2391"/>
      <c r="N470" s="2392"/>
      <c r="O470" s="2393"/>
      <c r="S470" s="2394"/>
      <c r="T470" s="2394"/>
      <c r="U470" s="2394"/>
      <c r="V470" s="2394"/>
      <c r="W470" s="2394"/>
      <c r="X470" s="2394"/>
      <c r="BB470" s="2395"/>
      <c r="BC470" s="2396"/>
      <c r="BD470" s="2397"/>
      <c r="BE470" s="2397"/>
      <c r="BF470" s="2398"/>
    </row>
    <row r="471" spans="5:58" s="2390" customFormat="1" x14ac:dyDescent="0.2">
      <c r="E471" s="2391"/>
      <c r="G471" s="2391"/>
      <c r="N471" s="2392"/>
      <c r="O471" s="2393"/>
      <c r="S471" s="2394"/>
      <c r="T471" s="2394"/>
      <c r="U471" s="2394"/>
      <c r="V471" s="2394"/>
      <c r="W471" s="2394"/>
      <c r="X471" s="2394"/>
      <c r="BB471" s="2395"/>
      <c r="BC471" s="2396"/>
      <c r="BD471" s="2397"/>
      <c r="BE471" s="2397"/>
      <c r="BF471" s="2398"/>
    </row>
    <row r="472" spans="5:58" s="2390" customFormat="1" x14ac:dyDescent="0.2">
      <c r="E472" s="2391"/>
      <c r="G472" s="2391"/>
      <c r="N472" s="2392"/>
      <c r="O472" s="2393"/>
      <c r="S472" s="2394"/>
      <c r="T472" s="2394"/>
      <c r="U472" s="2394"/>
      <c r="V472" s="2394"/>
      <c r="W472" s="2394"/>
      <c r="X472" s="2394"/>
      <c r="BB472" s="2395"/>
      <c r="BC472" s="2396"/>
      <c r="BD472" s="2397"/>
      <c r="BE472" s="2397"/>
      <c r="BF472" s="2398"/>
    </row>
    <row r="473" spans="5:58" s="2390" customFormat="1" x14ac:dyDescent="0.2">
      <c r="E473" s="2391"/>
      <c r="G473" s="2391"/>
      <c r="N473" s="2392"/>
      <c r="O473" s="2393"/>
      <c r="S473" s="2394"/>
      <c r="T473" s="2394"/>
      <c r="U473" s="2394"/>
      <c r="V473" s="2394"/>
      <c r="W473" s="2394"/>
      <c r="X473" s="2394"/>
      <c r="BB473" s="2395"/>
      <c r="BC473" s="2396"/>
      <c r="BD473" s="2397"/>
      <c r="BE473" s="2397"/>
      <c r="BF473" s="2398"/>
    </row>
    <row r="474" spans="5:58" s="2390" customFormat="1" x14ac:dyDescent="0.2">
      <c r="E474" s="2391"/>
      <c r="G474" s="2391"/>
      <c r="N474" s="2392"/>
      <c r="O474" s="2393"/>
      <c r="S474" s="2394"/>
      <c r="T474" s="2394"/>
      <c r="U474" s="2394"/>
      <c r="V474" s="2394"/>
      <c r="W474" s="2394"/>
      <c r="X474" s="2394"/>
      <c r="BB474" s="2395"/>
      <c r="BC474" s="2396"/>
      <c r="BD474" s="2397"/>
      <c r="BE474" s="2397"/>
      <c r="BF474" s="2398"/>
    </row>
    <row r="475" spans="5:58" s="2390" customFormat="1" x14ac:dyDescent="0.2">
      <c r="E475" s="2391"/>
      <c r="G475" s="2391"/>
      <c r="N475" s="2392"/>
      <c r="O475" s="2393"/>
      <c r="S475" s="2394"/>
      <c r="T475" s="2394"/>
      <c r="U475" s="2394"/>
      <c r="V475" s="2394"/>
      <c r="W475" s="2394"/>
      <c r="X475" s="2394"/>
      <c r="BB475" s="2395"/>
      <c r="BC475" s="2396"/>
      <c r="BD475" s="2397"/>
      <c r="BE475" s="2397"/>
      <c r="BF475" s="2398"/>
    </row>
    <row r="476" spans="5:58" s="2390" customFormat="1" x14ac:dyDescent="0.2">
      <c r="E476" s="2391"/>
      <c r="G476" s="2391"/>
      <c r="N476" s="2392"/>
      <c r="O476" s="2393"/>
      <c r="S476" s="2394"/>
      <c r="T476" s="2394"/>
      <c r="U476" s="2394"/>
      <c r="V476" s="2394"/>
      <c r="W476" s="2394"/>
      <c r="X476" s="2394"/>
      <c r="BB476" s="2395"/>
      <c r="BC476" s="2396"/>
      <c r="BD476" s="2397"/>
      <c r="BE476" s="2397"/>
      <c r="BF476" s="2398"/>
    </row>
    <row r="477" spans="5:58" s="2390" customFormat="1" x14ac:dyDescent="0.2">
      <c r="E477" s="2391"/>
      <c r="G477" s="2391"/>
      <c r="N477" s="2392"/>
      <c r="O477" s="2393"/>
      <c r="S477" s="2394"/>
      <c r="T477" s="2394"/>
      <c r="U477" s="2394"/>
      <c r="V477" s="2394"/>
      <c r="W477" s="2394"/>
      <c r="X477" s="2394"/>
      <c r="BB477" s="2395"/>
      <c r="BC477" s="2396"/>
      <c r="BD477" s="2397"/>
      <c r="BE477" s="2397"/>
      <c r="BF477" s="2398"/>
    </row>
    <row r="478" spans="5:58" s="2390" customFormat="1" x14ac:dyDescent="0.2">
      <c r="E478" s="2391"/>
      <c r="G478" s="2391"/>
      <c r="N478" s="2392"/>
      <c r="O478" s="2393"/>
      <c r="S478" s="2394"/>
      <c r="T478" s="2394"/>
      <c r="U478" s="2394"/>
      <c r="V478" s="2394"/>
      <c r="W478" s="2394"/>
      <c r="X478" s="2394"/>
      <c r="BB478" s="2395"/>
      <c r="BC478" s="2396"/>
      <c r="BD478" s="2397"/>
      <c r="BE478" s="2397"/>
      <c r="BF478" s="2398"/>
    </row>
    <row r="479" spans="5:58" s="2390" customFormat="1" x14ac:dyDescent="0.2">
      <c r="E479" s="2391"/>
      <c r="G479" s="2391"/>
      <c r="N479" s="2392"/>
      <c r="O479" s="2393"/>
      <c r="S479" s="2394"/>
      <c r="T479" s="2394"/>
      <c r="U479" s="2394"/>
      <c r="V479" s="2394"/>
      <c r="W479" s="2394"/>
      <c r="X479" s="2394"/>
      <c r="BB479" s="2395"/>
      <c r="BC479" s="2396"/>
      <c r="BD479" s="2397"/>
      <c r="BE479" s="2397"/>
      <c r="BF479" s="2398"/>
    </row>
    <row r="480" spans="5:58" s="2390" customFormat="1" x14ac:dyDescent="0.2">
      <c r="E480" s="2391"/>
      <c r="G480" s="2391"/>
      <c r="N480" s="2392"/>
      <c r="O480" s="2393"/>
      <c r="S480" s="2394"/>
      <c r="T480" s="2394"/>
      <c r="U480" s="2394"/>
      <c r="V480" s="2394"/>
      <c r="W480" s="2394"/>
      <c r="X480" s="2394"/>
      <c r="BB480" s="2395"/>
      <c r="BC480" s="2396"/>
      <c r="BD480" s="2397"/>
      <c r="BE480" s="2397"/>
      <c r="BF480" s="2398"/>
    </row>
    <row r="481" spans="5:58" s="2390" customFormat="1" x14ac:dyDescent="0.2">
      <c r="E481" s="2391"/>
      <c r="G481" s="2391"/>
      <c r="N481" s="2392"/>
      <c r="O481" s="2393"/>
      <c r="S481" s="2394"/>
      <c r="T481" s="2394"/>
      <c r="U481" s="2394"/>
      <c r="V481" s="2394"/>
      <c r="W481" s="2394"/>
      <c r="X481" s="2394"/>
      <c r="BB481" s="2395"/>
      <c r="BC481" s="2396"/>
      <c r="BD481" s="2397"/>
      <c r="BE481" s="2397"/>
      <c r="BF481" s="2398"/>
    </row>
    <row r="482" spans="5:58" s="2390" customFormat="1" x14ac:dyDescent="0.2">
      <c r="E482" s="2391"/>
      <c r="G482" s="2391"/>
      <c r="N482" s="2392"/>
      <c r="O482" s="2393"/>
      <c r="S482" s="2394"/>
      <c r="T482" s="2394"/>
      <c r="U482" s="2394"/>
      <c r="V482" s="2394"/>
      <c r="W482" s="2394"/>
      <c r="X482" s="2394"/>
      <c r="BB482" s="2395"/>
      <c r="BC482" s="2396"/>
      <c r="BD482" s="2397"/>
      <c r="BE482" s="2397"/>
      <c r="BF482" s="2398"/>
    </row>
    <row r="483" spans="5:58" s="2390" customFormat="1" x14ac:dyDescent="0.2">
      <c r="E483" s="2391"/>
      <c r="G483" s="2391"/>
      <c r="N483" s="2392"/>
      <c r="O483" s="2393"/>
      <c r="S483" s="2394"/>
      <c r="T483" s="2394"/>
      <c r="U483" s="2394"/>
      <c r="V483" s="2394"/>
      <c r="W483" s="2394"/>
      <c r="X483" s="2394"/>
      <c r="BB483" s="2395"/>
      <c r="BC483" s="2396"/>
      <c r="BD483" s="2397"/>
      <c r="BE483" s="2397"/>
      <c r="BF483" s="2398"/>
    </row>
    <row r="484" spans="5:58" s="2390" customFormat="1" x14ac:dyDescent="0.2">
      <c r="E484" s="2391"/>
      <c r="G484" s="2391"/>
      <c r="N484" s="2392"/>
      <c r="O484" s="2393"/>
      <c r="S484" s="2394"/>
      <c r="T484" s="2394"/>
      <c r="U484" s="2394"/>
      <c r="V484" s="2394"/>
      <c r="W484" s="2394"/>
      <c r="X484" s="2394"/>
      <c r="BB484" s="2395"/>
      <c r="BC484" s="2396"/>
      <c r="BD484" s="2397"/>
      <c r="BE484" s="2397"/>
      <c r="BF484" s="2398"/>
    </row>
    <row r="485" spans="5:58" s="2390" customFormat="1" x14ac:dyDescent="0.2">
      <c r="E485" s="2391"/>
      <c r="G485" s="2391"/>
      <c r="N485" s="2392"/>
      <c r="O485" s="2393"/>
      <c r="S485" s="2394"/>
      <c r="T485" s="2394"/>
      <c r="U485" s="2394"/>
      <c r="V485" s="2394"/>
      <c r="W485" s="2394"/>
      <c r="X485" s="2394"/>
      <c r="BB485" s="2395"/>
      <c r="BC485" s="2396"/>
      <c r="BD485" s="2397"/>
      <c r="BE485" s="2397"/>
      <c r="BF485" s="2398"/>
    </row>
    <row r="486" spans="5:58" s="2390" customFormat="1" x14ac:dyDescent="0.2">
      <c r="E486" s="2391"/>
      <c r="G486" s="2391"/>
      <c r="N486" s="2392"/>
      <c r="O486" s="2393"/>
      <c r="S486" s="2394"/>
      <c r="T486" s="2394"/>
      <c r="U486" s="2394"/>
      <c r="V486" s="2394"/>
      <c r="W486" s="2394"/>
      <c r="X486" s="2394"/>
      <c r="BB486" s="2395"/>
      <c r="BC486" s="2396"/>
      <c r="BD486" s="2397"/>
      <c r="BE486" s="2397"/>
      <c r="BF486" s="2398"/>
    </row>
    <row r="487" spans="5:58" s="2390" customFormat="1" x14ac:dyDescent="0.2">
      <c r="E487" s="2391"/>
      <c r="G487" s="2391"/>
      <c r="N487" s="2392"/>
      <c r="O487" s="2393"/>
      <c r="S487" s="2394"/>
      <c r="T487" s="2394"/>
      <c r="U487" s="2394"/>
      <c r="V487" s="2394"/>
      <c r="W487" s="2394"/>
      <c r="X487" s="2394"/>
      <c r="BB487" s="2395"/>
      <c r="BC487" s="2396"/>
      <c r="BD487" s="2397"/>
      <c r="BE487" s="2397"/>
      <c r="BF487" s="2398"/>
    </row>
    <row r="488" spans="5:58" s="2390" customFormat="1" x14ac:dyDescent="0.2">
      <c r="E488" s="2391"/>
      <c r="G488" s="2391"/>
      <c r="N488" s="2392"/>
      <c r="O488" s="2393"/>
      <c r="S488" s="2394"/>
      <c r="T488" s="2394"/>
      <c r="U488" s="2394"/>
      <c r="V488" s="2394"/>
      <c r="W488" s="2394"/>
      <c r="X488" s="2394"/>
      <c r="BB488" s="2395"/>
      <c r="BC488" s="2396"/>
      <c r="BD488" s="2397"/>
      <c r="BE488" s="2397"/>
      <c r="BF488" s="2398"/>
    </row>
    <row r="489" spans="5:58" s="2390" customFormat="1" x14ac:dyDescent="0.2">
      <c r="E489" s="2391"/>
      <c r="G489" s="2391"/>
      <c r="N489" s="2392"/>
      <c r="O489" s="2393"/>
      <c r="S489" s="2394"/>
      <c r="T489" s="2394"/>
      <c r="U489" s="2394"/>
      <c r="V489" s="2394"/>
      <c r="W489" s="2394"/>
      <c r="X489" s="2394"/>
      <c r="BB489" s="2395"/>
      <c r="BC489" s="2396"/>
      <c r="BD489" s="2397"/>
      <c r="BE489" s="2397"/>
      <c r="BF489" s="2398"/>
    </row>
    <row r="490" spans="5:58" s="2390" customFormat="1" x14ac:dyDescent="0.2">
      <c r="E490" s="2391"/>
      <c r="G490" s="2391"/>
      <c r="N490" s="2392"/>
      <c r="O490" s="2393"/>
      <c r="S490" s="2394"/>
      <c r="T490" s="2394"/>
      <c r="U490" s="2394"/>
      <c r="V490" s="2394"/>
      <c r="W490" s="2394"/>
      <c r="X490" s="2394"/>
      <c r="BB490" s="2395"/>
      <c r="BC490" s="2396"/>
      <c r="BD490" s="2397"/>
      <c r="BE490" s="2397"/>
      <c r="BF490" s="2398"/>
    </row>
    <row r="491" spans="5:58" s="2390" customFormat="1" x14ac:dyDescent="0.2">
      <c r="E491" s="2391"/>
      <c r="G491" s="2391"/>
      <c r="N491" s="2392"/>
      <c r="O491" s="2393"/>
      <c r="S491" s="2394"/>
      <c r="T491" s="2394"/>
      <c r="U491" s="2394"/>
      <c r="V491" s="2394"/>
      <c r="W491" s="2394"/>
      <c r="X491" s="2394"/>
      <c r="BB491" s="2395"/>
      <c r="BC491" s="2396"/>
      <c r="BD491" s="2397"/>
      <c r="BE491" s="2397"/>
      <c r="BF491" s="2398"/>
    </row>
    <row r="492" spans="5:58" s="2390" customFormat="1" x14ac:dyDescent="0.2">
      <c r="E492" s="2391"/>
      <c r="G492" s="2391"/>
      <c r="N492" s="2392"/>
      <c r="O492" s="2393"/>
      <c r="S492" s="2394"/>
      <c r="T492" s="2394"/>
      <c r="U492" s="2394"/>
      <c r="V492" s="2394"/>
      <c r="W492" s="2394"/>
      <c r="X492" s="2394"/>
      <c r="BB492" s="2395"/>
      <c r="BC492" s="2396"/>
      <c r="BD492" s="2397"/>
      <c r="BE492" s="2397"/>
      <c r="BF492" s="2398"/>
    </row>
    <row r="493" spans="5:58" s="2390" customFormat="1" x14ac:dyDescent="0.2">
      <c r="E493" s="2391"/>
      <c r="G493" s="2391"/>
      <c r="N493" s="2392"/>
      <c r="O493" s="2393"/>
      <c r="S493" s="2394"/>
      <c r="T493" s="2394"/>
      <c r="U493" s="2394"/>
      <c r="V493" s="2394"/>
      <c r="W493" s="2394"/>
      <c r="X493" s="2394"/>
      <c r="BB493" s="2395"/>
      <c r="BC493" s="2396"/>
      <c r="BD493" s="2397"/>
      <c r="BE493" s="2397"/>
      <c r="BF493" s="2398"/>
    </row>
    <row r="494" spans="5:58" s="2390" customFormat="1" x14ac:dyDescent="0.2">
      <c r="E494" s="2391"/>
      <c r="G494" s="2391"/>
      <c r="N494" s="2392"/>
      <c r="O494" s="2393"/>
      <c r="S494" s="2394"/>
      <c r="T494" s="2394"/>
      <c r="U494" s="2394"/>
      <c r="V494" s="2394"/>
      <c r="W494" s="2394"/>
      <c r="X494" s="2394"/>
      <c r="BB494" s="2395"/>
      <c r="BC494" s="2396"/>
      <c r="BD494" s="2397"/>
      <c r="BE494" s="2397"/>
      <c r="BF494" s="2398"/>
    </row>
    <row r="495" spans="5:58" s="2390" customFormat="1" x14ac:dyDescent="0.2">
      <c r="E495" s="2391"/>
      <c r="G495" s="2391"/>
      <c r="N495" s="2392"/>
      <c r="O495" s="2393"/>
      <c r="S495" s="2394"/>
      <c r="T495" s="2394"/>
      <c r="U495" s="2394"/>
      <c r="V495" s="2394"/>
      <c r="W495" s="2394"/>
      <c r="X495" s="2394"/>
      <c r="BB495" s="2395"/>
      <c r="BC495" s="2396"/>
      <c r="BD495" s="2397"/>
      <c r="BE495" s="2397"/>
      <c r="BF495" s="2398"/>
    </row>
    <row r="496" spans="5:58" s="2390" customFormat="1" x14ac:dyDescent="0.2">
      <c r="E496" s="2391"/>
      <c r="G496" s="2391"/>
      <c r="N496" s="2392"/>
      <c r="O496" s="2393"/>
      <c r="S496" s="2394"/>
      <c r="T496" s="2394"/>
      <c r="U496" s="2394"/>
      <c r="V496" s="2394"/>
      <c r="W496" s="2394"/>
      <c r="X496" s="2394"/>
      <c r="BB496" s="2395"/>
      <c r="BC496" s="2396"/>
      <c r="BD496" s="2397"/>
      <c r="BE496" s="2397"/>
      <c r="BF496" s="2398"/>
    </row>
    <row r="497" spans="5:58" s="2390" customFormat="1" x14ac:dyDescent="0.2">
      <c r="E497" s="2391"/>
      <c r="G497" s="2391"/>
      <c r="N497" s="2392"/>
      <c r="O497" s="2393"/>
      <c r="S497" s="2394"/>
      <c r="T497" s="2394"/>
      <c r="U497" s="2394"/>
      <c r="V497" s="2394"/>
      <c r="W497" s="2394"/>
      <c r="X497" s="2394"/>
      <c r="BB497" s="2395"/>
      <c r="BC497" s="2396"/>
      <c r="BD497" s="2397"/>
      <c r="BE497" s="2397"/>
      <c r="BF497" s="2398"/>
    </row>
    <row r="498" spans="5:58" s="2390" customFormat="1" x14ac:dyDescent="0.2">
      <c r="E498" s="2391"/>
      <c r="G498" s="2391"/>
      <c r="N498" s="2392"/>
      <c r="O498" s="2393"/>
      <c r="S498" s="2394"/>
      <c r="T498" s="2394"/>
      <c r="U498" s="2394"/>
      <c r="V498" s="2394"/>
      <c r="W498" s="2394"/>
      <c r="X498" s="2394"/>
      <c r="BB498" s="2395"/>
      <c r="BC498" s="2396"/>
      <c r="BD498" s="2397"/>
      <c r="BE498" s="2397"/>
      <c r="BF498" s="2398"/>
    </row>
    <row r="499" spans="5:58" s="2390" customFormat="1" x14ac:dyDescent="0.2">
      <c r="E499" s="2391"/>
      <c r="G499" s="2391"/>
      <c r="N499" s="2392"/>
      <c r="O499" s="2393"/>
      <c r="S499" s="2394"/>
      <c r="T499" s="2394"/>
      <c r="U499" s="2394"/>
      <c r="V499" s="2394"/>
      <c r="W499" s="2394"/>
      <c r="X499" s="2394"/>
      <c r="BB499" s="2395"/>
      <c r="BC499" s="2396"/>
      <c r="BD499" s="2397"/>
      <c r="BE499" s="2397"/>
      <c r="BF499" s="2398"/>
    </row>
    <row r="500" spans="5:58" s="2390" customFormat="1" x14ac:dyDescent="0.2">
      <c r="E500" s="2391"/>
      <c r="G500" s="2391"/>
      <c r="N500" s="2392"/>
      <c r="O500" s="2393"/>
      <c r="S500" s="2394"/>
      <c r="T500" s="2394"/>
      <c r="U500" s="2394"/>
      <c r="V500" s="2394"/>
      <c r="W500" s="2394"/>
      <c r="X500" s="2394"/>
      <c r="BB500" s="2395"/>
      <c r="BC500" s="2396"/>
      <c r="BD500" s="2397"/>
      <c r="BE500" s="2397"/>
      <c r="BF500" s="2398"/>
    </row>
    <row r="501" spans="5:58" s="2390" customFormat="1" x14ac:dyDescent="0.2">
      <c r="E501" s="2391"/>
      <c r="G501" s="2391"/>
      <c r="N501" s="2392"/>
      <c r="O501" s="2393"/>
      <c r="S501" s="2394"/>
      <c r="T501" s="2394"/>
      <c r="U501" s="2394"/>
      <c r="V501" s="2394"/>
      <c r="W501" s="2394"/>
      <c r="X501" s="2394"/>
      <c r="BB501" s="2395"/>
      <c r="BC501" s="2396"/>
      <c r="BD501" s="2397"/>
      <c r="BE501" s="2397"/>
      <c r="BF501" s="2398"/>
    </row>
    <row r="502" spans="5:58" s="2390" customFormat="1" x14ac:dyDescent="0.2">
      <c r="E502" s="2391"/>
      <c r="G502" s="2391"/>
      <c r="N502" s="2392"/>
      <c r="O502" s="2393"/>
      <c r="S502" s="2394"/>
      <c r="T502" s="2394"/>
      <c r="U502" s="2394"/>
      <c r="V502" s="2394"/>
      <c r="W502" s="2394"/>
      <c r="X502" s="2394"/>
      <c r="BB502" s="2395"/>
      <c r="BC502" s="2396"/>
      <c r="BD502" s="2397"/>
      <c r="BE502" s="2397"/>
      <c r="BF502" s="2398"/>
    </row>
    <row r="503" spans="5:58" s="2390" customFormat="1" x14ac:dyDescent="0.2">
      <c r="E503" s="2391"/>
      <c r="G503" s="2391"/>
      <c r="N503" s="2392"/>
      <c r="O503" s="2393"/>
      <c r="S503" s="2394"/>
      <c r="T503" s="2394"/>
      <c r="U503" s="2394"/>
      <c r="V503" s="2394"/>
      <c r="W503" s="2394"/>
      <c r="X503" s="2394"/>
      <c r="BB503" s="2395"/>
      <c r="BC503" s="2396"/>
      <c r="BD503" s="2397"/>
      <c r="BE503" s="2397"/>
      <c r="BF503" s="2398"/>
    </row>
    <row r="504" spans="5:58" s="2390" customFormat="1" x14ac:dyDescent="0.2">
      <c r="E504" s="2391"/>
      <c r="G504" s="2391"/>
      <c r="N504" s="2392"/>
      <c r="O504" s="2393"/>
      <c r="S504" s="2394"/>
      <c r="T504" s="2394"/>
      <c r="U504" s="2394"/>
      <c r="V504" s="2394"/>
      <c r="W504" s="2394"/>
      <c r="X504" s="2394"/>
      <c r="BB504" s="2395"/>
      <c r="BC504" s="2396"/>
      <c r="BD504" s="2397"/>
      <c r="BE504" s="2397"/>
      <c r="BF504" s="2398"/>
    </row>
    <row r="505" spans="5:58" s="2390" customFormat="1" x14ac:dyDescent="0.2">
      <c r="E505" s="2391"/>
      <c r="G505" s="2391"/>
      <c r="N505" s="2392"/>
      <c r="O505" s="2393"/>
      <c r="S505" s="2394"/>
      <c r="T505" s="2394"/>
      <c r="U505" s="2394"/>
      <c r="V505" s="2394"/>
      <c r="W505" s="2394"/>
      <c r="X505" s="2394"/>
      <c r="BB505" s="2395"/>
      <c r="BC505" s="2396"/>
      <c r="BD505" s="2397"/>
      <c r="BE505" s="2397"/>
      <c r="BF505" s="2398"/>
    </row>
    <row r="506" spans="5:58" s="2390" customFormat="1" x14ac:dyDescent="0.2">
      <c r="E506" s="2391"/>
      <c r="G506" s="2391"/>
      <c r="N506" s="2392"/>
      <c r="O506" s="2393"/>
      <c r="S506" s="2394"/>
      <c r="T506" s="2394"/>
      <c r="U506" s="2394"/>
      <c r="V506" s="2394"/>
      <c r="W506" s="2394"/>
      <c r="X506" s="2394"/>
      <c r="BB506" s="2395"/>
      <c r="BC506" s="2396"/>
      <c r="BD506" s="2397"/>
      <c r="BE506" s="2397"/>
      <c r="BF506" s="2398"/>
    </row>
    <row r="507" spans="5:58" s="2390" customFormat="1" x14ac:dyDescent="0.2">
      <c r="E507" s="2391"/>
      <c r="G507" s="2391"/>
      <c r="N507" s="2392"/>
      <c r="O507" s="2393"/>
      <c r="S507" s="2394"/>
      <c r="T507" s="2394"/>
      <c r="U507" s="2394"/>
      <c r="V507" s="2394"/>
      <c r="W507" s="2394"/>
      <c r="X507" s="2394"/>
      <c r="BB507" s="2395"/>
      <c r="BC507" s="2396"/>
      <c r="BD507" s="2397"/>
      <c r="BE507" s="2397"/>
      <c r="BF507" s="2398"/>
    </row>
    <row r="508" spans="5:58" s="2390" customFormat="1" x14ac:dyDescent="0.2">
      <c r="E508" s="2391"/>
      <c r="G508" s="2391"/>
      <c r="N508" s="2392"/>
      <c r="O508" s="2393"/>
      <c r="S508" s="2394"/>
      <c r="T508" s="2394"/>
      <c r="U508" s="2394"/>
      <c r="V508" s="2394"/>
      <c r="W508" s="2394"/>
      <c r="X508" s="2394"/>
      <c r="BB508" s="2395"/>
      <c r="BC508" s="2396"/>
      <c r="BD508" s="2397"/>
      <c r="BE508" s="2397"/>
      <c r="BF508" s="2398"/>
    </row>
    <row r="509" spans="5:58" s="2390" customFormat="1" x14ac:dyDescent="0.2">
      <c r="E509" s="2391"/>
      <c r="G509" s="2391"/>
      <c r="N509" s="2392"/>
      <c r="O509" s="2393"/>
      <c r="S509" s="2394"/>
      <c r="T509" s="2394"/>
      <c r="U509" s="2394"/>
      <c r="V509" s="2394"/>
      <c r="W509" s="2394"/>
      <c r="X509" s="2394"/>
      <c r="BB509" s="2395"/>
      <c r="BC509" s="2396"/>
      <c r="BD509" s="2397"/>
      <c r="BE509" s="2397"/>
      <c r="BF509" s="2398"/>
    </row>
    <row r="510" spans="5:58" s="2390" customFormat="1" x14ac:dyDescent="0.2">
      <c r="E510" s="2391"/>
      <c r="G510" s="2391"/>
      <c r="N510" s="2392"/>
      <c r="O510" s="2393"/>
      <c r="S510" s="2394"/>
      <c r="T510" s="2394"/>
      <c r="U510" s="2394"/>
      <c r="V510" s="2394"/>
      <c r="W510" s="2394"/>
      <c r="X510" s="2394"/>
      <c r="BB510" s="2395"/>
      <c r="BC510" s="2396"/>
      <c r="BD510" s="2397"/>
      <c r="BE510" s="2397"/>
      <c r="BF510" s="2398"/>
    </row>
    <row r="511" spans="5:58" s="2390" customFormat="1" x14ac:dyDescent="0.2">
      <c r="E511" s="2391"/>
      <c r="G511" s="2391"/>
      <c r="N511" s="2392"/>
      <c r="O511" s="2393"/>
      <c r="S511" s="2394"/>
      <c r="T511" s="2394"/>
      <c r="U511" s="2394"/>
      <c r="V511" s="2394"/>
      <c r="W511" s="2394"/>
      <c r="X511" s="2394"/>
      <c r="BB511" s="2395"/>
      <c r="BC511" s="2396"/>
      <c r="BD511" s="2397"/>
      <c r="BE511" s="2397"/>
      <c r="BF511" s="2398"/>
    </row>
    <row r="512" spans="5:58" s="2390" customFormat="1" x14ac:dyDescent="0.2">
      <c r="E512" s="2391"/>
      <c r="G512" s="2391"/>
      <c r="N512" s="2392"/>
      <c r="O512" s="2393"/>
      <c r="S512" s="2394"/>
      <c r="T512" s="2394"/>
      <c r="U512" s="2394"/>
      <c r="V512" s="2394"/>
      <c r="W512" s="2394"/>
      <c r="X512" s="2394"/>
      <c r="BB512" s="2395"/>
      <c r="BC512" s="2396"/>
      <c r="BD512" s="2397"/>
      <c r="BE512" s="2397"/>
      <c r="BF512" s="2398"/>
    </row>
    <row r="513" spans="5:58" s="2390" customFormat="1" x14ac:dyDescent="0.2">
      <c r="E513" s="2391"/>
      <c r="G513" s="2391"/>
      <c r="N513" s="2392"/>
      <c r="O513" s="2393"/>
      <c r="S513" s="2394"/>
      <c r="T513" s="2394"/>
      <c r="U513" s="2394"/>
      <c r="V513" s="2394"/>
      <c r="W513" s="2394"/>
      <c r="X513" s="2394"/>
      <c r="BB513" s="2395"/>
      <c r="BC513" s="2396"/>
      <c r="BD513" s="2397"/>
      <c r="BE513" s="2397"/>
      <c r="BF513" s="2398"/>
    </row>
    <row r="514" spans="5:58" s="2390" customFormat="1" x14ac:dyDescent="0.2">
      <c r="E514" s="2391"/>
      <c r="G514" s="2391"/>
      <c r="N514" s="2392"/>
      <c r="O514" s="2393"/>
      <c r="S514" s="2394"/>
      <c r="T514" s="2394"/>
      <c r="U514" s="2394"/>
      <c r="V514" s="2394"/>
      <c r="W514" s="2394"/>
      <c r="X514" s="2394"/>
      <c r="BB514" s="2395"/>
      <c r="BC514" s="2396"/>
      <c r="BD514" s="2397"/>
      <c r="BE514" s="2397"/>
      <c r="BF514" s="2398"/>
    </row>
    <row r="515" spans="5:58" s="2390" customFormat="1" x14ac:dyDescent="0.2">
      <c r="E515" s="2391"/>
      <c r="G515" s="2391"/>
      <c r="N515" s="2392"/>
      <c r="O515" s="2393"/>
      <c r="S515" s="2394"/>
      <c r="T515" s="2394"/>
      <c r="U515" s="2394"/>
      <c r="V515" s="2394"/>
      <c r="W515" s="2394"/>
      <c r="X515" s="2394"/>
      <c r="BB515" s="2395"/>
      <c r="BC515" s="2396"/>
      <c r="BD515" s="2397"/>
      <c r="BE515" s="2397"/>
      <c r="BF515" s="2398"/>
    </row>
    <row r="516" spans="5:58" s="2390" customFormat="1" x14ac:dyDescent="0.2">
      <c r="E516" s="2391"/>
      <c r="G516" s="2391"/>
      <c r="N516" s="2392"/>
      <c r="O516" s="2393"/>
      <c r="S516" s="2394"/>
      <c r="T516" s="2394"/>
      <c r="U516" s="2394"/>
      <c r="V516" s="2394"/>
      <c r="W516" s="2394"/>
      <c r="X516" s="2394"/>
      <c r="BB516" s="2395"/>
      <c r="BC516" s="2396"/>
      <c r="BD516" s="2397"/>
      <c r="BE516" s="2397"/>
      <c r="BF516" s="2398"/>
    </row>
    <row r="517" spans="5:58" s="2390" customFormat="1" x14ac:dyDescent="0.2">
      <c r="E517" s="2391"/>
      <c r="G517" s="2391"/>
      <c r="N517" s="2392"/>
      <c r="O517" s="2393"/>
      <c r="S517" s="2394"/>
      <c r="T517" s="2394"/>
      <c r="U517" s="2394"/>
      <c r="V517" s="2394"/>
      <c r="W517" s="2394"/>
      <c r="X517" s="2394"/>
      <c r="BB517" s="2395"/>
      <c r="BC517" s="2396"/>
      <c r="BD517" s="2397"/>
      <c r="BE517" s="2397"/>
      <c r="BF517" s="2398"/>
    </row>
    <row r="518" spans="5:58" s="2390" customFormat="1" x14ac:dyDescent="0.2">
      <c r="E518" s="2391"/>
      <c r="G518" s="2391"/>
      <c r="N518" s="2392"/>
      <c r="O518" s="2393"/>
      <c r="S518" s="2394"/>
      <c r="T518" s="2394"/>
      <c r="U518" s="2394"/>
      <c r="V518" s="2394"/>
      <c r="W518" s="2394"/>
      <c r="X518" s="2394"/>
      <c r="BB518" s="2395"/>
      <c r="BC518" s="2396"/>
      <c r="BD518" s="2397"/>
      <c r="BE518" s="2397"/>
      <c r="BF518" s="2398"/>
    </row>
    <row r="519" spans="5:58" s="2390" customFormat="1" x14ac:dyDescent="0.2">
      <c r="E519" s="2391"/>
      <c r="G519" s="2391"/>
      <c r="N519" s="2392"/>
      <c r="O519" s="2393"/>
      <c r="S519" s="2394"/>
      <c r="T519" s="2394"/>
      <c r="U519" s="2394"/>
      <c r="V519" s="2394"/>
      <c r="W519" s="2394"/>
      <c r="X519" s="2394"/>
      <c r="BB519" s="2395"/>
      <c r="BC519" s="2396"/>
      <c r="BD519" s="2397"/>
      <c r="BE519" s="2397"/>
      <c r="BF519" s="2398"/>
    </row>
    <row r="520" spans="5:58" s="2390" customFormat="1" x14ac:dyDescent="0.2">
      <c r="E520" s="2391"/>
      <c r="G520" s="2391"/>
      <c r="N520" s="2392"/>
      <c r="O520" s="2393"/>
      <c r="S520" s="2394"/>
      <c r="T520" s="2394"/>
      <c r="U520" s="2394"/>
      <c r="V520" s="2394"/>
      <c r="W520" s="2394"/>
      <c r="X520" s="2394"/>
      <c r="BB520" s="2395"/>
      <c r="BC520" s="2396"/>
      <c r="BD520" s="2397"/>
      <c r="BE520" s="2397"/>
      <c r="BF520" s="2398"/>
    </row>
    <row r="521" spans="5:58" s="2390" customFormat="1" x14ac:dyDescent="0.2">
      <c r="E521" s="2391"/>
      <c r="G521" s="2391"/>
      <c r="N521" s="2392"/>
      <c r="O521" s="2393"/>
      <c r="S521" s="2394"/>
      <c r="T521" s="2394"/>
      <c r="U521" s="2394"/>
      <c r="V521" s="2394"/>
      <c r="W521" s="2394"/>
      <c r="X521" s="2394"/>
      <c r="BB521" s="2395"/>
      <c r="BC521" s="2396"/>
      <c r="BD521" s="2397"/>
      <c r="BE521" s="2397"/>
      <c r="BF521" s="2398"/>
    </row>
    <row r="522" spans="5:58" s="2390" customFormat="1" x14ac:dyDescent="0.2">
      <c r="E522" s="2391"/>
      <c r="G522" s="2391"/>
      <c r="N522" s="2392"/>
      <c r="O522" s="2393"/>
      <c r="S522" s="2394"/>
      <c r="T522" s="2394"/>
      <c r="U522" s="2394"/>
      <c r="V522" s="2394"/>
      <c r="W522" s="2394"/>
      <c r="X522" s="2394"/>
      <c r="BB522" s="2395"/>
      <c r="BC522" s="2396"/>
      <c r="BD522" s="2397"/>
      <c r="BE522" s="2397"/>
      <c r="BF522" s="2398"/>
    </row>
    <row r="523" spans="5:58" s="2390" customFormat="1" x14ac:dyDescent="0.2">
      <c r="E523" s="2391"/>
      <c r="G523" s="2391"/>
      <c r="N523" s="2392"/>
      <c r="O523" s="2393"/>
      <c r="S523" s="2394"/>
      <c r="T523" s="2394"/>
      <c r="U523" s="2394"/>
      <c r="V523" s="2394"/>
      <c r="W523" s="2394"/>
      <c r="X523" s="2394"/>
      <c r="BB523" s="2395"/>
      <c r="BC523" s="2396"/>
      <c r="BD523" s="2397"/>
      <c r="BE523" s="2397"/>
      <c r="BF523" s="2398"/>
    </row>
    <row r="524" spans="5:58" s="2390" customFormat="1" x14ac:dyDescent="0.2">
      <c r="E524" s="2391"/>
      <c r="G524" s="2391"/>
      <c r="N524" s="2392"/>
      <c r="O524" s="2393"/>
      <c r="S524" s="2394"/>
      <c r="T524" s="2394"/>
      <c r="U524" s="2394"/>
      <c r="V524" s="2394"/>
      <c r="W524" s="2394"/>
      <c r="X524" s="2394"/>
      <c r="BB524" s="2395"/>
      <c r="BC524" s="2396"/>
      <c r="BD524" s="2397"/>
      <c r="BE524" s="2397"/>
      <c r="BF524" s="2398"/>
    </row>
    <row r="525" spans="5:58" s="2390" customFormat="1" x14ac:dyDescent="0.2">
      <c r="E525" s="2391"/>
      <c r="G525" s="2391"/>
      <c r="N525" s="2392"/>
      <c r="O525" s="2393"/>
      <c r="S525" s="2394"/>
      <c r="T525" s="2394"/>
      <c r="U525" s="2394"/>
      <c r="V525" s="2394"/>
      <c r="W525" s="2394"/>
      <c r="X525" s="2394"/>
      <c r="BB525" s="2395"/>
      <c r="BC525" s="2396"/>
      <c r="BD525" s="2397"/>
      <c r="BE525" s="2397"/>
      <c r="BF525" s="2398"/>
    </row>
    <row r="526" spans="5:58" s="2390" customFormat="1" x14ac:dyDescent="0.2">
      <c r="E526" s="2391"/>
      <c r="G526" s="2391"/>
      <c r="N526" s="2392"/>
      <c r="O526" s="2393"/>
      <c r="S526" s="2394"/>
      <c r="T526" s="2394"/>
      <c r="U526" s="2394"/>
      <c r="V526" s="2394"/>
      <c r="W526" s="2394"/>
      <c r="X526" s="2394"/>
      <c r="BB526" s="2395"/>
      <c r="BC526" s="2396"/>
      <c r="BD526" s="2397"/>
      <c r="BE526" s="2397"/>
      <c r="BF526" s="2398"/>
    </row>
    <row r="527" spans="5:58" s="2390" customFormat="1" x14ac:dyDescent="0.2">
      <c r="E527" s="2391"/>
      <c r="G527" s="2391"/>
      <c r="N527" s="2392"/>
      <c r="O527" s="2393"/>
      <c r="S527" s="2394"/>
      <c r="T527" s="2394"/>
      <c r="U527" s="2394"/>
      <c r="V527" s="2394"/>
      <c r="W527" s="2394"/>
      <c r="X527" s="2394"/>
      <c r="BB527" s="2395"/>
      <c r="BC527" s="2396"/>
      <c r="BD527" s="2397"/>
      <c r="BE527" s="2397"/>
      <c r="BF527" s="2398"/>
    </row>
    <row r="528" spans="5:58" s="2390" customFormat="1" x14ac:dyDescent="0.2">
      <c r="E528" s="2391"/>
      <c r="G528" s="2391"/>
      <c r="N528" s="2392"/>
      <c r="O528" s="2393"/>
      <c r="S528" s="2394"/>
      <c r="T528" s="2394"/>
      <c r="U528" s="2394"/>
      <c r="V528" s="2394"/>
      <c r="W528" s="2394"/>
      <c r="X528" s="2394"/>
      <c r="BB528" s="2395"/>
      <c r="BC528" s="2396"/>
      <c r="BD528" s="2397"/>
      <c r="BE528" s="2397"/>
      <c r="BF528" s="2398"/>
    </row>
    <row r="529" spans="5:58" s="2390" customFormat="1" x14ac:dyDescent="0.2">
      <c r="E529" s="2391"/>
      <c r="G529" s="2391"/>
      <c r="N529" s="2392"/>
      <c r="O529" s="2393"/>
      <c r="S529" s="2394"/>
      <c r="T529" s="2394"/>
      <c r="U529" s="2394"/>
      <c r="V529" s="2394"/>
      <c r="W529" s="2394"/>
      <c r="X529" s="2394"/>
      <c r="BB529" s="2395"/>
      <c r="BC529" s="2396"/>
      <c r="BD529" s="2397"/>
      <c r="BE529" s="2397"/>
      <c r="BF529" s="2398"/>
    </row>
    <row r="530" spans="5:58" s="2390" customFormat="1" x14ac:dyDescent="0.2">
      <c r="E530" s="2391"/>
      <c r="G530" s="2391"/>
      <c r="N530" s="2392"/>
      <c r="O530" s="2393"/>
      <c r="S530" s="2394"/>
      <c r="T530" s="2394"/>
      <c r="U530" s="2394"/>
      <c r="V530" s="2394"/>
      <c r="W530" s="2394"/>
      <c r="X530" s="2394"/>
      <c r="BB530" s="2395"/>
      <c r="BC530" s="2396"/>
      <c r="BD530" s="2397"/>
      <c r="BE530" s="2397"/>
      <c r="BF530" s="2398"/>
    </row>
    <row r="531" spans="5:58" s="2390" customFormat="1" x14ac:dyDescent="0.2">
      <c r="E531" s="2391"/>
      <c r="G531" s="2391"/>
      <c r="N531" s="2392"/>
      <c r="O531" s="2393"/>
      <c r="S531" s="2394"/>
      <c r="T531" s="2394"/>
      <c r="U531" s="2394"/>
      <c r="V531" s="2394"/>
      <c r="W531" s="2394"/>
      <c r="X531" s="2394"/>
      <c r="BB531" s="2395"/>
      <c r="BC531" s="2396"/>
      <c r="BD531" s="2397"/>
      <c r="BE531" s="2397"/>
      <c r="BF531" s="2398"/>
    </row>
    <row r="532" spans="5:58" s="2390" customFormat="1" x14ac:dyDescent="0.2">
      <c r="E532" s="2391"/>
      <c r="G532" s="2391"/>
      <c r="N532" s="2392"/>
      <c r="O532" s="2393"/>
      <c r="S532" s="2394"/>
      <c r="T532" s="2394"/>
      <c r="U532" s="2394"/>
      <c r="V532" s="2394"/>
      <c r="W532" s="2394"/>
      <c r="X532" s="2394"/>
      <c r="BB532" s="2395"/>
      <c r="BC532" s="2396"/>
      <c r="BD532" s="2397"/>
      <c r="BE532" s="2397"/>
      <c r="BF532" s="2398"/>
    </row>
    <row r="533" spans="5:58" s="2390" customFormat="1" x14ac:dyDescent="0.2">
      <c r="E533" s="2391"/>
      <c r="G533" s="2391"/>
      <c r="N533" s="2392"/>
      <c r="O533" s="2393"/>
      <c r="S533" s="2394"/>
      <c r="T533" s="2394"/>
      <c r="U533" s="2394"/>
      <c r="V533" s="2394"/>
      <c r="W533" s="2394"/>
      <c r="X533" s="2394"/>
      <c r="BB533" s="2395"/>
      <c r="BC533" s="2396"/>
      <c r="BD533" s="2397"/>
      <c r="BE533" s="2397"/>
      <c r="BF533" s="2398"/>
    </row>
    <row r="534" spans="5:58" s="2390" customFormat="1" x14ac:dyDescent="0.2">
      <c r="E534" s="2391"/>
      <c r="G534" s="2391"/>
      <c r="N534" s="2392"/>
      <c r="O534" s="2393"/>
      <c r="S534" s="2394"/>
      <c r="T534" s="2394"/>
      <c r="U534" s="2394"/>
      <c r="V534" s="2394"/>
      <c r="W534" s="2394"/>
      <c r="X534" s="2394"/>
      <c r="BB534" s="2395"/>
      <c r="BC534" s="2396"/>
      <c r="BD534" s="2397"/>
      <c r="BE534" s="2397"/>
      <c r="BF534" s="2398"/>
    </row>
    <row r="535" spans="5:58" s="2390" customFormat="1" x14ac:dyDescent="0.2">
      <c r="E535" s="2391"/>
      <c r="G535" s="2391"/>
      <c r="N535" s="2392"/>
      <c r="O535" s="2393"/>
      <c r="S535" s="2394"/>
      <c r="T535" s="2394"/>
      <c r="U535" s="2394"/>
      <c r="V535" s="2394"/>
      <c r="W535" s="2394"/>
      <c r="X535" s="2394"/>
      <c r="BB535" s="2395"/>
      <c r="BC535" s="2396"/>
      <c r="BD535" s="2397"/>
      <c r="BE535" s="2397"/>
      <c r="BF535" s="2398"/>
    </row>
    <row r="536" spans="5:58" s="2390" customFormat="1" x14ac:dyDescent="0.2">
      <c r="E536" s="2391"/>
      <c r="G536" s="2391"/>
      <c r="N536" s="2392"/>
      <c r="O536" s="2393"/>
      <c r="S536" s="2394"/>
      <c r="T536" s="2394"/>
      <c r="U536" s="2394"/>
      <c r="V536" s="2394"/>
      <c r="W536" s="2394"/>
      <c r="X536" s="2394"/>
      <c r="BB536" s="2395"/>
      <c r="BC536" s="2396"/>
      <c r="BD536" s="2397"/>
      <c r="BE536" s="2397"/>
      <c r="BF536" s="2398"/>
    </row>
    <row r="537" spans="5:58" s="2390" customFormat="1" x14ac:dyDescent="0.2">
      <c r="E537" s="2391"/>
      <c r="G537" s="2391"/>
      <c r="N537" s="2392"/>
      <c r="O537" s="2393"/>
      <c r="S537" s="2394"/>
      <c r="T537" s="2394"/>
      <c r="U537" s="2394"/>
      <c r="V537" s="2394"/>
      <c r="W537" s="2394"/>
      <c r="X537" s="2394"/>
      <c r="BB537" s="2395"/>
      <c r="BC537" s="2396"/>
      <c r="BD537" s="2397"/>
      <c r="BE537" s="2397"/>
      <c r="BF537" s="2398"/>
    </row>
    <row r="538" spans="5:58" s="2390" customFormat="1" x14ac:dyDescent="0.2">
      <c r="E538" s="2391"/>
      <c r="G538" s="2391"/>
      <c r="N538" s="2392"/>
      <c r="O538" s="2393"/>
      <c r="S538" s="2394"/>
      <c r="T538" s="2394"/>
      <c r="U538" s="2394"/>
      <c r="V538" s="2394"/>
      <c r="W538" s="2394"/>
      <c r="X538" s="2394"/>
      <c r="BB538" s="2395"/>
      <c r="BC538" s="2396"/>
      <c r="BD538" s="2397"/>
      <c r="BE538" s="2397"/>
      <c r="BF538" s="2398"/>
    </row>
    <row r="539" spans="5:58" s="2390" customFormat="1" x14ac:dyDescent="0.2">
      <c r="E539" s="2391"/>
      <c r="G539" s="2391"/>
      <c r="N539" s="2392"/>
      <c r="O539" s="2393"/>
      <c r="S539" s="2394"/>
      <c r="T539" s="2394"/>
      <c r="U539" s="2394"/>
      <c r="V539" s="2394"/>
      <c r="W539" s="2394"/>
      <c r="X539" s="2394"/>
      <c r="BB539" s="2395"/>
      <c r="BC539" s="2396"/>
      <c r="BD539" s="2397"/>
      <c r="BE539" s="2397"/>
      <c r="BF539" s="2398"/>
    </row>
    <row r="540" spans="5:58" s="2390" customFormat="1" x14ac:dyDescent="0.2">
      <c r="E540" s="2391"/>
      <c r="G540" s="2391"/>
      <c r="N540" s="2392"/>
      <c r="O540" s="2393"/>
      <c r="S540" s="2394"/>
      <c r="T540" s="2394"/>
      <c r="U540" s="2394"/>
      <c r="V540" s="2394"/>
      <c r="W540" s="2394"/>
      <c r="X540" s="2394"/>
      <c r="BB540" s="2395"/>
      <c r="BC540" s="2396"/>
      <c r="BD540" s="2397"/>
      <c r="BE540" s="2397"/>
      <c r="BF540" s="2398"/>
    </row>
    <row r="541" spans="5:58" s="2390" customFormat="1" x14ac:dyDescent="0.2">
      <c r="E541" s="2391"/>
      <c r="G541" s="2391"/>
      <c r="N541" s="2392"/>
      <c r="O541" s="2393"/>
      <c r="S541" s="2394"/>
      <c r="T541" s="2394"/>
      <c r="U541" s="2394"/>
      <c r="V541" s="2394"/>
      <c r="W541" s="2394"/>
      <c r="X541" s="2394"/>
      <c r="BB541" s="2395"/>
      <c r="BC541" s="2396"/>
      <c r="BD541" s="2397"/>
      <c r="BE541" s="2397"/>
      <c r="BF541" s="2398"/>
    </row>
    <row r="542" spans="5:58" s="2390" customFormat="1" x14ac:dyDescent="0.2">
      <c r="E542" s="2391"/>
      <c r="G542" s="2391"/>
      <c r="N542" s="2392"/>
      <c r="O542" s="2393"/>
      <c r="S542" s="2394"/>
      <c r="T542" s="2394"/>
      <c r="U542" s="2394"/>
      <c r="V542" s="2394"/>
      <c r="W542" s="2394"/>
      <c r="X542" s="2394"/>
      <c r="BB542" s="2395"/>
      <c r="BC542" s="2396"/>
      <c r="BD542" s="2397"/>
      <c r="BE542" s="2397"/>
      <c r="BF542" s="2398"/>
    </row>
    <row r="543" spans="5:58" s="2390" customFormat="1" x14ac:dyDescent="0.2">
      <c r="E543" s="2391"/>
      <c r="G543" s="2391"/>
      <c r="N543" s="2392"/>
      <c r="O543" s="2393"/>
      <c r="S543" s="2394"/>
      <c r="T543" s="2394"/>
      <c r="U543" s="2394"/>
      <c r="V543" s="2394"/>
      <c r="W543" s="2394"/>
      <c r="X543" s="2394"/>
      <c r="BB543" s="2395"/>
      <c r="BC543" s="2396"/>
      <c r="BD543" s="2397"/>
      <c r="BE543" s="2397"/>
      <c r="BF543" s="2398"/>
    </row>
    <row r="544" spans="5:58" s="2390" customFormat="1" x14ac:dyDescent="0.2">
      <c r="E544" s="2391"/>
      <c r="G544" s="2391"/>
      <c r="N544" s="2392"/>
      <c r="O544" s="2393"/>
      <c r="S544" s="2394"/>
      <c r="T544" s="2394"/>
      <c r="U544" s="2394"/>
      <c r="V544" s="2394"/>
      <c r="W544" s="2394"/>
      <c r="X544" s="2394"/>
      <c r="BB544" s="2395"/>
      <c r="BC544" s="2396"/>
      <c r="BD544" s="2397"/>
      <c r="BE544" s="2397"/>
      <c r="BF544" s="2398"/>
    </row>
    <row r="545" spans="5:58" s="2390" customFormat="1" x14ac:dyDescent="0.2">
      <c r="E545" s="2391"/>
      <c r="G545" s="2391"/>
      <c r="N545" s="2392"/>
      <c r="O545" s="2393"/>
      <c r="S545" s="2394"/>
      <c r="T545" s="2394"/>
      <c r="U545" s="2394"/>
      <c r="V545" s="2394"/>
      <c r="W545" s="2394"/>
      <c r="X545" s="2394"/>
      <c r="BB545" s="2395"/>
      <c r="BC545" s="2396"/>
      <c r="BD545" s="2397"/>
      <c r="BE545" s="2397"/>
      <c r="BF545" s="2398"/>
    </row>
    <row r="546" spans="5:58" s="2390" customFormat="1" x14ac:dyDescent="0.2">
      <c r="E546" s="2391"/>
      <c r="G546" s="2391"/>
      <c r="N546" s="2392"/>
      <c r="O546" s="2393"/>
      <c r="S546" s="2394"/>
      <c r="T546" s="2394"/>
      <c r="U546" s="2394"/>
      <c r="V546" s="2394"/>
      <c r="W546" s="2394"/>
      <c r="X546" s="2394"/>
      <c r="BB546" s="2395"/>
      <c r="BC546" s="2396"/>
      <c r="BD546" s="2397"/>
      <c r="BE546" s="2397"/>
      <c r="BF546" s="2398"/>
    </row>
    <row r="547" spans="5:58" s="2390" customFormat="1" x14ac:dyDescent="0.2">
      <c r="E547" s="2391"/>
      <c r="G547" s="2391"/>
      <c r="N547" s="2392"/>
      <c r="O547" s="2393"/>
      <c r="S547" s="2394"/>
      <c r="T547" s="2394"/>
      <c r="U547" s="2394"/>
      <c r="V547" s="2394"/>
      <c r="W547" s="2394"/>
      <c r="X547" s="2394"/>
      <c r="BB547" s="2395"/>
      <c r="BC547" s="2396"/>
      <c r="BD547" s="2397"/>
      <c r="BE547" s="2397"/>
      <c r="BF547" s="2398"/>
    </row>
    <row r="548" spans="5:58" s="2390" customFormat="1" x14ac:dyDescent="0.2">
      <c r="E548" s="2391"/>
      <c r="G548" s="2391"/>
      <c r="N548" s="2392"/>
      <c r="O548" s="2393"/>
      <c r="S548" s="2394"/>
      <c r="T548" s="2394"/>
      <c r="U548" s="2394"/>
      <c r="V548" s="2394"/>
      <c r="W548" s="2394"/>
      <c r="X548" s="2394"/>
      <c r="BB548" s="2395"/>
      <c r="BC548" s="2396"/>
      <c r="BD548" s="2397"/>
      <c r="BE548" s="2397"/>
      <c r="BF548" s="2398"/>
    </row>
    <row r="549" spans="5:58" s="2390" customFormat="1" x14ac:dyDescent="0.2">
      <c r="E549" s="2391"/>
      <c r="G549" s="2391"/>
      <c r="N549" s="2392"/>
      <c r="O549" s="2393"/>
      <c r="S549" s="2394"/>
      <c r="T549" s="2394"/>
      <c r="U549" s="2394"/>
      <c r="V549" s="2394"/>
      <c r="W549" s="2394"/>
      <c r="X549" s="2394"/>
      <c r="BB549" s="2395"/>
      <c r="BC549" s="2396"/>
      <c r="BD549" s="2397"/>
      <c r="BE549" s="2397"/>
      <c r="BF549" s="2398"/>
    </row>
    <row r="550" spans="5:58" s="2390" customFormat="1" x14ac:dyDescent="0.2">
      <c r="E550" s="2391"/>
      <c r="G550" s="2391"/>
      <c r="N550" s="2392"/>
      <c r="O550" s="2393"/>
      <c r="S550" s="2394"/>
      <c r="T550" s="2394"/>
      <c r="U550" s="2394"/>
      <c r="V550" s="2394"/>
      <c r="W550" s="2394"/>
      <c r="X550" s="2394"/>
      <c r="BB550" s="2395"/>
      <c r="BC550" s="2396"/>
      <c r="BD550" s="2397"/>
      <c r="BE550" s="2397"/>
      <c r="BF550" s="2398"/>
    </row>
    <row r="551" spans="5:58" s="2390" customFormat="1" x14ac:dyDescent="0.2">
      <c r="E551" s="2391"/>
      <c r="G551" s="2391"/>
      <c r="N551" s="2392"/>
      <c r="O551" s="2393"/>
      <c r="S551" s="2394"/>
      <c r="T551" s="2394"/>
      <c r="U551" s="2394"/>
      <c r="V551" s="2394"/>
      <c r="W551" s="2394"/>
      <c r="X551" s="2394"/>
      <c r="BB551" s="2395"/>
      <c r="BC551" s="2396"/>
      <c r="BD551" s="2397"/>
      <c r="BE551" s="2397"/>
      <c r="BF551" s="2398"/>
    </row>
    <row r="552" spans="5:58" s="2390" customFormat="1" x14ac:dyDescent="0.2">
      <c r="E552" s="2391"/>
      <c r="G552" s="2391"/>
      <c r="N552" s="2392"/>
      <c r="O552" s="2393"/>
      <c r="S552" s="2394"/>
      <c r="T552" s="2394"/>
      <c r="U552" s="2394"/>
      <c r="V552" s="2394"/>
      <c r="W552" s="2394"/>
      <c r="X552" s="2394"/>
      <c r="BB552" s="2395"/>
      <c r="BC552" s="2396"/>
      <c r="BD552" s="2397"/>
      <c r="BE552" s="2397"/>
      <c r="BF552" s="2398"/>
    </row>
    <row r="553" spans="5:58" s="2390" customFormat="1" x14ac:dyDescent="0.2">
      <c r="E553" s="2391"/>
      <c r="G553" s="2391"/>
      <c r="N553" s="2392"/>
      <c r="O553" s="2393"/>
      <c r="S553" s="2394"/>
      <c r="T553" s="2394"/>
      <c r="U553" s="2394"/>
      <c r="V553" s="2394"/>
      <c r="W553" s="2394"/>
      <c r="X553" s="2394"/>
      <c r="BB553" s="2395"/>
      <c r="BC553" s="2396"/>
      <c r="BD553" s="2397"/>
      <c r="BE553" s="2397"/>
      <c r="BF553" s="2398"/>
    </row>
    <row r="554" spans="5:58" s="2390" customFormat="1" x14ac:dyDescent="0.2">
      <c r="E554" s="2391"/>
      <c r="G554" s="2391"/>
      <c r="N554" s="2392"/>
      <c r="O554" s="2393"/>
      <c r="S554" s="2394"/>
      <c r="T554" s="2394"/>
      <c r="U554" s="2394"/>
      <c r="V554" s="2394"/>
      <c r="W554" s="2394"/>
      <c r="X554" s="2394"/>
      <c r="BB554" s="2395"/>
      <c r="BC554" s="2396"/>
      <c r="BD554" s="2397"/>
      <c r="BE554" s="2397"/>
      <c r="BF554" s="2398"/>
    </row>
    <row r="555" spans="5:58" s="2390" customFormat="1" x14ac:dyDescent="0.2">
      <c r="E555" s="2391"/>
      <c r="G555" s="2391"/>
      <c r="N555" s="2392"/>
      <c r="O555" s="2393"/>
      <c r="S555" s="2394"/>
      <c r="T555" s="2394"/>
      <c r="U555" s="2394"/>
      <c r="V555" s="2394"/>
      <c r="W555" s="2394"/>
      <c r="X555" s="2394"/>
      <c r="BB555" s="2395"/>
      <c r="BC555" s="2396"/>
      <c r="BD555" s="2397"/>
      <c r="BE555" s="2397"/>
      <c r="BF555" s="2398"/>
    </row>
    <row r="556" spans="5:58" s="2390" customFormat="1" x14ac:dyDescent="0.2">
      <c r="E556" s="2391"/>
      <c r="G556" s="2391"/>
      <c r="N556" s="2392"/>
      <c r="O556" s="2393"/>
      <c r="S556" s="2394"/>
      <c r="T556" s="2394"/>
      <c r="U556" s="2394"/>
      <c r="V556" s="2394"/>
      <c r="W556" s="2394"/>
      <c r="X556" s="2394"/>
      <c r="BB556" s="2395"/>
      <c r="BC556" s="2396"/>
      <c r="BD556" s="2397"/>
      <c r="BE556" s="2397"/>
      <c r="BF556" s="2398"/>
    </row>
    <row r="557" spans="5:58" s="2390" customFormat="1" x14ac:dyDescent="0.2">
      <c r="E557" s="2391"/>
      <c r="G557" s="2391"/>
      <c r="N557" s="2392"/>
      <c r="O557" s="2393"/>
      <c r="S557" s="2394"/>
      <c r="T557" s="2394"/>
      <c r="U557" s="2394"/>
      <c r="V557" s="2394"/>
      <c r="W557" s="2394"/>
      <c r="X557" s="2394"/>
      <c r="BB557" s="2395"/>
      <c r="BC557" s="2396"/>
      <c r="BD557" s="2397"/>
      <c r="BE557" s="2397"/>
      <c r="BF557" s="2398"/>
    </row>
    <row r="558" spans="5:58" s="2390" customFormat="1" x14ac:dyDescent="0.2">
      <c r="E558" s="2391"/>
      <c r="G558" s="2391"/>
      <c r="N558" s="2392"/>
      <c r="O558" s="2393"/>
      <c r="S558" s="2394"/>
      <c r="T558" s="2394"/>
      <c r="U558" s="2394"/>
      <c r="V558" s="2394"/>
      <c r="W558" s="2394"/>
      <c r="X558" s="2394"/>
      <c r="BB558" s="2395"/>
      <c r="BC558" s="2396"/>
      <c r="BD558" s="2397"/>
      <c r="BE558" s="2397"/>
      <c r="BF558" s="2398"/>
    </row>
    <row r="559" spans="5:58" s="2390" customFormat="1" x14ac:dyDescent="0.2">
      <c r="E559" s="2391"/>
      <c r="G559" s="2391"/>
      <c r="N559" s="2392"/>
      <c r="O559" s="2393"/>
      <c r="S559" s="2394"/>
      <c r="T559" s="2394"/>
      <c r="U559" s="2394"/>
      <c r="V559" s="2394"/>
      <c r="W559" s="2394"/>
      <c r="X559" s="2394"/>
      <c r="BB559" s="2395"/>
      <c r="BC559" s="2396"/>
      <c r="BD559" s="2397"/>
      <c r="BE559" s="2397"/>
      <c r="BF559" s="2398"/>
    </row>
    <row r="560" spans="5:58" s="2390" customFormat="1" x14ac:dyDescent="0.2">
      <c r="E560" s="2391"/>
      <c r="G560" s="2391"/>
      <c r="N560" s="2392"/>
      <c r="O560" s="2393"/>
      <c r="S560" s="2394"/>
      <c r="T560" s="2394"/>
      <c r="U560" s="2394"/>
      <c r="V560" s="2394"/>
      <c r="W560" s="2394"/>
      <c r="X560" s="2394"/>
      <c r="BB560" s="2395"/>
      <c r="BC560" s="2396"/>
      <c r="BD560" s="2397"/>
      <c r="BE560" s="2397"/>
      <c r="BF560" s="2398"/>
    </row>
    <row r="561" spans="5:58" s="2390" customFormat="1" x14ac:dyDescent="0.2">
      <c r="E561" s="2391"/>
      <c r="G561" s="2391"/>
      <c r="N561" s="2392"/>
      <c r="O561" s="2393"/>
      <c r="S561" s="2394"/>
      <c r="T561" s="2394"/>
      <c r="U561" s="2394"/>
      <c r="V561" s="2394"/>
      <c r="W561" s="2394"/>
      <c r="X561" s="2394"/>
      <c r="BB561" s="2395"/>
      <c r="BC561" s="2396"/>
      <c r="BD561" s="2397"/>
      <c r="BE561" s="2397"/>
      <c r="BF561" s="2398"/>
    </row>
    <row r="562" spans="5:58" s="2390" customFormat="1" x14ac:dyDescent="0.2">
      <c r="E562" s="2391"/>
      <c r="G562" s="2391"/>
      <c r="N562" s="2392"/>
      <c r="O562" s="2393"/>
      <c r="S562" s="2394"/>
      <c r="T562" s="2394"/>
      <c r="U562" s="2394"/>
      <c r="V562" s="2394"/>
      <c r="W562" s="2394"/>
      <c r="X562" s="2394"/>
      <c r="BB562" s="2395"/>
      <c r="BC562" s="2396"/>
      <c r="BD562" s="2397"/>
      <c r="BE562" s="2397"/>
      <c r="BF562" s="2398"/>
    </row>
    <row r="563" spans="5:58" s="2390" customFormat="1" x14ac:dyDescent="0.2">
      <c r="E563" s="2391"/>
      <c r="G563" s="2391"/>
      <c r="N563" s="2392"/>
      <c r="O563" s="2393"/>
      <c r="S563" s="2394"/>
      <c r="T563" s="2394"/>
      <c r="U563" s="2394"/>
      <c r="V563" s="2394"/>
      <c r="W563" s="2394"/>
      <c r="X563" s="2394"/>
      <c r="BB563" s="2395"/>
      <c r="BC563" s="2396"/>
      <c r="BD563" s="2397"/>
      <c r="BE563" s="2397"/>
      <c r="BF563" s="2398"/>
    </row>
    <row r="564" spans="5:58" s="2390" customFormat="1" x14ac:dyDescent="0.2">
      <c r="E564" s="2391"/>
      <c r="G564" s="2391"/>
      <c r="N564" s="2392"/>
      <c r="O564" s="2393"/>
      <c r="S564" s="2394"/>
      <c r="T564" s="2394"/>
      <c r="U564" s="2394"/>
      <c r="V564" s="2394"/>
      <c r="W564" s="2394"/>
      <c r="X564" s="2394"/>
      <c r="BB564" s="2395"/>
      <c r="BC564" s="2396"/>
      <c r="BD564" s="2397"/>
      <c r="BE564" s="2397"/>
      <c r="BF564" s="2398"/>
    </row>
    <row r="565" spans="5:58" s="2390" customFormat="1" x14ac:dyDescent="0.2">
      <c r="E565" s="2391"/>
      <c r="G565" s="2391"/>
      <c r="N565" s="2392"/>
      <c r="O565" s="2393"/>
      <c r="S565" s="2394"/>
      <c r="T565" s="2394"/>
      <c r="U565" s="2394"/>
      <c r="V565" s="2394"/>
      <c r="W565" s="2394"/>
      <c r="X565" s="2394"/>
      <c r="BB565" s="2395"/>
      <c r="BC565" s="2396"/>
      <c r="BD565" s="2397"/>
      <c r="BE565" s="2397"/>
      <c r="BF565" s="2398"/>
    </row>
    <row r="566" spans="5:58" s="2390" customFormat="1" x14ac:dyDescent="0.2">
      <c r="E566" s="2391"/>
      <c r="G566" s="2391"/>
      <c r="N566" s="2392"/>
      <c r="O566" s="2393"/>
      <c r="S566" s="2394"/>
      <c r="T566" s="2394"/>
      <c r="U566" s="2394"/>
      <c r="V566" s="2394"/>
      <c r="W566" s="2394"/>
      <c r="X566" s="2394"/>
      <c r="BB566" s="2395"/>
      <c r="BC566" s="2396"/>
      <c r="BD566" s="2397"/>
      <c r="BE566" s="2397"/>
      <c r="BF566" s="2398"/>
    </row>
    <row r="567" spans="5:58" s="2390" customFormat="1" x14ac:dyDescent="0.2">
      <c r="E567" s="2391"/>
      <c r="G567" s="2391"/>
      <c r="N567" s="2392"/>
      <c r="O567" s="2393"/>
      <c r="S567" s="2394"/>
      <c r="T567" s="2394"/>
      <c r="U567" s="2394"/>
      <c r="V567" s="2394"/>
      <c r="W567" s="2394"/>
      <c r="X567" s="2394"/>
      <c r="BB567" s="2395"/>
      <c r="BC567" s="2396"/>
      <c r="BD567" s="2397"/>
      <c r="BE567" s="2397"/>
      <c r="BF567" s="2398"/>
    </row>
    <row r="568" spans="5:58" s="2390" customFormat="1" x14ac:dyDescent="0.2">
      <c r="E568" s="2391"/>
      <c r="G568" s="2391"/>
      <c r="N568" s="2392"/>
      <c r="O568" s="2393"/>
      <c r="S568" s="2394"/>
      <c r="T568" s="2394"/>
      <c r="U568" s="2394"/>
      <c r="V568" s="2394"/>
      <c r="W568" s="2394"/>
      <c r="X568" s="2394"/>
      <c r="BB568" s="2395"/>
      <c r="BC568" s="2396"/>
      <c r="BD568" s="2397"/>
      <c r="BE568" s="2397"/>
      <c r="BF568" s="2398"/>
    </row>
    <row r="569" spans="5:58" s="2390" customFormat="1" x14ac:dyDescent="0.2">
      <c r="E569" s="2391"/>
      <c r="G569" s="2391"/>
      <c r="N569" s="2392"/>
      <c r="O569" s="2393"/>
      <c r="S569" s="2394"/>
      <c r="T569" s="2394"/>
      <c r="U569" s="2394"/>
      <c r="V569" s="2394"/>
      <c r="W569" s="2394"/>
      <c r="X569" s="2394"/>
      <c r="BB569" s="2395"/>
      <c r="BC569" s="2396"/>
      <c r="BD569" s="2397"/>
      <c r="BE569" s="2397"/>
      <c r="BF569" s="2398"/>
    </row>
    <row r="570" spans="5:58" s="2390" customFormat="1" x14ac:dyDescent="0.2">
      <c r="E570" s="2391"/>
      <c r="G570" s="2391"/>
      <c r="N570" s="2392"/>
      <c r="O570" s="2393"/>
      <c r="S570" s="2394"/>
      <c r="T570" s="2394"/>
      <c r="U570" s="2394"/>
      <c r="V570" s="2394"/>
      <c r="W570" s="2394"/>
      <c r="X570" s="2394"/>
      <c r="BB570" s="2395"/>
      <c r="BC570" s="2396"/>
      <c r="BD570" s="2397"/>
      <c r="BE570" s="2397"/>
      <c r="BF570" s="2398"/>
    </row>
    <row r="571" spans="5:58" s="2390" customFormat="1" x14ac:dyDescent="0.2">
      <c r="E571" s="2391"/>
      <c r="G571" s="2391"/>
      <c r="N571" s="2392"/>
      <c r="O571" s="2393"/>
      <c r="S571" s="2394"/>
      <c r="T571" s="2394"/>
      <c r="U571" s="2394"/>
      <c r="V571" s="2394"/>
      <c r="W571" s="2394"/>
      <c r="X571" s="2394"/>
      <c r="BB571" s="2395"/>
      <c r="BC571" s="2396"/>
      <c r="BD571" s="2397"/>
      <c r="BE571" s="2397"/>
      <c r="BF571" s="2398"/>
    </row>
    <row r="572" spans="5:58" s="2390" customFormat="1" x14ac:dyDescent="0.2">
      <c r="E572" s="2391"/>
      <c r="G572" s="2391"/>
      <c r="N572" s="2392"/>
      <c r="O572" s="2393"/>
      <c r="S572" s="2394"/>
      <c r="T572" s="2394"/>
      <c r="U572" s="2394"/>
      <c r="V572" s="2394"/>
      <c r="W572" s="2394"/>
      <c r="X572" s="2394"/>
      <c r="BB572" s="2395"/>
      <c r="BC572" s="2396"/>
      <c r="BD572" s="2397"/>
      <c r="BE572" s="2397"/>
      <c r="BF572" s="2398"/>
    </row>
    <row r="573" spans="5:58" s="2390" customFormat="1" x14ac:dyDescent="0.2">
      <c r="E573" s="2391"/>
      <c r="G573" s="2391"/>
      <c r="N573" s="2392"/>
      <c r="O573" s="2393"/>
      <c r="S573" s="2394"/>
      <c r="T573" s="2394"/>
      <c r="U573" s="2394"/>
      <c r="V573" s="2394"/>
      <c r="W573" s="2394"/>
      <c r="X573" s="2394"/>
      <c r="BB573" s="2395"/>
      <c r="BC573" s="2396"/>
      <c r="BD573" s="2397"/>
      <c r="BE573" s="2397"/>
      <c r="BF573" s="2398"/>
    </row>
    <row r="574" spans="5:58" s="2390" customFormat="1" x14ac:dyDescent="0.2">
      <c r="E574" s="2391"/>
      <c r="G574" s="2391"/>
      <c r="N574" s="2392"/>
      <c r="O574" s="2393"/>
      <c r="S574" s="2394"/>
      <c r="T574" s="2394"/>
      <c r="U574" s="2394"/>
      <c r="V574" s="2394"/>
      <c r="W574" s="2394"/>
      <c r="X574" s="2394"/>
      <c r="BB574" s="2395"/>
      <c r="BC574" s="2396"/>
      <c r="BD574" s="2397"/>
      <c r="BE574" s="2397"/>
      <c r="BF574" s="2398"/>
    </row>
    <row r="575" spans="5:58" s="2390" customFormat="1" x14ac:dyDescent="0.2">
      <c r="E575" s="2391"/>
      <c r="G575" s="2391"/>
      <c r="N575" s="2392"/>
      <c r="O575" s="2393"/>
      <c r="S575" s="2394"/>
      <c r="T575" s="2394"/>
      <c r="U575" s="2394"/>
      <c r="V575" s="2394"/>
      <c r="W575" s="2394"/>
      <c r="X575" s="2394"/>
      <c r="BB575" s="2395"/>
      <c r="BC575" s="2396"/>
      <c r="BD575" s="2397"/>
      <c r="BE575" s="2397"/>
      <c r="BF575" s="2398"/>
    </row>
    <row r="576" spans="5:58" s="2390" customFormat="1" x14ac:dyDescent="0.2">
      <c r="E576" s="2391"/>
      <c r="G576" s="2391"/>
      <c r="N576" s="2392"/>
      <c r="O576" s="2393"/>
      <c r="S576" s="2394"/>
      <c r="T576" s="2394"/>
      <c r="U576" s="2394"/>
      <c r="V576" s="2394"/>
      <c r="W576" s="2394"/>
      <c r="X576" s="2394"/>
      <c r="BB576" s="2395"/>
      <c r="BC576" s="2396"/>
      <c r="BD576" s="2397"/>
      <c r="BE576" s="2397"/>
      <c r="BF576" s="2398"/>
    </row>
    <row r="577" spans="5:58" s="2390" customFormat="1" x14ac:dyDescent="0.2">
      <c r="E577" s="2391"/>
      <c r="G577" s="2391"/>
      <c r="N577" s="2392"/>
      <c r="O577" s="2393"/>
      <c r="S577" s="2394"/>
      <c r="T577" s="2394"/>
      <c r="U577" s="2394"/>
      <c r="V577" s="2394"/>
      <c r="W577" s="2394"/>
      <c r="X577" s="2394"/>
      <c r="BB577" s="2395"/>
      <c r="BC577" s="2396"/>
      <c r="BD577" s="2397"/>
      <c r="BE577" s="2397"/>
      <c r="BF577" s="2398"/>
    </row>
    <row r="578" spans="5:58" s="2390" customFormat="1" x14ac:dyDescent="0.2">
      <c r="E578" s="2391"/>
      <c r="G578" s="2391"/>
      <c r="N578" s="2392"/>
      <c r="O578" s="2393"/>
      <c r="S578" s="2394"/>
      <c r="T578" s="2394"/>
      <c r="U578" s="2394"/>
      <c r="V578" s="2394"/>
      <c r="W578" s="2394"/>
      <c r="X578" s="2394"/>
      <c r="BB578" s="2395"/>
      <c r="BC578" s="2396"/>
      <c r="BD578" s="2397"/>
      <c r="BE578" s="2397"/>
      <c r="BF578" s="2398"/>
    </row>
    <row r="579" spans="5:58" s="2390" customFormat="1" x14ac:dyDescent="0.2">
      <c r="E579" s="2391"/>
      <c r="G579" s="2391"/>
      <c r="N579" s="2392"/>
      <c r="O579" s="2393"/>
      <c r="S579" s="2394"/>
      <c r="T579" s="2394"/>
      <c r="U579" s="2394"/>
      <c r="V579" s="2394"/>
      <c r="W579" s="2394"/>
      <c r="X579" s="2394"/>
      <c r="BB579" s="2395"/>
      <c r="BC579" s="2396"/>
      <c r="BD579" s="2397"/>
      <c r="BE579" s="2397"/>
      <c r="BF579" s="2398"/>
    </row>
    <row r="580" spans="5:58" s="2390" customFormat="1" x14ac:dyDescent="0.2">
      <c r="E580" s="2391"/>
      <c r="G580" s="2391"/>
      <c r="N580" s="2392"/>
      <c r="O580" s="2393"/>
      <c r="S580" s="2394"/>
      <c r="T580" s="2394"/>
      <c r="U580" s="2394"/>
      <c r="V580" s="2394"/>
      <c r="W580" s="2394"/>
      <c r="X580" s="2394"/>
      <c r="BB580" s="2395"/>
      <c r="BC580" s="2396"/>
      <c r="BD580" s="2397"/>
      <c r="BE580" s="2397"/>
      <c r="BF580" s="2398"/>
    </row>
    <row r="581" spans="5:58" s="2390" customFormat="1" x14ac:dyDescent="0.2">
      <c r="E581" s="2391"/>
      <c r="G581" s="2391"/>
      <c r="N581" s="2392"/>
      <c r="O581" s="2393"/>
      <c r="S581" s="2394"/>
      <c r="T581" s="2394"/>
      <c r="U581" s="2394"/>
      <c r="V581" s="2394"/>
      <c r="W581" s="2394"/>
      <c r="X581" s="2394"/>
      <c r="BB581" s="2395"/>
      <c r="BC581" s="2396"/>
      <c r="BD581" s="2397"/>
      <c r="BE581" s="2397"/>
      <c r="BF581" s="2398"/>
    </row>
    <row r="582" spans="5:58" s="2390" customFormat="1" x14ac:dyDescent="0.2">
      <c r="E582" s="2391"/>
      <c r="G582" s="2391"/>
      <c r="N582" s="2392"/>
      <c r="O582" s="2393"/>
      <c r="S582" s="2394"/>
      <c r="T582" s="2394"/>
      <c r="U582" s="2394"/>
      <c r="V582" s="2394"/>
      <c r="W582" s="2394"/>
      <c r="X582" s="2394"/>
      <c r="BB582" s="2395"/>
      <c r="BC582" s="2396"/>
      <c r="BD582" s="2397"/>
      <c r="BE582" s="2397"/>
      <c r="BF582" s="2398"/>
    </row>
    <row r="583" spans="5:58" s="2390" customFormat="1" x14ac:dyDescent="0.2">
      <c r="E583" s="2391"/>
      <c r="G583" s="2391"/>
      <c r="N583" s="2392"/>
      <c r="O583" s="2393"/>
      <c r="S583" s="2394"/>
      <c r="T583" s="2394"/>
      <c r="U583" s="2394"/>
      <c r="V583" s="2394"/>
      <c r="W583" s="2394"/>
      <c r="X583" s="2394"/>
      <c r="BB583" s="2395"/>
      <c r="BC583" s="2396"/>
      <c r="BD583" s="2397"/>
      <c r="BE583" s="2397"/>
      <c r="BF583" s="2398"/>
    </row>
    <row r="584" spans="5:58" s="2390" customFormat="1" x14ac:dyDescent="0.2">
      <c r="E584" s="2391"/>
      <c r="G584" s="2391"/>
      <c r="N584" s="2392"/>
      <c r="O584" s="2393"/>
      <c r="S584" s="2394"/>
      <c r="T584" s="2394"/>
      <c r="U584" s="2394"/>
      <c r="V584" s="2394"/>
      <c r="W584" s="2394"/>
      <c r="X584" s="2394"/>
      <c r="BB584" s="2395"/>
      <c r="BC584" s="2396"/>
      <c r="BD584" s="2397"/>
      <c r="BE584" s="2397"/>
      <c r="BF584" s="2398"/>
    </row>
    <row r="585" spans="5:58" s="2390" customFormat="1" x14ac:dyDescent="0.2">
      <c r="E585" s="2391"/>
      <c r="G585" s="2391"/>
      <c r="N585" s="2392"/>
      <c r="O585" s="2393"/>
      <c r="S585" s="2394"/>
      <c r="T585" s="2394"/>
      <c r="U585" s="2394"/>
      <c r="V585" s="2394"/>
      <c r="W585" s="2394"/>
      <c r="X585" s="2394"/>
      <c r="BB585" s="2395"/>
      <c r="BC585" s="2396"/>
      <c r="BD585" s="2397"/>
      <c r="BE585" s="2397"/>
      <c r="BF585" s="2398"/>
    </row>
    <row r="586" spans="5:58" s="2390" customFormat="1" x14ac:dyDescent="0.2">
      <c r="E586" s="2391"/>
      <c r="G586" s="2391"/>
      <c r="N586" s="2392"/>
      <c r="O586" s="2393"/>
      <c r="S586" s="2394"/>
      <c r="T586" s="2394"/>
      <c r="U586" s="2394"/>
      <c r="V586" s="2394"/>
      <c r="W586" s="2394"/>
      <c r="X586" s="2394"/>
      <c r="BB586" s="2395"/>
      <c r="BC586" s="2396"/>
      <c r="BD586" s="2397"/>
      <c r="BE586" s="2397"/>
      <c r="BF586" s="2398"/>
    </row>
    <row r="587" spans="5:58" s="2390" customFormat="1" x14ac:dyDescent="0.2">
      <c r="E587" s="2391"/>
      <c r="G587" s="2391"/>
      <c r="N587" s="2392"/>
      <c r="O587" s="2393"/>
      <c r="S587" s="2394"/>
      <c r="T587" s="2394"/>
      <c r="U587" s="2394"/>
      <c r="V587" s="2394"/>
      <c r="W587" s="2394"/>
      <c r="X587" s="2394"/>
      <c r="BB587" s="2395"/>
      <c r="BC587" s="2396"/>
      <c r="BD587" s="2397"/>
      <c r="BE587" s="2397"/>
      <c r="BF587" s="2398"/>
    </row>
    <row r="588" spans="5:58" s="2390" customFormat="1" x14ac:dyDescent="0.2">
      <c r="E588" s="2391"/>
      <c r="G588" s="2391"/>
      <c r="N588" s="2392"/>
      <c r="O588" s="2393"/>
      <c r="S588" s="2394"/>
      <c r="T588" s="2394"/>
      <c r="U588" s="2394"/>
      <c r="V588" s="2394"/>
      <c r="W588" s="2394"/>
      <c r="X588" s="2394"/>
      <c r="BB588" s="2395"/>
      <c r="BC588" s="2396"/>
      <c r="BD588" s="2397"/>
      <c r="BE588" s="2397"/>
      <c r="BF588" s="2398"/>
    </row>
    <row r="589" spans="5:58" s="2390" customFormat="1" x14ac:dyDescent="0.2">
      <c r="E589" s="2391"/>
      <c r="G589" s="2391"/>
      <c r="N589" s="2392"/>
      <c r="O589" s="2393"/>
      <c r="S589" s="2394"/>
      <c r="T589" s="2394"/>
      <c r="U589" s="2394"/>
      <c r="V589" s="2394"/>
      <c r="W589" s="2394"/>
      <c r="X589" s="2394"/>
      <c r="BB589" s="2395"/>
      <c r="BC589" s="2396"/>
      <c r="BD589" s="2397"/>
      <c r="BE589" s="2397"/>
      <c r="BF589" s="2398"/>
    </row>
    <row r="590" spans="5:58" s="2390" customFormat="1" x14ac:dyDescent="0.2">
      <c r="E590" s="2391"/>
      <c r="G590" s="2391"/>
      <c r="N590" s="2392"/>
      <c r="O590" s="2393"/>
      <c r="S590" s="2394"/>
      <c r="T590" s="2394"/>
      <c r="U590" s="2394"/>
      <c r="V590" s="2394"/>
      <c r="W590" s="2394"/>
      <c r="X590" s="2394"/>
      <c r="BB590" s="2395"/>
      <c r="BC590" s="2396"/>
      <c r="BD590" s="2397"/>
      <c r="BE590" s="2397"/>
      <c r="BF590" s="2398"/>
    </row>
    <row r="591" spans="5:58" s="2390" customFormat="1" x14ac:dyDescent="0.2">
      <c r="E591" s="2391"/>
      <c r="G591" s="2391"/>
      <c r="N591" s="2392"/>
      <c r="O591" s="2393"/>
      <c r="S591" s="2394"/>
      <c r="T591" s="2394"/>
      <c r="U591" s="2394"/>
      <c r="V591" s="2394"/>
      <c r="W591" s="2394"/>
      <c r="X591" s="2394"/>
      <c r="BB591" s="2395"/>
      <c r="BC591" s="2396"/>
      <c r="BD591" s="2397"/>
      <c r="BE591" s="2397"/>
      <c r="BF591" s="2398"/>
    </row>
    <row r="592" spans="5:58" s="2390" customFormat="1" x14ac:dyDescent="0.2">
      <c r="E592" s="2391"/>
      <c r="G592" s="2391"/>
      <c r="N592" s="2392"/>
      <c r="O592" s="2393"/>
      <c r="S592" s="2394"/>
      <c r="T592" s="2394"/>
      <c r="U592" s="2394"/>
      <c r="V592" s="2394"/>
      <c r="W592" s="2394"/>
      <c r="X592" s="2394"/>
      <c r="BB592" s="2395"/>
      <c r="BC592" s="2396"/>
      <c r="BD592" s="2397"/>
      <c r="BE592" s="2397"/>
      <c r="BF592" s="2398"/>
    </row>
    <row r="593" spans="5:58" s="2390" customFormat="1" x14ac:dyDescent="0.2">
      <c r="E593" s="2391"/>
      <c r="G593" s="2391"/>
      <c r="N593" s="2392"/>
      <c r="O593" s="2393"/>
      <c r="S593" s="2394"/>
      <c r="T593" s="2394"/>
      <c r="U593" s="2394"/>
      <c r="V593" s="2394"/>
      <c r="W593" s="2394"/>
      <c r="X593" s="2394"/>
      <c r="BB593" s="2395"/>
      <c r="BC593" s="2396"/>
      <c r="BD593" s="2397"/>
      <c r="BE593" s="2397"/>
      <c r="BF593" s="2398"/>
    </row>
    <row r="594" spans="5:58" s="2390" customFormat="1" x14ac:dyDescent="0.2">
      <c r="E594" s="2391"/>
      <c r="G594" s="2391"/>
      <c r="N594" s="2392"/>
      <c r="O594" s="2393"/>
      <c r="S594" s="2394"/>
      <c r="T594" s="2394"/>
      <c r="U594" s="2394"/>
      <c r="V594" s="2394"/>
      <c r="W594" s="2394"/>
      <c r="X594" s="2394"/>
      <c r="BB594" s="2395"/>
      <c r="BC594" s="2396"/>
      <c r="BD594" s="2397"/>
      <c r="BE594" s="2397"/>
      <c r="BF594" s="2398"/>
    </row>
    <row r="595" spans="5:58" s="2390" customFormat="1" x14ac:dyDescent="0.2">
      <c r="E595" s="2391"/>
      <c r="G595" s="2391"/>
      <c r="N595" s="2392"/>
      <c r="O595" s="2393"/>
      <c r="S595" s="2394"/>
      <c r="T595" s="2394"/>
      <c r="U595" s="2394"/>
      <c r="V595" s="2394"/>
      <c r="W595" s="2394"/>
      <c r="X595" s="2394"/>
      <c r="BB595" s="2395"/>
      <c r="BC595" s="2396"/>
      <c r="BD595" s="2397"/>
      <c r="BE595" s="2397"/>
      <c r="BF595" s="2398"/>
    </row>
    <row r="596" spans="5:58" s="2390" customFormat="1" x14ac:dyDescent="0.2">
      <c r="E596" s="2391"/>
      <c r="G596" s="2391"/>
      <c r="N596" s="2392"/>
      <c r="O596" s="2393"/>
      <c r="S596" s="2394"/>
      <c r="T596" s="2394"/>
      <c r="U596" s="2394"/>
      <c r="V596" s="2394"/>
      <c r="W596" s="2394"/>
      <c r="X596" s="2394"/>
      <c r="BB596" s="2395"/>
      <c r="BC596" s="2396"/>
      <c r="BD596" s="2397"/>
      <c r="BE596" s="2397"/>
      <c r="BF596" s="2398"/>
    </row>
    <row r="597" spans="5:58" s="2390" customFormat="1" x14ac:dyDescent="0.2">
      <c r="E597" s="2391"/>
      <c r="G597" s="2391"/>
      <c r="N597" s="2392"/>
      <c r="O597" s="2393"/>
      <c r="S597" s="2394"/>
      <c r="T597" s="2394"/>
      <c r="U597" s="2394"/>
      <c r="V597" s="2394"/>
      <c r="W597" s="2394"/>
      <c r="X597" s="2394"/>
      <c r="BB597" s="2395"/>
      <c r="BC597" s="2396"/>
      <c r="BD597" s="2397"/>
      <c r="BE597" s="2397"/>
      <c r="BF597" s="2398"/>
    </row>
    <row r="598" spans="5:58" s="2390" customFormat="1" x14ac:dyDescent="0.2">
      <c r="E598" s="2391"/>
      <c r="G598" s="2391"/>
      <c r="N598" s="2392"/>
      <c r="O598" s="2393"/>
      <c r="S598" s="2394"/>
      <c r="T598" s="2394"/>
      <c r="U598" s="2394"/>
      <c r="V598" s="2394"/>
      <c r="W598" s="2394"/>
      <c r="X598" s="2394"/>
      <c r="BB598" s="2395"/>
      <c r="BC598" s="2396"/>
      <c r="BD598" s="2397"/>
      <c r="BE598" s="2397"/>
      <c r="BF598" s="2398"/>
    </row>
    <row r="599" spans="5:58" s="2390" customFormat="1" x14ac:dyDescent="0.2">
      <c r="E599" s="2391"/>
      <c r="G599" s="2391"/>
      <c r="N599" s="2392"/>
      <c r="O599" s="2393"/>
      <c r="S599" s="2394"/>
      <c r="T599" s="2394"/>
      <c r="U599" s="2394"/>
      <c r="V599" s="2394"/>
      <c r="W599" s="2394"/>
      <c r="X599" s="2394"/>
      <c r="BB599" s="2395"/>
      <c r="BC599" s="2396"/>
      <c r="BD599" s="2397"/>
      <c r="BE599" s="2397"/>
      <c r="BF599" s="2398"/>
    </row>
    <row r="600" spans="5:58" s="2390" customFormat="1" x14ac:dyDescent="0.2">
      <c r="E600" s="2391"/>
      <c r="G600" s="2391"/>
      <c r="N600" s="2392"/>
      <c r="O600" s="2393"/>
      <c r="S600" s="2394"/>
      <c r="T600" s="2394"/>
      <c r="U600" s="2394"/>
      <c r="V600" s="2394"/>
      <c r="W600" s="2394"/>
      <c r="X600" s="2394"/>
      <c r="BB600" s="2395"/>
      <c r="BC600" s="2396"/>
      <c r="BD600" s="2397"/>
      <c r="BE600" s="2397"/>
      <c r="BF600" s="2398"/>
    </row>
    <row r="601" spans="5:58" s="2390" customFormat="1" x14ac:dyDescent="0.2">
      <c r="E601" s="2391"/>
      <c r="G601" s="2391"/>
      <c r="N601" s="2392"/>
      <c r="O601" s="2393"/>
      <c r="S601" s="2394"/>
      <c r="T601" s="2394"/>
      <c r="U601" s="2394"/>
      <c r="V601" s="2394"/>
      <c r="W601" s="2394"/>
      <c r="X601" s="2394"/>
      <c r="BB601" s="2395"/>
      <c r="BC601" s="2396"/>
      <c r="BD601" s="2397"/>
      <c r="BE601" s="2397"/>
      <c r="BF601" s="2398"/>
    </row>
    <row r="602" spans="5:58" s="2390" customFormat="1" x14ac:dyDescent="0.2">
      <c r="E602" s="2391"/>
      <c r="G602" s="2391"/>
      <c r="N602" s="2392"/>
      <c r="O602" s="2393"/>
      <c r="S602" s="2394"/>
      <c r="T602" s="2394"/>
      <c r="U602" s="2394"/>
      <c r="V602" s="2394"/>
      <c r="W602" s="2394"/>
      <c r="X602" s="2394"/>
      <c r="BB602" s="2395"/>
      <c r="BC602" s="2396"/>
      <c r="BD602" s="2397"/>
      <c r="BE602" s="2397"/>
      <c r="BF602" s="2398"/>
    </row>
    <row r="603" spans="5:58" s="2390" customFormat="1" x14ac:dyDescent="0.2">
      <c r="E603" s="2391"/>
      <c r="G603" s="2391"/>
      <c r="N603" s="2392"/>
      <c r="O603" s="2393"/>
      <c r="S603" s="2394"/>
      <c r="T603" s="2394"/>
      <c r="U603" s="2394"/>
      <c r="V603" s="2394"/>
      <c r="W603" s="2394"/>
      <c r="X603" s="2394"/>
      <c r="BB603" s="2395"/>
      <c r="BC603" s="2396"/>
      <c r="BD603" s="2397"/>
      <c r="BE603" s="2397"/>
      <c r="BF603" s="2398"/>
    </row>
    <row r="604" spans="5:58" s="2390" customFormat="1" x14ac:dyDescent="0.2">
      <c r="E604" s="2391"/>
      <c r="G604" s="2391"/>
      <c r="N604" s="2392"/>
      <c r="O604" s="2393"/>
      <c r="S604" s="2394"/>
      <c r="T604" s="2394"/>
      <c r="U604" s="2394"/>
      <c r="V604" s="2394"/>
      <c r="W604" s="2394"/>
      <c r="X604" s="2394"/>
      <c r="BB604" s="2395"/>
      <c r="BC604" s="2396"/>
      <c r="BD604" s="2397"/>
      <c r="BE604" s="2397"/>
      <c r="BF604" s="2398"/>
    </row>
    <row r="605" spans="5:58" s="2390" customFormat="1" x14ac:dyDescent="0.2">
      <c r="E605" s="2391"/>
      <c r="G605" s="2391"/>
      <c r="N605" s="2392"/>
      <c r="O605" s="2393"/>
      <c r="S605" s="2394"/>
      <c r="T605" s="2394"/>
      <c r="U605" s="2394"/>
      <c r="V605" s="2394"/>
      <c r="W605" s="2394"/>
      <c r="X605" s="2394"/>
      <c r="BB605" s="2395"/>
      <c r="BC605" s="2396"/>
      <c r="BD605" s="2397"/>
      <c r="BE605" s="2397"/>
      <c r="BF605" s="2398"/>
    </row>
    <row r="606" spans="5:58" s="2390" customFormat="1" x14ac:dyDescent="0.2">
      <c r="E606" s="2391"/>
      <c r="G606" s="2391"/>
      <c r="N606" s="2392"/>
      <c r="O606" s="2393"/>
      <c r="S606" s="2394"/>
      <c r="T606" s="2394"/>
      <c r="U606" s="2394"/>
      <c r="V606" s="2394"/>
      <c r="W606" s="2394"/>
      <c r="X606" s="2394"/>
      <c r="BB606" s="2395"/>
      <c r="BC606" s="2396"/>
      <c r="BD606" s="2397"/>
      <c r="BE606" s="2397"/>
      <c r="BF606" s="2398"/>
    </row>
    <row r="607" spans="5:58" s="2390" customFormat="1" x14ac:dyDescent="0.2">
      <c r="E607" s="2391"/>
      <c r="G607" s="2391"/>
      <c r="N607" s="2392"/>
      <c r="O607" s="2393"/>
      <c r="S607" s="2394"/>
      <c r="T607" s="2394"/>
      <c r="U607" s="2394"/>
      <c r="V607" s="2394"/>
      <c r="W607" s="2394"/>
      <c r="X607" s="2394"/>
      <c r="BB607" s="2395"/>
      <c r="BC607" s="2396"/>
      <c r="BD607" s="2397"/>
      <c r="BE607" s="2397"/>
      <c r="BF607" s="2398"/>
    </row>
    <row r="608" spans="5:58" s="2390" customFormat="1" x14ac:dyDescent="0.2">
      <c r="E608" s="2391"/>
      <c r="G608" s="2391"/>
      <c r="N608" s="2392"/>
      <c r="O608" s="2393"/>
      <c r="S608" s="2394"/>
      <c r="T608" s="2394"/>
      <c r="U608" s="2394"/>
      <c r="V608" s="2394"/>
      <c r="W608" s="2394"/>
      <c r="X608" s="2394"/>
      <c r="BB608" s="2395"/>
      <c r="BC608" s="2396"/>
      <c r="BD608" s="2397"/>
      <c r="BE608" s="2397"/>
      <c r="BF608" s="2398"/>
    </row>
    <row r="609" spans="5:58" s="2390" customFormat="1" x14ac:dyDescent="0.2">
      <c r="E609" s="2391"/>
      <c r="G609" s="2391"/>
      <c r="N609" s="2392"/>
      <c r="O609" s="2393"/>
      <c r="S609" s="2394"/>
      <c r="T609" s="2394"/>
      <c r="U609" s="2394"/>
      <c r="V609" s="2394"/>
      <c r="W609" s="2394"/>
      <c r="X609" s="2394"/>
      <c r="BB609" s="2395"/>
      <c r="BC609" s="2396"/>
      <c r="BD609" s="2397"/>
      <c r="BE609" s="2397"/>
      <c r="BF609" s="2398"/>
    </row>
    <row r="610" spans="5:58" s="2390" customFormat="1" x14ac:dyDescent="0.2">
      <c r="E610" s="2391"/>
      <c r="G610" s="2391"/>
      <c r="N610" s="2392"/>
      <c r="O610" s="2393"/>
      <c r="S610" s="2394"/>
      <c r="T610" s="2394"/>
      <c r="U610" s="2394"/>
      <c r="V610" s="2394"/>
      <c r="W610" s="2394"/>
      <c r="X610" s="2394"/>
      <c r="BB610" s="2395"/>
      <c r="BC610" s="2396"/>
      <c r="BD610" s="2397"/>
      <c r="BE610" s="2397"/>
      <c r="BF610" s="2398"/>
    </row>
    <row r="611" spans="5:58" s="2390" customFormat="1" x14ac:dyDescent="0.2">
      <c r="E611" s="2391"/>
      <c r="G611" s="2391"/>
      <c r="N611" s="2392"/>
      <c r="O611" s="2393"/>
      <c r="S611" s="2394"/>
      <c r="T611" s="2394"/>
      <c r="U611" s="2394"/>
      <c r="V611" s="2394"/>
      <c r="W611" s="2394"/>
      <c r="X611" s="2394"/>
      <c r="BB611" s="2395"/>
      <c r="BC611" s="2396"/>
      <c r="BD611" s="2397"/>
      <c r="BE611" s="2397"/>
      <c r="BF611" s="2398"/>
    </row>
    <row r="612" spans="5:58" s="2390" customFormat="1" x14ac:dyDescent="0.2">
      <c r="E612" s="2391"/>
      <c r="G612" s="2391"/>
      <c r="N612" s="2392"/>
      <c r="O612" s="2393"/>
      <c r="S612" s="2394"/>
      <c r="T612" s="2394"/>
      <c r="U612" s="2394"/>
      <c r="V612" s="2394"/>
      <c r="W612" s="2394"/>
      <c r="X612" s="2394"/>
      <c r="BB612" s="2395"/>
      <c r="BC612" s="2396"/>
      <c r="BD612" s="2397"/>
      <c r="BE612" s="2397"/>
      <c r="BF612" s="2398"/>
    </row>
    <row r="613" spans="5:58" s="2390" customFormat="1" x14ac:dyDescent="0.2">
      <c r="E613" s="2391"/>
      <c r="G613" s="2391"/>
      <c r="N613" s="2392"/>
      <c r="O613" s="2393"/>
      <c r="S613" s="2394"/>
      <c r="T613" s="2394"/>
      <c r="U613" s="2394"/>
      <c r="V613" s="2394"/>
      <c r="W613" s="2394"/>
      <c r="X613" s="2394"/>
      <c r="BB613" s="2395"/>
      <c r="BC613" s="2396"/>
      <c r="BD613" s="2397"/>
      <c r="BE613" s="2397"/>
      <c r="BF613" s="2398"/>
    </row>
    <row r="614" spans="5:58" s="2390" customFormat="1" x14ac:dyDescent="0.2">
      <c r="E614" s="2391"/>
      <c r="G614" s="2391"/>
      <c r="N614" s="2392"/>
      <c r="O614" s="2393"/>
      <c r="S614" s="2394"/>
      <c r="T614" s="2394"/>
      <c r="U614" s="2394"/>
      <c r="V614" s="2394"/>
      <c r="W614" s="2394"/>
      <c r="X614" s="2394"/>
      <c r="BB614" s="2395"/>
      <c r="BC614" s="2396"/>
      <c r="BD614" s="2397"/>
      <c r="BE614" s="2397"/>
      <c r="BF614" s="2398"/>
    </row>
    <row r="615" spans="5:58" s="2390" customFormat="1" x14ac:dyDescent="0.2">
      <c r="E615" s="2391"/>
      <c r="G615" s="2391"/>
      <c r="N615" s="2392"/>
      <c r="O615" s="2393"/>
      <c r="S615" s="2394"/>
      <c r="T615" s="2394"/>
      <c r="U615" s="2394"/>
      <c r="V615" s="2394"/>
      <c r="W615" s="2394"/>
      <c r="X615" s="2394"/>
      <c r="BB615" s="2395"/>
      <c r="BC615" s="2396"/>
      <c r="BD615" s="2397"/>
      <c r="BE615" s="2397"/>
      <c r="BF615" s="2398"/>
    </row>
    <row r="616" spans="5:58" s="2390" customFormat="1" x14ac:dyDescent="0.2">
      <c r="E616" s="2391"/>
      <c r="G616" s="2391"/>
      <c r="N616" s="2392"/>
      <c r="O616" s="2393"/>
      <c r="S616" s="2394"/>
      <c r="T616" s="2394"/>
      <c r="U616" s="2394"/>
      <c r="V616" s="2394"/>
      <c r="W616" s="2394"/>
      <c r="X616" s="2394"/>
      <c r="BB616" s="2395"/>
      <c r="BC616" s="2396"/>
      <c r="BD616" s="2397"/>
      <c r="BE616" s="2397"/>
      <c r="BF616" s="2398"/>
    </row>
    <row r="617" spans="5:58" s="2390" customFormat="1" x14ac:dyDescent="0.2">
      <c r="E617" s="2391"/>
      <c r="G617" s="2391"/>
      <c r="N617" s="2392"/>
      <c r="O617" s="2393"/>
      <c r="S617" s="2394"/>
      <c r="T617" s="2394"/>
      <c r="U617" s="2394"/>
      <c r="V617" s="2394"/>
      <c r="W617" s="2394"/>
      <c r="X617" s="2394"/>
      <c r="BB617" s="2395"/>
      <c r="BC617" s="2396"/>
      <c r="BD617" s="2397"/>
      <c r="BE617" s="2397"/>
      <c r="BF617" s="2398"/>
    </row>
    <row r="618" spans="5:58" s="2390" customFormat="1" x14ac:dyDescent="0.2">
      <c r="E618" s="2391"/>
      <c r="G618" s="2391"/>
      <c r="N618" s="2392"/>
      <c r="O618" s="2393"/>
      <c r="S618" s="2394"/>
      <c r="T618" s="2394"/>
      <c r="U618" s="2394"/>
      <c r="V618" s="2394"/>
      <c r="W618" s="2394"/>
      <c r="X618" s="2394"/>
      <c r="BB618" s="2395"/>
      <c r="BC618" s="2396"/>
      <c r="BD618" s="2397"/>
      <c r="BE618" s="2397"/>
      <c r="BF618" s="2398"/>
    </row>
    <row r="619" spans="5:58" s="2390" customFormat="1" x14ac:dyDescent="0.2">
      <c r="E619" s="2391"/>
      <c r="G619" s="2391"/>
      <c r="N619" s="2392"/>
      <c r="O619" s="2393"/>
      <c r="S619" s="2394"/>
      <c r="T619" s="2394"/>
      <c r="U619" s="2394"/>
      <c r="V619" s="2394"/>
      <c r="W619" s="2394"/>
      <c r="X619" s="2394"/>
      <c r="BB619" s="2395"/>
      <c r="BC619" s="2396"/>
      <c r="BD619" s="2397"/>
      <c r="BE619" s="2397"/>
      <c r="BF619" s="2398"/>
    </row>
    <row r="620" spans="5:58" s="2390" customFormat="1" x14ac:dyDescent="0.2">
      <c r="E620" s="2391"/>
      <c r="G620" s="2391"/>
      <c r="N620" s="2392"/>
      <c r="O620" s="2393"/>
      <c r="S620" s="2394"/>
      <c r="T620" s="2394"/>
      <c r="U620" s="2394"/>
      <c r="V620" s="2394"/>
      <c r="W620" s="2394"/>
      <c r="X620" s="2394"/>
      <c r="BB620" s="2395"/>
      <c r="BC620" s="2396"/>
      <c r="BD620" s="2397"/>
      <c r="BE620" s="2397"/>
      <c r="BF620" s="2398"/>
    </row>
    <row r="621" spans="5:58" s="2390" customFormat="1" x14ac:dyDescent="0.2">
      <c r="E621" s="2391"/>
      <c r="G621" s="2391"/>
      <c r="N621" s="2392"/>
      <c r="O621" s="2393"/>
      <c r="S621" s="2394"/>
      <c r="T621" s="2394"/>
      <c r="U621" s="2394"/>
      <c r="V621" s="2394"/>
      <c r="W621" s="2394"/>
      <c r="X621" s="2394"/>
      <c r="BB621" s="2395"/>
      <c r="BC621" s="2396"/>
      <c r="BD621" s="2397"/>
      <c r="BE621" s="2397"/>
      <c r="BF621" s="2398"/>
    </row>
    <row r="622" spans="5:58" s="2390" customFormat="1" x14ac:dyDescent="0.2">
      <c r="E622" s="2391"/>
      <c r="G622" s="2391"/>
      <c r="N622" s="2392"/>
      <c r="O622" s="2393"/>
      <c r="S622" s="2394"/>
      <c r="T622" s="2394"/>
      <c r="U622" s="2394"/>
      <c r="V622" s="2394"/>
      <c r="W622" s="2394"/>
      <c r="X622" s="2394"/>
      <c r="BB622" s="2395"/>
      <c r="BC622" s="2396"/>
      <c r="BD622" s="2397"/>
      <c r="BE622" s="2397"/>
      <c r="BF622" s="2398"/>
    </row>
    <row r="623" spans="5:58" s="2390" customFormat="1" x14ac:dyDescent="0.2">
      <c r="E623" s="2391"/>
      <c r="G623" s="2391"/>
      <c r="N623" s="2392"/>
      <c r="O623" s="2393"/>
      <c r="S623" s="2394"/>
      <c r="T623" s="2394"/>
      <c r="U623" s="2394"/>
      <c r="V623" s="2394"/>
      <c r="W623" s="2394"/>
      <c r="X623" s="2394"/>
      <c r="BB623" s="2395"/>
      <c r="BC623" s="2396"/>
      <c r="BD623" s="2397"/>
      <c r="BE623" s="2397"/>
      <c r="BF623" s="2398"/>
    </row>
    <row r="624" spans="5:58" s="2390" customFormat="1" x14ac:dyDescent="0.2">
      <c r="E624" s="2391"/>
      <c r="G624" s="2391"/>
      <c r="N624" s="2392"/>
      <c r="O624" s="2393"/>
      <c r="S624" s="2394"/>
      <c r="T624" s="2394"/>
      <c r="U624" s="2394"/>
      <c r="V624" s="2394"/>
      <c r="W624" s="2394"/>
      <c r="X624" s="2394"/>
      <c r="BB624" s="2395"/>
      <c r="BC624" s="2396"/>
      <c r="BD624" s="2397"/>
      <c r="BE624" s="2397"/>
      <c r="BF624" s="2398"/>
    </row>
    <row r="625" spans="5:58" s="2390" customFormat="1" x14ac:dyDescent="0.2">
      <c r="E625" s="2391"/>
      <c r="G625" s="2391"/>
      <c r="N625" s="2392"/>
      <c r="O625" s="2393"/>
      <c r="S625" s="2394"/>
      <c r="T625" s="2394"/>
      <c r="U625" s="2394"/>
      <c r="V625" s="2394"/>
      <c r="W625" s="2394"/>
      <c r="X625" s="2394"/>
      <c r="BB625" s="2395"/>
      <c r="BC625" s="2396"/>
      <c r="BD625" s="2397"/>
      <c r="BE625" s="2397"/>
      <c r="BF625" s="2398"/>
    </row>
    <row r="626" spans="5:58" s="2390" customFormat="1" x14ac:dyDescent="0.2">
      <c r="E626" s="2391"/>
      <c r="G626" s="2391"/>
      <c r="N626" s="2392"/>
      <c r="O626" s="2393"/>
      <c r="S626" s="2394"/>
      <c r="T626" s="2394"/>
      <c r="U626" s="2394"/>
      <c r="V626" s="2394"/>
      <c r="W626" s="2394"/>
      <c r="X626" s="2394"/>
      <c r="BB626" s="2395"/>
      <c r="BC626" s="2396"/>
      <c r="BD626" s="2397"/>
      <c r="BE626" s="2397"/>
      <c r="BF626" s="2398"/>
    </row>
    <row r="627" spans="5:58" s="2390" customFormat="1" x14ac:dyDescent="0.2">
      <c r="E627" s="2391"/>
      <c r="G627" s="2391"/>
      <c r="N627" s="2392"/>
      <c r="O627" s="2393"/>
      <c r="S627" s="2394"/>
      <c r="T627" s="2394"/>
      <c r="U627" s="2394"/>
      <c r="V627" s="2394"/>
      <c r="W627" s="2394"/>
      <c r="X627" s="2394"/>
      <c r="BB627" s="2395"/>
      <c r="BC627" s="2396"/>
      <c r="BD627" s="2397"/>
      <c r="BE627" s="2397"/>
      <c r="BF627" s="2398"/>
    </row>
    <row r="628" spans="5:58" s="2390" customFormat="1" x14ac:dyDescent="0.2">
      <c r="E628" s="2391"/>
      <c r="G628" s="2391"/>
      <c r="N628" s="2392"/>
      <c r="O628" s="2393"/>
      <c r="S628" s="2394"/>
      <c r="T628" s="2394"/>
      <c r="U628" s="2394"/>
      <c r="V628" s="2394"/>
      <c r="W628" s="2394"/>
      <c r="X628" s="2394"/>
      <c r="BB628" s="2395"/>
      <c r="BC628" s="2396"/>
      <c r="BD628" s="2397"/>
      <c r="BE628" s="2397"/>
      <c r="BF628" s="2398"/>
    </row>
    <row r="629" spans="5:58" s="2390" customFormat="1" x14ac:dyDescent="0.2">
      <c r="E629" s="2391"/>
      <c r="G629" s="2391"/>
      <c r="N629" s="2392"/>
      <c r="O629" s="2393"/>
      <c r="S629" s="2394"/>
      <c r="T629" s="2394"/>
      <c r="U629" s="2394"/>
      <c r="V629" s="2394"/>
      <c r="W629" s="2394"/>
      <c r="X629" s="2394"/>
      <c r="BB629" s="2395"/>
      <c r="BC629" s="2396"/>
      <c r="BD629" s="2397"/>
      <c r="BE629" s="2397"/>
      <c r="BF629" s="2398"/>
    </row>
    <row r="630" spans="5:58" s="2390" customFormat="1" x14ac:dyDescent="0.2">
      <c r="E630" s="2391"/>
      <c r="G630" s="2391"/>
      <c r="N630" s="2392"/>
      <c r="O630" s="2393"/>
      <c r="S630" s="2394"/>
      <c r="T630" s="2394"/>
      <c r="U630" s="2394"/>
      <c r="V630" s="2394"/>
      <c r="W630" s="2394"/>
      <c r="X630" s="2394"/>
      <c r="BB630" s="2395"/>
      <c r="BC630" s="2396"/>
      <c r="BD630" s="2397"/>
      <c r="BE630" s="2397"/>
      <c r="BF630" s="2398"/>
    </row>
    <row r="631" spans="5:58" s="2390" customFormat="1" x14ac:dyDescent="0.2">
      <c r="E631" s="2391"/>
      <c r="G631" s="2391"/>
      <c r="N631" s="2392"/>
      <c r="O631" s="2393"/>
      <c r="S631" s="2394"/>
      <c r="T631" s="2394"/>
      <c r="U631" s="2394"/>
      <c r="V631" s="2394"/>
      <c r="W631" s="2394"/>
      <c r="X631" s="2394"/>
      <c r="BB631" s="2395"/>
      <c r="BC631" s="2396"/>
      <c r="BD631" s="2397"/>
      <c r="BE631" s="2397"/>
      <c r="BF631" s="2398"/>
    </row>
    <row r="632" spans="5:58" s="2390" customFormat="1" x14ac:dyDescent="0.2">
      <c r="E632" s="2391"/>
      <c r="G632" s="2391"/>
      <c r="N632" s="2392"/>
      <c r="O632" s="2393"/>
      <c r="S632" s="2394"/>
      <c r="T632" s="2394"/>
      <c r="U632" s="2394"/>
      <c r="V632" s="2394"/>
      <c r="W632" s="2394"/>
      <c r="X632" s="2394"/>
      <c r="BB632" s="2395"/>
      <c r="BC632" s="2396"/>
      <c r="BD632" s="2397"/>
      <c r="BE632" s="2397"/>
      <c r="BF632" s="2398"/>
    </row>
    <row r="633" spans="5:58" s="2390" customFormat="1" x14ac:dyDescent="0.2">
      <c r="E633" s="2391"/>
      <c r="G633" s="2391"/>
      <c r="N633" s="2392"/>
      <c r="O633" s="2393"/>
      <c r="S633" s="2394"/>
      <c r="T633" s="2394"/>
      <c r="U633" s="2394"/>
      <c r="V633" s="2394"/>
      <c r="W633" s="2394"/>
      <c r="X633" s="2394"/>
      <c r="BB633" s="2395"/>
      <c r="BC633" s="2396"/>
      <c r="BD633" s="2397"/>
      <c r="BE633" s="2397"/>
      <c r="BF633" s="2398"/>
    </row>
    <row r="634" spans="5:58" s="2390" customFormat="1" x14ac:dyDescent="0.2">
      <c r="E634" s="2391"/>
      <c r="G634" s="2391"/>
      <c r="N634" s="2392"/>
      <c r="O634" s="2393"/>
      <c r="S634" s="2394"/>
      <c r="T634" s="2394"/>
      <c r="U634" s="2394"/>
      <c r="V634" s="2394"/>
      <c r="W634" s="2394"/>
      <c r="X634" s="2394"/>
      <c r="BB634" s="2395"/>
      <c r="BC634" s="2396"/>
      <c r="BD634" s="2397"/>
      <c r="BE634" s="2397"/>
      <c r="BF634" s="2398"/>
    </row>
    <row r="635" spans="5:58" s="2390" customFormat="1" x14ac:dyDescent="0.2">
      <c r="E635" s="2391"/>
      <c r="G635" s="2391"/>
      <c r="N635" s="2392"/>
      <c r="O635" s="2393"/>
      <c r="S635" s="2394"/>
      <c r="T635" s="2394"/>
      <c r="U635" s="2394"/>
      <c r="V635" s="2394"/>
      <c r="W635" s="2394"/>
      <c r="X635" s="2394"/>
      <c r="BB635" s="2395"/>
      <c r="BC635" s="2396"/>
      <c r="BD635" s="2397"/>
      <c r="BE635" s="2397"/>
      <c r="BF635" s="2398"/>
    </row>
    <row r="636" spans="5:58" s="2390" customFormat="1" x14ac:dyDescent="0.2">
      <c r="E636" s="2391"/>
      <c r="G636" s="2391"/>
      <c r="N636" s="2392"/>
      <c r="O636" s="2393"/>
      <c r="S636" s="2394"/>
      <c r="T636" s="2394"/>
      <c r="U636" s="2394"/>
      <c r="V636" s="2394"/>
      <c r="W636" s="2394"/>
      <c r="X636" s="2394"/>
      <c r="BB636" s="2395"/>
      <c r="BC636" s="2396"/>
      <c r="BD636" s="2397"/>
      <c r="BE636" s="2397"/>
      <c r="BF636" s="2398"/>
    </row>
    <row r="637" spans="5:58" s="2390" customFormat="1" x14ac:dyDescent="0.2">
      <c r="E637" s="2391"/>
      <c r="G637" s="2391"/>
      <c r="N637" s="2392"/>
      <c r="O637" s="2393"/>
      <c r="S637" s="2394"/>
      <c r="T637" s="2394"/>
      <c r="U637" s="2394"/>
      <c r="V637" s="2394"/>
      <c r="W637" s="2394"/>
      <c r="X637" s="2394"/>
      <c r="BB637" s="2395"/>
      <c r="BC637" s="2396"/>
      <c r="BD637" s="2397"/>
      <c r="BE637" s="2397"/>
      <c r="BF637" s="2398"/>
    </row>
    <row r="638" spans="5:58" s="2390" customFormat="1" x14ac:dyDescent="0.2">
      <c r="E638" s="2391"/>
      <c r="G638" s="2391"/>
      <c r="N638" s="2392"/>
      <c r="O638" s="2393"/>
      <c r="S638" s="2394"/>
      <c r="T638" s="2394"/>
      <c r="U638" s="2394"/>
      <c r="V638" s="2394"/>
      <c r="W638" s="2394"/>
      <c r="X638" s="2394"/>
      <c r="BB638" s="2395"/>
      <c r="BC638" s="2396"/>
      <c r="BD638" s="2397"/>
      <c r="BE638" s="2397"/>
      <c r="BF638" s="2398"/>
    </row>
    <row r="639" spans="5:58" s="2390" customFormat="1" x14ac:dyDescent="0.2">
      <c r="E639" s="2391"/>
      <c r="G639" s="2391"/>
      <c r="N639" s="2392"/>
      <c r="O639" s="2393"/>
      <c r="S639" s="2394"/>
      <c r="T639" s="2394"/>
      <c r="U639" s="2394"/>
      <c r="V639" s="2394"/>
      <c r="W639" s="2394"/>
      <c r="X639" s="2394"/>
      <c r="BB639" s="2395"/>
      <c r="BC639" s="2396"/>
      <c r="BD639" s="2397"/>
      <c r="BE639" s="2397"/>
      <c r="BF639" s="2398"/>
    </row>
    <row r="640" spans="5:58" s="2390" customFormat="1" x14ac:dyDescent="0.2">
      <c r="E640" s="2391"/>
      <c r="G640" s="2391"/>
      <c r="N640" s="2392"/>
      <c r="O640" s="2393"/>
      <c r="S640" s="2394"/>
      <c r="T640" s="2394"/>
      <c r="U640" s="2394"/>
      <c r="V640" s="2394"/>
      <c r="W640" s="2394"/>
      <c r="X640" s="2394"/>
      <c r="BB640" s="2395"/>
      <c r="BC640" s="2396"/>
      <c r="BD640" s="2397"/>
      <c r="BE640" s="2397"/>
      <c r="BF640" s="2398"/>
    </row>
    <row r="641" spans="5:58" s="2390" customFormat="1" x14ac:dyDescent="0.2">
      <c r="E641" s="2391"/>
      <c r="G641" s="2391"/>
      <c r="N641" s="2392"/>
      <c r="O641" s="2393"/>
      <c r="S641" s="2394"/>
      <c r="T641" s="2394"/>
      <c r="U641" s="2394"/>
      <c r="V641" s="2394"/>
      <c r="W641" s="2394"/>
      <c r="X641" s="2394"/>
      <c r="BB641" s="2395"/>
      <c r="BC641" s="2396"/>
      <c r="BD641" s="2397"/>
      <c r="BE641" s="2397"/>
      <c r="BF641" s="2398"/>
    </row>
    <row r="642" spans="5:58" s="2390" customFormat="1" x14ac:dyDescent="0.2">
      <c r="E642" s="2391"/>
      <c r="G642" s="2391"/>
      <c r="N642" s="2392"/>
      <c r="O642" s="2393"/>
      <c r="S642" s="2394"/>
      <c r="T642" s="2394"/>
      <c r="U642" s="2394"/>
      <c r="V642" s="2394"/>
      <c r="W642" s="2394"/>
      <c r="X642" s="2394"/>
      <c r="BB642" s="2395"/>
      <c r="BC642" s="2396"/>
      <c r="BD642" s="2397"/>
      <c r="BE642" s="2397"/>
      <c r="BF642" s="2398"/>
    </row>
    <row r="643" spans="5:58" s="2390" customFormat="1" x14ac:dyDescent="0.2">
      <c r="E643" s="2391"/>
      <c r="G643" s="2391"/>
      <c r="N643" s="2392"/>
      <c r="O643" s="2393"/>
      <c r="S643" s="2394"/>
      <c r="T643" s="2394"/>
      <c r="U643" s="2394"/>
      <c r="V643" s="2394"/>
      <c r="W643" s="2394"/>
      <c r="X643" s="2394"/>
      <c r="BB643" s="2395"/>
      <c r="BC643" s="2396"/>
      <c r="BD643" s="2397"/>
      <c r="BE643" s="2397"/>
      <c r="BF643" s="2398"/>
    </row>
    <row r="644" spans="5:58" s="2390" customFormat="1" x14ac:dyDescent="0.2">
      <c r="E644" s="2391"/>
      <c r="G644" s="2391"/>
      <c r="N644" s="2392"/>
      <c r="O644" s="2393"/>
      <c r="S644" s="2394"/>
      <c r="T644" s="2394"/>
      <c r="U644" s="2394"/>
      <c r="V644" s="2394"/>
      <c r="W644" s="2394"/>
      <c r="X644" s="2394"/>
      <c r="BB644" s="2395"/>
      <c r="BC644" s="2396"/>
      <c r="BD644" s="2397"/>
      <c r="BE644" s="2397"/>
      <c r="BF644" s="2398"/>
    </row>
    <row r="645" spans="5:58" s="2390" customFormat="1" x14ac:dyDescent="0.2">
      <c r="E645" s="2391"/>
      <c r="G645" s="2391"/>
      <c r="N645" s="2392"/>
      <c r="O645" s="2393"/>
      <c r="S645" s="2394"/>
      <c r="T645" s="2394"/>
      <c r="U645" s="2394"/>
      <c r="V645" s="2394"/>
      <c r="W645" s="2394"/>
      <c r="X645" s="2394"/>
      <c r="BB645" s="2395"/>
      <c r="BC645" s="2396"/>
      <c r="BD645" s="2397"/>
      <c r="BE645" s="2397"/>
      <c r="BF645" s="2398"/>
    </row>
    <row r="646" spans="5:58" s="2390" customFormat="1" x14ac:dyDescent="0.2">
      <c r="E646" s="2391"/>
      <c r="G646" s="2391"/>
      <c r="N646" s="2392"/>
      <c r="O646" s="2393"/>
      <c r="S646" s="2394"/>
      <c r="T646" s="2394"/>
      <c r="U646" s="2394"/>
      <c r="V646" s="2394"/>
      <c r="W646" s="2394"/>
      <c r="X646" s="2394"/>
      <c r="BB646" s="2395"/>
      <c r="BC646" s="2396"/>
      <c r="BD646" s="2397"/>
      <c r="BE646" s="2397"/>
      <c r="BF646" s="2398"/>
    </row>
    <row r="647" spans="5:58" s="2390" customFormat="1" x14ac:dyDescent="0.2">
      <c r="E647" s="2391"/>
      <c r="G647" s="2391"/>
      <c r="N647" s="2392"/>
      <c r="O647" s="2393"/>
      <c r="S647" s="2394"/>
      <c r="T647" s="2394"/>
      <c r="U647" s="2394"/>
      <c r="V647" s="2394"/>
      <c r="W647" s="2394"/>
      <c r="X647" s="2394"/>
      <c r="BB647" s="2395"/>
      <c r="BC647" s="2396"/>
      <c r="BD647" s="2397"/>
      <c r="BE647" s="2397"/>
      <c r="BF647" s="2398"/>
    </row>
    <row r="648" spans="5:58" s="2390" customFormat="1" x14ac:dyDescent="0.2">
      <c r="E648" s="2391"/>
      <c r="G648" s="2391"/>
      <c r="N648" s="2392"/>
      <c r="O648" s="2393"/>
      <c r="S648" s="2394"/>
      <c r="T648" s="2394"/>
      <c r="U648" s="2394"/>
      <c r="V648" s="2394"/>
      <c r="W648" s="2394"/>
      <c r="X648" s="2394"/>
      <c r="BB648" s="2395"/>
      <c r="BC648" s="2396"/>
      <c r="BD648" s="2397"/>
      <c r="BE648" s="2397"/>
      <c r="BF648" s="2398"/>
    </row>
    <row r="649" spans="5:58" s="2390" customFormat="1" x14ac:dyDescent="0.2">
      <c r="E649" s="2391"/>
      <c r="G649" s="2391"/>
      <c r="N649" s="2392"/>
      <c r="O649" s="2393"/>
      <c r="S649" s="2394"/>
      <c r="T649" s="2394"/>
      <c r="U649" s="2394"/>
      <c r="V649" s="2394"/>
      <c r="W649" s="2394"/>
      <c r="X649" s="2394"/>
      <c r="BB649" s="2395"/>
      <c r="BC649" s="2396"/>
      <c r="BD649" s="2397"/>
      <c r="BE649" s="2397"/>
      <c r="BF649" s="2398"/>
    </row>
    <row r="650" spans="5:58" s="2390" customFormat="1" x14ac:dyDescent="0.2">
      <c r="E650" s="2391"/>
      <c r="G650" s="2391"/>
      <c r="N650" s="2392"/>
      <c r="O650" s="2393"/>
      <c r="S650" s="2394"/>
      <c r="T650" s="2394"/>
      <c r="U650" s="2394"/>
      <c r="V650" s="2394"/>
      <c r="W650" s="2394"/>
      <c r="X650" s="2394"/>
      <c r="BB650" s="2395"/>
      <c r="BC650" s="2396"/>
      <c r="BD650" s="2397"/>
      <c r="BE650" s="2397"/>
      <c r="BF650" s="2398"/>
    </row>
    <row r="651" spans="5:58" s="2390" customFormat="1" x14ac:dyDescent="0.2">
      <c r="E651" s="2391"/>
      <c r="G651" s="2391"/>
      <c r="N651" s="2392"/>
      <c r="O651" s="2393"/>
      <c r="S651" s="2394"/>
      <c r="T651" s="2394"/>
      <c r="U651" s="2394"/>
      <c r="V651" s="2394"/>
      <c r="W651" s="2394"/>
      <c r="X651" s="2394"/>
      <c r="BB651" s="2395"/>
      <c r="BC651" s="2396"/>
      <c r="BD651" s="2397"/>
      <c r="BE651" s="2397"/>
      <c r="BF651" s="2398"/>
    </row>
    <row r="652" spans="5:58" s="2390" customFormat="1" x14ac:dyDescent="0.2">
      <c r="E652" s="2391"/>
      <c r="G652" s="2391"/>
      <c r="N652" s="2392"/>
      <c r="O652" s="2393"/>
      <c r="S652" s="2394"/>
      <c r="T652" s="2394"/>
      <c r="U652" s="2394"/>
      <c r="V652" s="2394"/>
      <c r="W652" s="2394"/>
      <c r="X652" s="2394"/>
      <c r="BB652" s="2395"/>
      <c r="BC652" s="2396"/>
      <c r="BD652" s="2397"/>
      <c r="BE652" s="2397"/>
      <c r="BF652" s="2398"/>
    </row>
    <row r="653" spans="5:58" s="2390" customFormat="1" x14ac:dyDescent="0.2">
      <c r="E653" s="2391"/>
      <c r="G653" s="2391"/>
      <c r="N653" s="2392"/>
      <c r="O653" s="2393"/>
      <c r="S653" s="2394"/>
      <c r="T653" s="2394"/>
      <c r="U653" s="2394"/>
      <c r="V653" s="2394"/>
      <c r="W653" s="2394"/>
      <c r="X653" s="2394"/>
      <c r="BB653" s="2395"/>
      <c r="BC653" s="2396"/>
      <c r="BD653" s="2397"/>
      <c r="BE653" s="2397"/>
      <c r="BF653" s="2398"/>
    </row>
    <row r="654" spans="5:58" s="2390" customFormat="1" x14ac:dyDescent="0.2">
      <c r="E654" s="2391"/>
      <c r="G654" s="2391"/>
      <c r="N654" s="2392"/>
      <c r="O654" s="2393"/>
      <c r="S654" s="2394"/>
      <c r="T654" s="2394"/>
      <c r="U654" s="2394"/>
      <c r="V654" s="2394"/>
      <c r="W654" s="2394"/>
      <c r="X654" s="2394"/>
      <c r="BB654" s="2395"/>
      <c r="BC654" s="2396"/>
      <c r="BD654" s="2397"/>
      <c r="BE654" s="2397"/>
      <c r="BF654" s="2398"/>
    </row>
    <row r="655" spans="5:58" s="2390" customFormat="1" x14ac:dyDescent="0.2">
      <c r="E655" s="2391"/>
      <c r="G655" s="2391"/>
      <c r="N655" s="2392"/>
      <c r="O655" s="2393"/>
      <c r="S655" s="2394"/>
      <c r="T655" s="2394"/>
      <c r="U655" s="2394"/>
      <c r="V655" s="2394"/>
      <c r="W655" s="2394"/>
      <c r="X655" s="2394"/>
      <c r="BB655" s="2395"/>
      <c r="BC655" s="2396"/>
      <c r="BD655" s="2397"/>
      <c r="BE655" s="2397"/>
      <c r="BF655" s="2398"/>
    </row>
    <row r="656" spans="5:58" s="2390" customFormat="1" x14ac:dyDescent="0.2">
      <c r="E656" s="2391"/>
      <c r="G656" s="2391"/>
      <c r="N656" s="2392"/>
      <c r="O656" s="2393"/>
      <c r="S656" s="2394"/>
      <c r="T656" s="2394"/>
      <c r="U656" s="2394"/>
      <c r="V656" s="2394"/>
      <c r="W656" s="2394"/>
      <c r="X656" s="2394"/>
      <c r="BB656" s="2395"/>
      <c r="BC656" s="2396"/>
      <c r="BD656" s="2397"/>
      <c r="BE656" s="2397"/>
      <c r="BF656" s="2398"/>
    </row>
    <row r="657" spans="5:58" s="2390" customFormat="1" x14ac:dyDescent="0.2">
      <c r="E657" s="2391"/>
      <c r="G657" s="2391"/>
      <c r="N657" s="2392"/>
      <c r="O657" s="2393"/>
      <c r="S657" s="2394"/>
      <c r="T657" s="2394"/>
      <c r="U657" s="2394"/>
      <c r="V657" s="2394"/>
      <c r="W657" s="2394"/>
      <c r="X657" s="2394"/>
      <c r="BB657" s="2395"/>
      <c r="BC657" s="2396"/>
      <c r="BD657" s="2397"/>
      <c r="BE657" s="2397"/>
      <c r="BF657" s="2398"/>
    </row>
    <row r="658" spans="5:58" s="2390" customFormat="1" x14ac:dyDescent="0.2">
      <c r="E658" s="2391"/>
      <c r="G658" s="2391"/>
      <c r="N658" s="2392"/>
      <c r="O658" s="2393"/>
      <c r="S658" s="2394"/>
      <c r="T658" s="2394"/>
      <c r="U658" s="2394"/>
      <c r="V658" s="2394"/>
      <c r="W658" s="2394"/>
      <c r="X658" s="2394"/>
      <c r="BB658" s="2395"/>
      <c r="BC658" s="2396"/>
      <c r="BD658" s="2397"/>
      <c r="BE658" s="2397"/>
      <c r="BF658" s="2398"/>
    </row>
    <row r="659" spans="5:58" s="2390" customFormat="1" x14ac:dyDescent="0.2">
      <c r="E659" s="2391"/>
      <c r="G659" s="2391"/>
      <c r="N659" s="2392"/>
      <c r="O659" s="2393"/>
      <c r="S659" s="2394"/>
      <c r="T659" s="2394"/>
      <c r="U659" s="2394"/>
      <c r="V659" s="2394"/>
      <c r="W659" s="2394"/>
      <c r="X659" s="2394"/>
      <c r="BB659" s="2395"/>
      <c r="BC659" s="2396"/>
      <c r="BD659" s="2397"/>
      <c r="BE659" s="2397"/>
      <c r="BF659" s="2398"/>
    </row>
    <row r="660" spans="5:58" s="2390" customFormat="1" x14ac:dyDescent="0.2">
      <c r="E660" s="2391"/>
      <c r="G660" s="2391"/>
      <c r="N660" s="2392"/>
      <c r="O660" s="2393"/>
      <c r="S660" s="2394"/>
      <c r="T660" s="2394"/>
      <c r="U660" s="2394"/>
      <c r="V660" s="2394"/>
      <c r="W660" s="2394"/>
      <c r="X660" s="2394"/>
      <c r="BB660" s="2395"/>
      <c r="BC660" s="2396"/>
      <c r="BD660" s="2397"/>
      <c r="BE660" s="2397"/>
      <c r="BF660" s="2398"/>
    </row>
    <row r="661" spans="5:58" s="2390" customFormat="1" x14ac:dyDescent="0.2">
      <c r="E661" s="2391"/>
      <c r="G661" s="2391"/>
      <c r="N661" s="2392"/>
      <c r="O661" s="2393"/>
      <c r="S661" s="2394"/>
      <c r="T661" s="2394"/>
      <c r="U661" s="2394"/>
      <c r="V661" s="2394"/>
      <c r="W661" s="2394"/>
      <c r="X661" s="2394"/>
      <c r="BB661" s="2395"/>
      <c r="BC661" s="2396"/>
      <c r="BD661" s="2397"/>
      <c r="BE661" s="2397"/>
      <c r="BF661" s="2398"/>
    </row>
    <row r="662" spans="5:58" s="2390" customFormat="1" x14ac:dyDescent="0.2">
      <c r="E662" s="2391"/>
      <c r="G662" s="2391"/>
      <c r="N662" s="2392"/>
      <c r="O662" s="2393"/>
      <c r="S662" s="2394"/>
      <c r="T662" s="2394"/>
      <c r="U662" s="2394"/>
      <c r="V662" s="2394"/>
      <c r="W662" s="2394"/>
      <c r="X662" s="2394"/>
      <c r="BB662" s="2395"/>
      <c r="BC662" s="2396"/>
      <c r="BD662" s="2397"/>
      <c r="BE662" s="2397"/>
      <c r="BF662" s="2398"/>
    </row>
    <row r="663" spans="5:58" s="2390" customFormat="1" x14ac:dyDescent="0.2">
      <c r="E663" s="2391"/>
      <c r="G663" s="2391"/>
      <c r="N663" s="2392"/>
      <c r="O663" s="2393"/>
      <c r="S663" s="2394"/>
      <c r="T663" s="2394"/>
      <c r="U663" s="2394"/>
      <c r="V663" s="2394"/>
      <c r="W663" s="2394"/>
      <c r="X663" s="2394"/>
      <c r="BB663" s="2395"/>
      <c r="BC663" s="2396"/>
      <c r="BD663" s="2397"/>
      <c r="BE663" s="2397"/>
      <c r="BF663" s="2398"/>
    </row>
    <row r="664" spans="5:58" s="2390" customFormat="1" x14ac:dyDescent="0.2">
      <c r="E664" s="2391"/>
      <c r="G664" s="2391"/>
      <c r="N664" s="2392"/>
      <c r="O664" s="2393"/>
      <c r="S664" s="2394"/>
      <c r="T664" s="2394"/>
      <c r="U664" s="2394"/>
      <c r="V664" s="2394"/>
      <c r="W664" s="2394"/>
      <c r="X664" s="2394"/>
      <c r="BB664" s="2395"/>
      <c r="BC664" s="2396"/>
      <c r="BD664" s="2397"/>
      <c r="BE664" s="2397"/>
      <c r="BF664" s="2398"/>
    </row>
  </sheetData>
  <sheetProtection password="CBEB" sheet="1" objects="1" scenarios="1"/>
  <mergeCells count="137">
    <mergeCell ref="A8:A9"/>
    <mergeCell ref="B8:B9"/>
    <mergeCell ref="C8:C9"/>
    <mergeCell ref="D8:D9"/>
    <mergeCell ref="E8:E9"/>
    <mergeCell ref="F8:F9"/>
    <mergeCell ref="A1:BE4"/>
    <mergeCell ref="A5:K7"/>
    <mergeCell ref="L5:X7"/>
    <mergeCell ref="Y5:AV6"/>
    <mergeCell ref="AW5:BG6"/>
    <mergeCell ref="Y7:AI7"/>
    <mergeCell ref="AK7:AV7"/>
    <mergeCell ref="AW7:BB7"/>
    <mergeCell ref="BC7:BG7"/>
    <mergeCell ref="N8:N9"/>
    <mergeCell ref="O8:O9"/>
    <mergeCell ref="P8:P9"/>
    <mergeCell ref="Q8:Q9"/>
    <mergeCell ref="R8:R9"/>
    <mergeCell ref="S8:S9"/>
    <mergeCell ref="G8:G9"/>
    <mergeCell ref="H8:H9"/>
    <mergeCell ref="I8:I9"/>
    <mergeCell ref="J8:K8"/>
    <mergeCell ref="L8:L9"/>
    <mergeCell ref="M8:M9"/>
    <mergeCell ref="AZ8:AZ9"/>
    <mergeCell ref="BA8:BA9"/>
    <mergeCell ref="BB8:BB9"/>
    <mergeCell ref="BC8:BD8"/>
    <mergeCell ref="BE8:BF8"/>
    <mergeCell ref="B10:D10"/>
    <mergeCell ref="AQ8:AR8"/>
    <mergeCell ref="AS8:AT8"/>
    <mergeCell ref="AU8:AV8"/>
    <mergeCell ref="AW8:AW9"/>
    <mergeCell ref="AX8:AX9"/>
    <mergeCell ref="AY8:AY9"/>
    <mergeCell ref="AE8:AF8"/>
    <mergeCell ref="AG8:AH8"/>
    <mergeCell ref="AI8:AJ8"/>
    <mergeCell ref="AK8:AL8"/>
    <mergeCell ref="AM8:AN8"/>
    <mergeCell ref="AO8:AP8"/>
    <mergeCell ref="T8:V8"/>
    <mergeCell ref="W8:W9"/>
    <mergeCell ref="X8:X9"/>
    <mergeCell ref="Y8:Z8"/>
    <mergeCell ref="AA8:AB8"/>
    <mergeCell ref="AC8:AD8"/>
    <mergeCell ref="L15:L16"/>
    <mergeCell ref="M15:M22"/>
    <mergeCell ref="N15:N22"/>
    <mergeCell ref="O15:O16"/>
    <mergeCell ref="P15:P16"/>
    <mergeCell ref="Q15:Q22"/>
    <mergeCell ref="O19:O20"/>
    <mergeCell ref="P19:P20"/>
    <mergeCell ref="D11:BG11"/>
    <mergeCell ref="F12:BG12"/>
    <mergeCell ref="F14:J14"/>
    <mergeCell ref="E15:E22"/>
    <mergeCell ref="F15:F22"/>
    <mergeCell ref="G15:G16"/>
    <mergeCell ref="H15:H16"/>
    <mergeCell ref="I15:I16"/>
    <mergeCell ref="J15:J16"/>
    <mergeCell ref="K15:K16"/>
    <mergeCell ref="AC15:AC22"/>
    <mergeCell ref="AD15:AD22"/>
    <mergeCell ref="AE15:AE22"/>
    <mergeCell ref="AF15:AF22"/>
    <mergeCell ref="AG15:AG22"/>
    <mergeCell ref="AH15:AH22"/>
    <mergeCell ref="R15:R22"/>
    <mergeCell ref="S15:S16"/>
    <mergeCell ref="Y15:Y22"/>
    <mergeCell ref="Z15:Z22"/>
    <mergeCell ref="AA15:AA22"/>
    <mergeCell ref="AB15:AB22"/>
    <mergeCell ref="S19:S20"/>
    <mergeCell ref="T19:T20"/>
    <mergeCell ref="U19:U20"/>
    <mergeCell ref="V19:V20"/>
    <mergeCell ref="AQ15:AQ22"/>
    <mergeCell ref="AR15:AR22"/>
    <mergeCell ref="AS15:AS22"/>
    <mergeCell ref="AT15:AT22"/>
    <mergeCell ref="AI15:AI22"/>
    <mergeCell ref="AJ15:AJ22"/>
    <mergeCell ref="AK15:AK22"/>
    <mergeCell ref="AL15:AL22"/>
    <mergeCell ref="AM15:AM22"/>
    <mergeCell ref="AN15:AN22"/>
    <mergeCell ref="BG15:BG22"/>
    <mergeCell ref="G17:G18"/>
    <mergeCell ref="H17:H18"/>
    <mergeCell ref="I17:I18"/>
    <mergeCell ref="J17:J18"/>
    <mergeCell ref="K17:K18"/>
    <mergeCell ref="L17:L18"/>
    <mergeCell ref="O17:O18"/>
    <mergeCell ref="P17:P18"/>
    <mergeCell ref="S17:S18"/>
    <mergeCell ref="BA15:BA22"/>
    <mergeCell ref="BB15:BB22"/>
    <mergeCell ref="BC15:BC22"/>
    <mergeCell ref="BD15:BD22"/>
    <mergeCell ref="BE15:BE22"/>
    <mergeCell ref="BF15:BF22"/>
    <mergeCell ref="AU15:AU22"/>
    <mergeCell ref="AV15:AV22"/>
    <mergeCell ref="AW15:AW22"/>
    <mergeCell ref="AX15:AX22"/>
    <mergeCell ref="AY15:AY22"/>
    <mergeCell ref="AZ15:AZ22"/>
    <mergeCell ref="AO15:AO22"/>
    <mergeCell ref="AP15:AP22"/>
    <mergeCell ref="S21:S22"/>
    <mergeCell ref="A23:O23"/>
    <mergeCell ref="W19:W20"/>
    <mergeCell ref="X19:X20"/>
    <mergeCell ref="G21:G22"/>
    <mergeCell ref="H21:H22"/>
    <mergeCell ref="I21:I22"/>
    <mergeCell ref="J21:J22"/>
    <mergeCell ref="K21:K22"/>
    <mergeCell ref="L21:L22"/>
    <mergeCell ref="O21:O22"/>
    <mergeCell ref="P21:P22"/>
    <mergeCell ref="G19:G20"/>
    <mergeCell ref="H19:H20"/>
    <mergeCell ref="I19:I20"/>
    <mergeCell ref="J19:J20"/>
    <mergeCell ref="K19:K20"/>
    <mergeCell ref="L19:L20"/>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CF22"/>
  <sheetViews>
    <sheetView showGridLines="0" zoomScale="60" zoomScaleNormal="60" workbookViewId="0">
      <selection sqref="A1:BH2"/>
    </sheetView>
  </sheetViews>
  <sheetFormatPr baseColWidth="10" defaultColWidth="11.42578125" defaultRowHeight="14.25" x14ac:dyDescent="0.2"/>
  <cols>
    <col min="1" max="1" width="12.5703125" style="38" customWidth="1"/>
    <col min="2" max="2" width="4" style="38" customWidth="1"/>
    <col min="3" max="3" width="14.7109375" style="38" customWidth="1"/>
    <col min="4" max="4" width="12" style="38" customWidth="1"/>
    <col min="5" max="5" width="7.42578125" style="38" customWidth="1"/>
    <col min="6" max="6" width="10.140625" style="38" customWidth="1"/>
    <col min="7" max="7" width="12.140625" style="38" customWidth="1"/>
    <col min="8" max="8" width="8.5703125" style="38" customWidth="1"/>
    <col min="9" max="9" width="14.7109375" style="38" customWidth="1"/>
    <col min="10" max="10" width="13.140625" style="1953" customWidth="1"/>
    <col min="11" max="11" width="22.7109375" style="201" customWidth="1"/>
    <col min="12" max="12" width="18.140625" style="192" customWidth="1"/>
    <col min="13" max="14" width="12.140625" style="192" customWidth="1"/>
    <col min="15" max="15" width="24.28515625" style="192" customWidth="1"/>
    <col min="16" max="16" width="11.7109375" style="192" customWidth="1"/>
    <col min="17" max="17" width="23.7109375" style="1954" customWidth="1"/>
    <col min="18" max="18" width="9.7109375" style="194" customWidth="1"/>
    <col min="19" max="19" width="20.5703125" style="195" bestFit="1" customWidth="1"/>
    <col min="20" max="20" width="27.28515625" style="1954" customWidth="1"/>
    <col min="21" max="21" width="29.140625" style="1954" customWidth="1"/>
    <col min="22" max="22" width="24.5703125" style="1954" customWidth="1"/>
    <col min="23" max="26" width="21.85546875" style="198" customWidth="1"/>
    <col min="27" max="27" width="17.85546875" style="197" customWidth="1"/>
    <col min="28" max="29" width="7.28515625" style="38" customWidth="1"/>
    <col min="30" max="31" width="9" style="38" customWidth="1"/>
    <col min="32" max="51" width="7.28515625" style="38" customWidth="1"/>
    <col min="52" max="52" width="8.5703125" style="38" bestFit="1" customWidth="1"/>
    <col min="53" max="53" width="26" style="38" bestFit="1" customWidth="1"/>
    <col min="54" max="54" width="33.85546875" style="38" bestFit="1" customWidth="1"/>
    <col min="55" max="55" width="19.7109375" style="38" bestFit="1" customWidth="1"/>
    <col min="56" max="56" width="31.7109375" style="38" bestFit="1" customWidth="1"/>
    <col min="57" max="58" width="22.7109375" style="1920" customWidth="1"/>
    <col min="59" max="60" width="22.7109375" style="1955" customWidth="1"/>
    <col min="61" max="61" width="28.7109375" style="1010" customWidth="1"/>
    <col min="62" max="62" width="22.5703125" style="688" customWidth="1"/>
    <col min="63" max="16384" width="11.42578125" style="688"/>
  </cols>
  <sheetData>
    <row r="1" spans="1:62" ht="15.75" customHeight="1" x14ac:dyDescent="0.25">
      <c r="A1" s="2494" t="s">
        <v>141</v>
      </c>
      <c r="B1" s="2494"/>
      <c r="C1" s="2494"/>
      <c r="D1" s="2494"/>
      <c r="E1" s="2494"/>
      <c r="F1" s="2494"/>
      <c r="G1" s="2494"/>
      <c r="H1" s="2494"/>
      <c r="I1" s="2494"/>
      <c r="J1" s="2494"/>
      <c r="K1" s="2494"/>
      <c r="L1" s="2494"/>
      <c r="M1" s="2494"/>
      <c r="N1" s="2494"/>
      <c r="O1" s="2494"/>
      <c r="P1" s="2494"/>
      <c r="Q1" s="2494"/>
      <c r="R1" s="2494"/>
      <c r="S1" s="2494"/>
      <c r="T1" s="2494"/>
      <c r="U1" s="2494"/>
      <c r="V1" s="2494"/>
      <c r="W1" s="2494"/>
      <c r="X1" s="2494"/>
      <c r="Y1" s="2494"/>
      <c r="Z1" s="2494"/>
      <c r="AA1" s="2494"/>
      <c r="AB1" s="2494"/>
      <c r="AC1" s="2494"/>
      <c r="AD1" s="2494"/>
      <c r="AE1" s="2494"/>
      <c r="AF1" s="2494"/>
      <c r="AG1" s="2494"/>
      <c r="AH1" s="2494"/>
      <c r="AI1" s="2494"/>
      <c r="AJ1" s="2494"/>
      <c r="AK1" s="2494"/>
      <c r="AL1" s="2494"/>
      <c r="AM1" s="2494"/>
      <c r="AN1" s="2494"/>
      <c r="AO1" s="2494"/>
      <c r="AP1" s="2494"/>
      <c r="AQ1" s="2494"/>
      <c r="AR1" s="2494"/>
      <c r="AS1" s="2494"/>
      <c r="AT1" s="2494"/>
      <c r="AU1" s="2494"/>
      <c r="AV1" s="2494"/>
      <c r="AW1" s="2494"/>
      <c r="AX1" s="2494"/>
      <c r="AY1" s="2494"/>
      <c r="AZ1" s="2494"/>
      <c r="BA1" s="2494"/>
      <c r="BB1" s="2494"/>
      <c r="BC1" s="2494"/>
      <c r="BD1" s="2494"/>
      <c r="BE1" s="2494"/>
      <c r="BF1" s="2494"/>
      <c r="BG1" s="2494"/>
      <c r="BH1" s="2495"/>
      <c r="BI1" s="305" t="s">
        <v>0</v>
      </c>
      <c r="BJ1" s="648" t="s">
        <v>779</v>
      </c>
    </row>
    <row r="2" spans="1:62" ht="16.5" customHeight="1" x14ac:dyDescent="0.25">
      <c r="A2" s="2494"/>
      <c r="B2" s="2494"/>
      <c r="C2" s="2494"/>
      <c r="D2" s="2494"/>
      <c r="E2" s="2494"/>
      <c r="F2" s="2494"/>
      <c r="G2" s="2494"/>
      <c r="H2" s="2494"/>
      <c r="I2" s="2494"/>
      <c r="J2" s="2494"/>
      <c r="K2" s="2494"/>
      <c r="L2" s="2494"/>
      <c r="M2" s="2494"/>
      <c r="N2" s="2494"/>
      <c r="O2" s="2494"/>
      <c r="P2" s="2494"/>
      <c r="Q2" s="2494"/>
      <c r="R2" s="2494"/>
      <c r="S2" s="2494"/>
      <c r="T2" s="2494"/>
      <c r="U2" s="2494"/>
      <c r="V2" s="2494"/>
      <c r="W2" s="2494"/>
      <c r="X2" s="2494"/>
      <c r="Y2" s="2494"/>
      <c r="Z2" s="2494"/>
      <c r="AA2" s="2494"/>
      <c r="AB2" s="2494"/>
      <c r="AC2" s="2494"/>
      <c r="AD2" s="2494"/>
      <c r="AE2" s="2494"/>
      <c r="AF2" s="2494"/>
      <c r="AG2" s="2494"/>
      <c r="AH2" s="2494"/>
      <c r="AI2" s="2494"/>
      <c r="AJ2" s="2494"/>
      <c r="AK2" s="2494"/>
      <c r="AL2" s="2494"/>
      <c r="AM2" s="2494"/>
      <c r="AN2" s="2494"/>
      <c r="AO2" s="2494"/>
      <c r="AP2" s="2494"/>
      <c r="AQ2" s="2494"/>
      <c r="AR2" s="2494"/>
      <c r="AS2" s="2494"/>
      <c r="AT2" s="2494"/>
      <c r="AU2" s="2494"/>
      <c r="AV2" s="2494"/>
      <c r="AW2" s="2494"/>
      <c r="AX2" s="2494"/>
      <c r="AY2" s="2494"/>
      <c r="AZ2" s="2494"/>
      <c r="BA2" s="2494"/>
      <c r="BB2" s="2494"/>
      <c r="BC2" s="2494"/>
      <c r="BD2" s="2494"/>
      <c r="BE2" s="2494"/>
      <c r="BF2" s="2494"/>
      <c r="BG2" s="2494"/>
      <c r="BH2" s="2495"/>
      <c r="BI2" s="649" t="s">
        <v>2</v>
      </c>
      <c r="BJ2" s="648" t="s">
        <v>475</v>
      </c>
    </row>
    <row r="3" spans="1:62" ht="24.75" customHeight="1" x14ac:dyDescent="0.25">
      <c r="A3" s="2494" t="s">
        <v>780</v>
      </c>
      <c r="B3" s="2494"/>
      <c r="C3" s="2494"/>
      <c r="D3" s="2494"/>
      <c r="E3" s="2494"/>
      <c r="F3" s="2494"/>
      <c r="G3" s="2494"/>
      <c r="H3" s="2494"/>
      <c r="I3" s="2494"/>
      <c r="J3" s="2494"/>
      <c r="K3" s="2494"/>
      <c r="L3" s="2494"/>
      <c r="M3" s="2494"/>
      <c r="N3" s="2494"/>
      <c r="O3" s="2494"/>
      <c r="P3" s="2494"/>
      <c r="Q3" s="2494"/>
      <c r="R3" s="2494"/>
      <c r="S3" s="2494"/>
      <c r="T3" s="2494"/>
      <c r="U3" s="2494"/>
      <c r="V3" s="2494"/>
      <c r="W3" s="2494"/>
      <c r="X3" s="2494"/>
      <c r="Y3" s="2494"/>
      <c r="Z3" s="2494"/>
      <c r="AA3" s="2494"/>
      <c r="AB3" s="2494"/>
      <c r="AC3" s="2494"/>
      <c r="AD3" s="2494"/>
      <c r="AE3" s="2494"/>
      <c r="AF3" s="2494"/>
      <c r="AG3" s="2494"/>
      <c r="AH3" s="2494"/>
      <c r="AI3" s="2494"/>
      <c r="AJ3" s="2494"/>
      <c r="AK3" s="2494"/>
      <c r="AL3" s="2494"/>
      <c r="AM3" s="2494"/>
      <c r="AN3" s="2494"/>
      <c r="AO3" s="2494"/>
      <c r="AP3" s="2494"/>
      <c r="AQ3" s="2494"/>
      <c r="AR3" s="2494"/>
      <c r="AS3" s="2494"/>
      <c r="AT3" s="2494"/>
      <c r="AU3" s="2494"/>
      <c r="AV3" s="2494"/>
      <c r="AW3" s="2494"/>
      <c r="AX3" s="2494"/>
      <c r="AY3" s="2494"/>
      <c r="AZ3" s="2494"/>
      <c r="BA3" s="2494"/>
      <c r="BB3" s="2494"/>
      <c r="BC3" s="2494"/>
      <c r="BD3" s="2494"/>
      <c r="BE3" s="2494"/>
      <c r="BF3" s="2494"/>
      <c r="BG3" s="2494"/>
      <c r="BH3" s="2495"/>
      <c r="BI3" s="305" t="s">
        <v>3</v>
      </c>
      <c r="BJ3" s="1921">
        <v>42644</v>
      </c>
    </row>
    <row r="4" spans="1:62" ht="15" customHeight="1" x14ac:dyDescent="0.2">
      <c r="A4" s="2479" t="s">
        <v>139</v>
      </c>
      <c r="B4" s="2479"/>
      <c r="C4" s="2479"/>
      <c r="D4" s="2479"/>
      <c r="E4" s="2479"/>
      <c r="F4" s="2479"/>
      <c r="G4" s="2479"/>
      <c r="H4" s="2479"/>
      <c r="I4" s="2479"/>
      <c r="J4" s="2479"/>
      <c r="K4" s="2479"/>
      <c r="L4" s="2479"/>
      <c r="M4" s="2479"/>
      <c r="N4" s="2479"/>
      <c r="O4" s="2479"/>
      <c r="P4" s="2479"/>
      <c r="Q4" s="2479"/>
      <c r="R4" s="2479"/>
      <c r="S4" s="2479"/>
      <c r="T4" s="2479"/>
      <c r="U4" s="2479"/>
      <c r="V4" s="2479"/>
      <c r="W4" s="2479"/>
      <c r="X4" s="2479"/>
      <c r="Y4" s="2479"/>
      <c r="Z4" s="2479"/>
      <c r="AA4" s="2479"/>
      <c r="AB4" s="2479"/>
      <c r="AC4" s="2479"/>
      <c r="AD4" s="2479"/>
      <c r="AE4" s="2479"/>
      <c r="AF4" s="2479"/>
      <c r="AG4" s="2479"/>
      <c r="AH4" s="2479"/>
      <c r="AI4" s="2479"/>
      <c r="AJ4" s="2479"/>
      <c r="AK4" s="2479"/>
      <c r="AL4" s="2479"/>
      <c r="AM4" s="2479"/>
      <c r="AN4" s="2479"/>
      <c r="AO4" s="2479"/>
      <c r="AP4" s="2479"/>
      <c r="AQ4" s="2479"/>
      <c r="AR4" s="2479"/>
      <c r="AS4" s="2479"/>
      <c r="AT4" s="2479"/>
      <c r="AU4" s="2479"/>
      <c r="AV4" s="2479"/>
      <c r="AW4" s="2479"/>
      <c r="AX4" s="2479"/>
      <c r="AY4" s="2479"/>
      <c r="AZ4" s="2479"/>
      <c r="BA4" s="2479"/>
      <c r="BB4" s="2479"/>
      <c r="BC4" s="2479"/>
      <c r="BD4" s="2479"/>
      <c r="BE4" s="2479"/>
      <c r="BF4" s="2479"/>
      <c r="BG4" s="2479"/>
      <c r="BH4" s="2481"/>
      <c r="BI4" s="652" t="s">
        <v>5</v>
      </c>
      <c r="BJ4" s="308" t="s">
        <v>476</v>
      </c>
    </row>
    <row r="5" spans="1:62" ht="15" customHeight="1" x14ac:dyDescent="0.2">
      <c r="A5" s="2477" t="s">
        <v>7</v>
      </c>
      <c r="B5" s="2477"/>
      <c r="C5" s="2477"/>
      <c r="D5" s="2477"/>
      <c r="E5" s="2477"/>
      <c r="F5" s="2477"/>
      <c r="G5" s="2477"/>
      <c r="H5" s="2477"/>
      <c r="I5" s="2477"/>
      <c r="J5" s="2477"/>
      <c r="K5" s="2477"/>
      <c r="L5" s="2477"/>
      <c r="M5" s="2477"/>
      <c r="N5" s="2477"/>
      <c r="O5" s="614"/>
      <c r="P5" s="614"/>
      <c r="Q5" s="2476" t="s">
        <v>8</v>
      </c>
      <c r="R5" s="2477"/>
      <c r="S5" s="2477"/>
      <c r="T5" s="2477"/>
      <c r="U5" s="2477"/>
      <c r="V5" s="2477"/>
      <c r="W5" s="2477"/>
      <c r="X5" s="2477"/>
      <c r="Y5" s="2477"/>
      <c r="Z5" s="2477"/>
      <c r="AA5" s="2480"/>
      <c r="AB5" s="2476" t="s">
        <v>9</v>
      </c>
      <c r="AC5" s="2477"/>
      <c r="AD5" s="2477"/>
      <c r="AE5" s="2477"/>
      <c r="AF5" s="2477"/>
      <c r="AG5" s="2477"/>
      <c r="AH5" s="2477"/>
      <c r="AI5" s="2477"/>
      <c r="AJ5" s="2477"/>
      <c r="AK5" s="2477"/>
      <c r="AL5" s="2477"/>
      <c r="AM5" s="2477"/>
      <c r="AN5" s="2477"/>
      <c r="AO5" s="2477"/>
      <c r="AP5" s="2477"/>
      <c r="AQ5" s="2477"/>
      <c r="AR5" s="2477"/>
      <c r="AS5" s="2477"/>
      <c r="AT5" s="2477"/>
      <c r="AU5" s="2477"/>
      <c r="AV5" s="2477"/>
      <c r="AW5" s="2477"/>
      <c r="AX5" s="2477"/>
      <c r="AY5" s="2480"/>
      <c r="AZ5" s="2476"/>
      <c r="BA5" s="2477"/>
      <c r="BB5" s="2477"/>
      <c r="BC5" s="2477"/>
      <c r="BD5" s="2477"/>
      <c r="BE5" s="2477"/>
      <c r="BF5" s="2477"/>
      <c r="BG5" s="2477"/>
      <c r="BH5" s="2477"/>
      <c r="BI5" s="2477"/>
      <c r="BJ5" s="2477"/>
    </row>
    <row r="6" spans="1:62" ht="15.75" thickBot="1" x14ac:dyDescent="0.25">
      <c r="A6" s="2494"/>
      <c r="B6" s="2494"/>
      <c r="C6" s="2494"/>
      <c r="D6" s="2494"/>
      <c r="E6" s="2494"/>
      <c r="F6" s="2494"/>
      <c r="G6" s="2494"/>
      <c r="H6" s="2494"/>
      <c r="I6" s="2494"/>
      <c r="J6" s="2494"/>
      <c r="K6" s="2494"/>
      <c r="L6" s="2494"/>
      <c r="M6" s="2494"/>
      <c r="N6" s="2494"/>
      <c r="O6" s="615"/>
      <c r="P6" s="615"/>
      <c r="Q6" s="2493"/>
      <c r="R6" s="2494"/>
      <c r="S6" s="2494"/>
      <c r="T6" s="2494"/>
      <c r="U6" s="2494"/>
      <c r="V6" s="2494"/>
      <c r="W6" s="2494"/>
      <c r="X6" s="2494"/>
      <c r="Y6" s="2494"/>
      <c r="Z6" s="2494"/>
      <c r="AA6" s="2495"/>
      <c r="AB6" s="4627"/>
      <c r="AC6" s="4628"/>
      <c r="AD6" s="4628"/>
      <c r="AE6" s="4628"/>
      <c r="AF6" s="4628"/>
      <c r="AG6" s="4628"/>
      <c r="AH6" s="4628"/>
      <c r="AI6" s="4628"/>
      <c r="AJ6" s="4628"/>
      <c r="AK6" s="4628"/>
      <c r="AL6" s="4628"/>
      <c r="AM6" s="4628"/>
      <c r="AN6" s="4628"/>
      <c r="AO6" s="4628"/>
      <c r="AP6" s="4628"/>
      <c r="AQ6" s="4628"/>
      <c r="AR6" s="4628"/>
      <c r="AS6" s="4628"/>
      <c r="AT6" s="4628"/>
      <c r="AU6" s="4628"/>
      <c r="AV6" s="4628"/>
      <c r="AW6" s="4628"/>
      <c r="AX6" s="4628"/>
      <c r="AY6" s="4629"/>
      <c r="AZ6" s="2493"/>
      <c r="BA6" s="2494"/>
      <c r="BB6" s="2494"/>
      <c r="BC6" s="2494"/>
      <c r="BD6" s="2494"/>
      <c r="BE6" s="2494"/>
      <c r="BF6" s="2494"/>
      <c r="BG6" s="2494"/>
      <c r="BH6" s="2494"/>
      <c r="BI6" s="2494"/>
      <c r="BJ6" s="2494"/>
    </row>
    <row r="7" spans="1:62" s="999" customFormat="1" ht="27" customHeight="1" x14ac:dyDescent="0.2">
      <c r="A7" s="2665" t="s">
        <v>10</v>
      </c>
      <c r="B7" s="2442" t="s">
        <v>11</v>
      </c>
      <c r="C7" s="2444"/>
      <c r="D7" s="2444" t="s">
        <v>10</v>
      </c>
      <c r="E7" s="2442" t="s">
        <v>12</v>
      </c>
      <c r="F7" s="2444"/>
      <c r="G7" s="2444" t="s">
        <v>10</v>
      </c>
      <c r="H7" s="2442" t="s">
        <v>13</v>
      </c>
      <c r="I7" s="2444"/>
      <c r="J7" s="2444" t="s">
        <v>10</v>
      </c>
      <c r="K7" s="2442" t="s">
        <v>14</v>
      </c>
      <c r="L7" s="2448" t="s">
        <v>15</v>
      </c>
      <c r="M7" s="4625" t="s">
        <v>16</v>
      </c>
      <c r="N7" s="4626"/>
      <c r="O7" s="2448" t="s">
        <v>17</v>
      </c>
      <c r="P7" s="2448" t="s">
        <v>294</v>
      </c>
      <c r="Q7" s="2448" t="s">
        <v>8</v>
      </c>
      <c r="R7" s="4617" t="s">
        <v>19</v>
      </c>
      <c r="S7" s="4619" t="s">
        <v>20</v>
      </c>
      <c r="T7" s="2442" t="s">
        <v>21</v>
      </c>
      <c r="U7" s="2442" t="s">
        <v>22</v>
      </c>
      <c r="V7" s="2448" t="s">
        <v>23</v>
      </c>
      <c r="W7" s="4621" t="s">
        <v>20</v>
      </c>
      <c r="X7" s="4622"/>
      <c r="Y7" s="4622"/>
      <c r="Z7" s="657"/>
      <c r="AA7" s="2448" t="s">
        <v>24</v>
      </c>
      <c r="AB7" s="2458" t="s">
        <v>25</v>
      </c>
      <c r="AC7" s="2459"/>
      <c r="AD7" s="2459"/>
      <c r="AE7" s="2459"/>
      <c r="AF7" s="2459"/>
      <c r="AG7" s="2459"/>
      <c r="AH7" s="2459"/>
      <c r="AI7" s="2459"/>
      <c r="AJ7" s="2459"/>
      <c r="AK7" s="2459"/>
      <c r="AL7" s="2459"/>
      <c r="AM7" s="2460"/>
      <c r="AN7" s="2458" t="s">
        <v>26</v>
      </c>
      <c r="AO7" s="2459"/>
      <c r="AP7" s="2459"/>
      <c r="AQ7" s="2459"/>
      <c r="AR7" s="2459"/>
      <c r="AS7" s="2459"/>
      <c r="AT7" s="2459"/>
      <c r="AU7" s="2459"/>
      <c r="AV7" s="2459"/>
      <c r="AW7" s="2459"/>
      <c r="AX7" s="2459"/>
      <c r="AY7" s="2460"/>
      <c r="AZ7" s="2458" t="s">
        <v>27</v>
      </c>
      <c r="BA7" s="2459"/>
      <c r="BB7" s="2459"/>
      <c r="BC7" s="2459"/>
      <c r="BD7" s="2459"/>
      <c r="BE7" s="2460"/>
      <c r="BF7" s="2836" t="s">
        <v>28</v>
      </c>
      <c r="BG7" s="2836"/>
      <c r="BH7" s="2836" t="s">
        <v>29</v>
      </c>
      <c r="BI7" s="2836"/>
      <c r="BJ7" s="2491" t="s">
        <v>30</v>
      </c>
    </row>
    <row r="8" spans="1:62" s="999" customFormat="1" ht="25.5" customHeight="1" x14ac:dyDescent="0.2">
      <c r="A8" s="2666"/>
      <c r="B8" s="2445"/>
      <c r="C8" s="2447"/>
      <c r="D8" s="2447"/>
      <c r="E8" s="2445"/>
      <c r="F8" s="2447"/>
      <c r="G8" s="2447"/>
      <c r="H8" s="2445"/>
      <c r="I8" s="2447"/>
      <c r="J8" s="2447"/>
      <c r="K8" s="2445"/>
      <c r="L8" s="2449"/>
      <c r="M8" s="2821"/>
      <c r="N8" s="2822"/>
      <c r="O8" s="2449"/>
      <c r="P8" s="2449"/>
      <c r="Q8" s="2449"/>
      <c r="R8" s="4618"/>
      <c r="S8" s="4620"/>
      <c r="T8" s="2445"/>
      <c r="U8" s="2445"/>
      <c r="V8" s="2449"/>
      <c r="W8" s="4623"/>
      <c r="X8" s="4624"/>
      <c r="Y8" s="4624"/>
      <c r="Z8" s="2485" t="s">
        <v>10</v>
      </c>
      <c r="AA8" s="2449"/>
      <c r="AB8" s="2819" t="s">
        <v>31</v>
      </c>
      <c r="AC8" s="2820"/>
      <c r="AD8" s="4615" t="s">
        <v>32</v>
      </c>
      <c r="AE8" s="4616"/>
      <c r="AF8" s="2819" t="s">
        <v>33</v>
      </c>
      <c r="AG8" s="2820"/>
      <c r="AH8" s="2819" t="s">
        <v>34</v>
      </c>
      <c r="AI8" s="2820"/>
      <c r="AJ8" s="2819" t="s">
        <v>35</v>
      </c>
      <c r="AK8" s="2820"/>
      <c r="AL8" s="2819" t="s">
        <v>36</v>
      </c>
      <c r="AM8" s="2820"/>
      <c r="AN8" s="2819" t="s">
        <v>37</v>
      </c>
      <c r="AO8" s="2820"/>
      <c r="AP8" s="2819" t="s">
        <v>38</v>
      </c>
      <c r="AQ8" s="2820"/>
      <c r="AR8" s="4006" t="s">
        <v>39</v>
      </c>
      <c r="AS8" s="4007"/>
      <c r="AT8" s="2828" t="s">
        <v>40</v>
      </c>
      <c r="AU8" s="2828"/>
      <c r="AV8" s="4006" t="s">
        <v>41</v>
      </c>
      <c r="AW8" s="4007"/>
      <c r="AX8" s="2463" t="s">
        <v>42</v>
      </c>
      <c r="AY8" s="2463"/>
      <c r="AZ8" s="2463" t="s">
        <v>43</v>
      </c>
      <c r="BA8" s="3166" t="s">
        <v>44</v>
      </c>
      <c r="BB8" s="2463" t="s">
        <v>45</v>
      </c>
      <c r="BC8" s="2468" t="s">
        <v>46</v>
      </c>
      <c r="BD8" s="2463" t="s">
        <v>47</v>
      </c>
      <c r="BE8" s="2461" t="s">
        <v>48</v>
      </c>
      <c r="BF8" s="2836"/>
      <c r="BG8" s="2836"/>
      <c r="BH8" s="2836"/>
      <c r="BI8" s="2836"/>
      <c r="BJ8" s="2673"/>
    </row>
    <row r="9" spans="1:62" s="999" customFormat="1" ht="27" customHeight="1" x14ac:dyDescent="0.2">
      <c r="A9" s="2666"/>
      <c r="B9" s="2445"/>
      <c r="C9" s="2447"/>
      <c r="D9" s="2447"/>
      <c r="E9" s="2445"/>
      <c r="F9" s="2447"/>
      <c r="G9" s="2447"/>
      <c r="H9" s="2445"/>
      <c r="I9" s="2447"/>
      <c r="J9" s="2447"/>
      <c r="K9" s="2445"/>
      <c r="L9" s="2449"/>
      <c r="M9" s="636" t="s">
        <v>781</v>
      </c>
      <c r="N9" s="636" t="s">
        <v>50</v>
      </c>
      <c r="O9" s="2449"/>
      <c r="P9" s="2449"/>
      <c r="Q9" s="2449"/>
      <c r="R9" s="4618"/>
      <c r="S9" s="4620"/>
      <c r="T9" s="2445"/>
      <c r="U9" s="2445"/>
      <c r="V9" s="2449"/>
      <c r="W9" s="187" t="s">
        <v>51</v>
      </c>
      <c r="X9" s="187" t="s">
        <v>52</v>
      </c>
      <c r="Y9" s="187" t="s">
        <v>53</v>
      </c>
      <c r="Z9" s="2655"/>
      <c r="AA9" s="2449"/>
      <c r="AB9" s="188" t="s">
        <v>49</v>
      </c>
      <c r="AC9" s="188" t="s">
        <v>50</v>
      </c>
      <c r="AD9" s="188" t="s">
        <v>49</v>
      </c>
      <c r="AE9" s="188" t="s">
        <v>50</v>
      </c>
      <c r="AF9" s="188" t="s">
        <v>49</v>
      </c>
      <c r="AG9" s="188" t="s">
        <v>50</v>
      </c>
      <c r="AH9" s="188" t="s">
        <v>49</v>
      </c>
      <c r="AI9" s="188" t="s">
        <v>50</v>
      </c>
      <c r="AJ9" s="188" t="s">
        <v>49</v>
      </c>
      <c r="AK9" s="188" t="s">
        <v>50</v>
      </c>
      <c r="AL9" s="188" t="s">
        <v>49</v>
      </c>
      <c r="AM9" s="188" t="s">
        <v>50</v>
      </c>
      <c r="AN9" s="188" t="s">
        <v>49</v>
      </c>
      <c r="AO9" s="188" t="s">
        <v>50</v>
      </c>
      <c r="AP9" s="188" t="s">
        <v>49</v>
      </c>
      <c r="AQ9" s="188" t="s">
        <v>50</v>
      </c>
      <c r="AR9" s="635" t="s">
        <v>296</v>
      </c>
      <c r="AS9" s="635" t="s">
        <v>50</v>
      </c>
      <c r="AT9" s="188" t="s">
        <v>49</v>
      </c>
      <c r="AU9" s="188" t="s">
        <v>50</v>
      </c>
      <c r="AV9" s="635" t="s">
        <v>296</v>
      </c>
      <c r="AW9" s="635" t="s">
        <v>50</v>
      </c>
      <c r="AX9" s="635" t="s">
        <v>296</v>
      </c>
      <c r="AY9" s="635" t="s">
        <v>50</v>
      </c>
      <c r="AZ9" s="2463"/>
      <c r="BA9" s="3166"/>
      <c r="BB9" s="2463"/>
      <c r="BC9" s="2468"/>
      <c r="BD9" s="2463"/>
      <c r="BE9" s="2645"/>
      <c r="BF9" s="503" t="s">
        <v>49</v>
      </c>
      <c r="BG9" s="503" t="s">
        <v>50</v>
      </c>
      <c r="BH9" s="503" t="s">
        <v>49</v>
      </c>
      <c r="BI9" s="503" t="s">
        <v>50</v>
      </c>
      <c r="BJ9" s="2674"/>
    </row>
    <row r="10" spans="1:62" ht="23.25" customHeight="1" x14ac:dyDescent="0.2">
      <c r="A10" s="45">
        <v>4</v>
      </c>
      <c r="B10" s="754" t="s">
        <v>782</v>
      </c>
      <c r="C10" s="754"/>
      <c r="D10" s="317"/>
      <c r="E10" s="317"/>
      <c r="F10" s="317"/>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7"/>
      <c r="AY10" s="317"/>
      <c r="AZ10" s="317"/>
      <c r="BA10" s="317"/>
      <c r="BB10" s="317"/>
      <c r="BC10" s="317"/>
      <c r="BD10" s="317"/>
      <c r="BE10" s="317"/>
      <c r="BF10" s="317"/>
      <c r="BG10" s="317"/>
      <c r="BH10" s="317"/>
      <c r="BI10" s="317"/>
      <c r="BJ10" s="317"/>
    </row>
    <row r="11" spans="1:62" ht="23.25" customHeight="1" x14ac:dyDescent="0.2">
      <c r="A11" s="176"/>
      <c r="B11" s="1922"/>
      <c r="C11" s="177"/>
      <c r="D11" s="1109">
        <v>23</v>
      </c>
      <c r="E11" s="1923" t="s">
        <v>783</v>
      </c>
      <c r="F11" s="1923"/>
      <c r="G11" s="1923"/>
      <c r="H11" s="1923"/>
      <c r="I11" s="1923"/>
      <c r="J11" s="1923"/>
      <c r="K11" s="1923"/>
      <c r="L11" s="1923"/>
      <c r="M11" s="1923"/>
      <c r="N11" s="1923"/>
      <c r="O11" s="1923"/>
      <c r="P11" s="1923"/>
      <c r="Q11" s="1923"/>
      <c r="R11" s="1923"/>
      <c r="S11" s="1923"/>
      <c r="T11" s="1923"/>
      <c r="U11" s="1923"/>
      <c r="V11" s="1923"/>
      <c r="W11" s="1923"/>
      <c r="X11" s="1923"/>
      <c r="Y11" s="1923"/>
      <c r="Z11" s="1923"/>
      <c r="AA11" s="1923"/>
      <c r="AB11" s="1923"/>
      <c r="AC11" s="1923"/>
      <c r="AD11" s="1923"/>
      <c r="AE11" s="1923"/>
      <c r="AF11" s="1923"/>
      <c r="AG11" s="1923"/>
      <c r="AH11" s="1923"/>
      <c r="AI11" s="1923"/>
      <c r="AJ11" s="1923"/>
      <c r="AK11" s="1923"/>
      <c r="AL11" s="1923"/>
      <c r="AM11" s="1923"/>
      <c r="AN11" s="1923"/>
      <c r="AO11" s="1923"/>
      <c r="AP11" s="1923"/>
      <c r="AQ11" s="1923"/>
      <c r="AR11" s="1923"/>
      <c r="AS11" s="1923"/>
      <c r="AT11" s="1923"/>
      <c r="AU11" s="1923"/>
      <c r="AV11" s="1923"/>
      <c r="AW11" s="1923"/>
      <c r="AX11" s="1923"/>
      <c r="AY11" s="1923"/>
      <c r="AZ11" s="1923"/>
      <c r="BA11" s="1923"/>
      <c r="BB11" s="1923"/>
      <c r="BC11" s="1923"/>
      <c r="BD11" s="1923"/>
      <c r="BE11" s="1923"/>
      <c r="BF11" s="1923"/>
      <c r="BG11" s="1923"/>
      <c r="BH11" s="1923"/>
      <c r="BI11" s="1923"/>
      <c r="BJ11" s="1924"/>
    </row>
    <row r="12" spans="1:62" ht="23.25" customHeight="1" x14ac:dyDescent="0.2">
      <c r="A12" s="158"/>
      <c r="B12" s="1925"/>
      <c r="C12" s="159"/>
      <c r="D12" s="1926"/>
      <c r="E12" s="1927"/>
      <c r="F12" s="1928"/>
      <c r="G12" s="1929">
        <v>77</v>
      </c>
      <c r="H12" s="77" t="s">
        <v>784</v>
      </c>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row>
    <row r="13" spans="1:62" s="202" customFormat="1" ht="51" customHeight="1" x14ac:dyDescent="0.2">
      <c r="A13" s="158"/>
      <c r="B13" s="1925"/>
      <c r="C13" s="159"/>
      <c r="D13" s="1930"/>
      <c r="E13" s="1927"/>
      <c r="F13" s="1928"/>
      <c r="G13" s="168"/>
      <c r="H13" s="1931"/>
      <c r="I13" s="169"/>
      <c r="J13" s="4612">
        <v>223</v>
      </c>
      <c r="K13" s="2431" t="s">
        <v>785</v>
      </c>
      <c r="L13" s="2419" t="s">
        <v>18</v>
      </c>
      <c r="M13" s="2420">
        <v>1</v>
      </c>
      <c r="N13" s="2535">
        <v>0.34</v>
      </c>
      <c r="O13" s="4613"/>
      <c r="P13" s="2419">
        <v>172</v>
      </c>
      <c r="Q13" s="2431" t="s">
        <v>786</v>
      </c>
      <c r="R13" s="2689">
        <f>+S13/(W13+W14+W15+W16)</f>
        <v>0.55420391906244304</v>
      </c>
      <c r="S13" s="4611">
        <v>30167954</v>
      </c>
      <c r="T13" s="2423" t="s">
        <v>787</v>
      </c>
      <c r="U13" s="2423" t="s">
        <v>788</v>
      </c>
      <c r="V13" s="1932" t="s">
        <v>789</v>
      </c>
      <c r="W13" s="3182">
        <v>30167954</v>
      </c>
      <c r="X13" s="3182">
        <v>10360000</v>
      </c>
      <c r="Y13" s="3182">
        <v>7560000</v>
      </c>
      <c r="Z13" s="4610">
        <v>1</v>
      </c>
      <c r="AA13" s="2419" t="s">
        <v>790</v>
      </c>
      <c r="AB13" s="4076">
        <v>13437</v>
      </c>
      <c r="AC13" s="603"/>
      <c r="AD13" s="4076">
        <v>19816</v>
      </c>
      <c r="AE13" s="603"/>
      <c r="AF13" s="4076">
        <v>5665</v>
      </c>
      <c r="AG13" s="603"/>
      <c r="AH13" s="4076">
        <v>17786</v>
      </c>
      <c r="AI13" s="603"/>
      <c r="AJ13" s="4076">
        <v>46467</v>
      </c>
      <c r="AK13" s="603"/>
      <c r="AL13" s="4076">
        <v>15954</v>
      </c>
      <c r="AM13" s="603"/>
      <c r="AN13" s="4605"/>
      <c r="AO13" s="1933"/>
      <c r="AP13" s="4605"/>
      <c r="AQ13" s="1933"/>
      <c r="AR13" s="4605"/>
      <c r="AS13" s="1933"/>
      <c r="AT13" s="4605"/>
      <c r="AU13" s="4605"/>
      <c r="AV13" s="1933"/>
      <c r="AW13" s="4605"/>
      <c r="AX13" s="1933"/>
      <c r="AY13" s="1933"/>
      <c r="AZ13" s="4605" t="s">
        <v>791</v>
      </c>
      <c r="BA13" s="4608">
        <v>10360000</v>
      </c>
      <c r="BB13" s="4608">
        <v>7560000</v>
      </c>
      <c r="BC13" s="2587">
        <f>BB13/BA13</f>
        <v>0.72972972972972971</v>
      </c>
      <c r="BD13" s="2436" t="s">
        <v>792</v>
      </c>
      <c r="BE13" s="2436" t="s">
        <v>793</v>
      </c>
      <c r="BF13" s="3553">
        <v>42750</v>
      </c>
      <c r="BG13" s="3553">
        <v>42825</v>
      </c>
      <c r="BH13" s="3553" t="s">
        <v>794</v>
      </c>
      <c r="BI13" s="3553">
        <v>42825</v>
      </c>
      <c r="BJ13" s="2598" t="s">
        <v>795</v>
      </c>
    </row>
    <row r="14" spans="1:62" s="202" customFormat="1" ht="57.75" customHeight="1" x14ac:dyDescent="0.2">
      <c r="A14" s="158"/>
      <c r="B14" s="1925"/>
      <c r="C14" s="159"/>
      <c r="D14" s="1930"/>
      <c r="E14" s="1927"/>
      <c r="F14" s="1928"/>
      <c r="G14" s="170"/>
      <c r="H14" s="138"/>
      <c r="I14" s="171"/>
      <c r="J14" s="4612"/>
      <c r="K14" s="2431"/>
      <c r="L14" s="2419"/>
      <c r="M14" s="2420"/>
      <c r="N14" s="2664"/>
      <c r="O14" s="4613"/>
      <c r="P14" s="2419"/>
      <c r="Q14" s="2431"/>
      <c r="R14" s="2689"/>
      <c r="S14" s="4611"/>
      <c r="T14" s="2423"/>
      <c r="U14" s="2423"/>
      <c r="V14" s="1932" t="s">
        <v>796</v>
      </c>
      <c r="W14" s="3184"/>
      <c r="X14" s="3184"/>
      <c r="Y14" s="3184"/>
      <c r="Z14" s="4610"/>
      <c r="AA14" s="2419"/>
      <c r="AB14" s="4606"/>
      <c r="AC14" s="1919"/>
      <c r="AD14" s="4606"/>
      <c r="AE14" s="1919"/>
      <c r="AF14" s="4606"/>
      <c r="AG14" s="1919"/>
      <c r="AH14" s="4606"/>
      <c r="AI14" s="1919"/>
      <c r="AJ14" s="4606"/>
      <c r="AK14" s="1919"/>
      <c r="AL14" s="4606"/>
      <c r="AM14" s="1919"/>
      <c r="AN14" s="4606"/>
      <c r="AO14" s="1919"/>
      <c r="AP14" s="4606"/>
      <c r="AQ14" s="1919"/>
      <c r="AR14" s="4606"/>
      <c r="AS14" s="1919"/>
      <c r="AT14" s="4606"/>
      <c r="AU14" s="4606"/>
      <c r="AV14" s="1919"/>
      <c r="AW14" s="4606"/>
      <c r="AX14" s="1919"/>
      <c r="AY14" s="1919"/>
      <c r="AZ14" s="4607"/>
      <c r="BA14" s="4609"/>
      <c r="BB14" s="4609"/>
      <c r="BC14" s="2589"/>
      <c r="BD14" s="2438"/>
      <c r="BE14" s="2438"/>
      <c r="BF14" s="3555"/>
      <c r="BG14" s="3555"/>
      <c r="BH14" s="3555"/>
      <c r="BI14" s="3555"/>
      <c r="BJ14" s="2598"/>
    </row>
    <row r="15" spans="1:62" s="202" customFormat="1" ht="42.75" customHeight="1" x14ac:dyDescent="0.2">
      <c r="A15" s="158"/>
      <c r="B15" s="1925"/>
      <c r="C15" s="159"/>
      <c r="D15" s="1930"/>
      <c r="E15" s="1927"/>
      <c r="F15" s="1928"/>
      <c r="G15" s="170"/>
      <c r="H15" s="138"/>
      <c r="I15" s="171"/>
      <c r="J15" s="1934">
        <v>224</v>
      </c>
      <c r="K15" s="62" t="s">
        <v>797</v>
      </c>
      <c r="L15" s="580" t="s">
        <v>18</v>
      </c>
      <c r="M15" s="574">
        <v>1</v>
      </c>
      <c r="N15" s="574">
        <v>0</v>
      </c>
      <c r="O15" s="4613"/>
      <c r="P15" s="2419"/>
      <c r="Q15" s="2431"/>
      <c r="R15" s="726">
        <f>+S15/(W13+W14+W15+W16)</f>
        <v>0.37843470368213661</v>
      </c>
      <c r="S15" s="1935">
        <v>20600000</v>
      </c>
      <c r="T15" s="2423"/>
      <c r="U15" s="2423"/>
      <c r="V15" s="1932" t="s">
        <v>798</v>
      </c>
      <c r="W15" s="1935">
        <v>20600000</v>
      </c>
      <c r="X15" s="1935"/>
      <c r="Y15" s="1935"/>
      <c r="Z15" s="4610"/>
      <c r="AA15" s="2419"/>
      <c r="AB15" s="4606"/>
      <c r="AC15" s="1919" t="s">
        <v>799</v>
      </c>
      <c r="AD15" s="4606"/>
      <c r="AE15" s="1919" t="s">
        <v>800</v>
      </c>
      <c r="AF15" s="4606"/>
      <c r="AG15" s="1919" t="s">
        <v>801</v>
      </c>
      <c r="AH15" s="4606"/>
      <c r="AI15" s="1919" t="s">
        <v>802</v>
      </c>
      <c r="AJ15" s="4606"/>
      <c r="AK15" s="1919" t="s">
        <v>803</v>
      </c>
      <c r="AL15" s="4606"/>
      <c r="AM15" s="1919" t="s">
        <v>804</v>
      </c>
      <c r="AN15" s="4606"/>
      <c r="AO15" s="1919"/>
      <c r="AP15" s="4606"/>
      <c r="AQ15" s="1919"/>
      <c r="AR15" s="4606"/>
      <c r="AS15" s="1919"/>
      <c r="AT15" s="4606"/>
      <c r="AU15" s="4606"/>
      <c r="AV15" s="1919"/>
      <c r="AW15" s="4606"/>
      <c r="AX15" s="1919"/>
      <c r="AY15" s="1919"/>
      <c r="AZ15" s="1936"/>
      <c r="BA15" s="1936"/>
      <c r="BB15" s="1936"/>
      <c r="BC15" s="189">
        <v>0</v>
      </c>
      <c r="BD15" s="190" t="s">
        <v>792</v>
      </c>
      <c r="BE15" s="190" t="s">
        <v>793</v>
      </c>
      <c r="BF15" s="712">
        <v>42751</v>
      </c>
      <c r="BG15" s="712"/>
      <c r="BH15" s="712">
        <v>42855</v>
      </c>
      <c r="BI15" s="712"/>
      <c r="BJ15" s="2598"/>
    </row>
    <row r="16" spans="1:62" s="202" customFormat="1" ht="99" customHeight="1" thickBot="1" x14ac:dyDescent="0.25">
      <c r="A16" s="164"/>
      <c r="B16" s="1937"/>
      <c r="C16" s="165"/>
      <c r="D16" s="1938"/>
      <c r="E16" s="1939"/>
      <c r="F16" s="1940"/>
      <c r="G16" s="174"/>
      <c r="H16" s="1941"/>
      <c r="I16" s="175"/>
      <c r="J16" s="1942">
        <v>225</v>
      </c>
      <c r="K16" s="571" t="s">
        <v>805</v>
      </c>
      <c r="L16" s="581" t="s">
        <v>18</v>
      </c>
      <c r="M16" s="568">
        <v>1</v>
      </c>
      <c r="N16" s="568">
        <v>0</v>
      </c>
      <c r="O16" s="4614"/>
      <c r="P16" s="2595"/>
      <c r="Q16" s="2534"/>
      <c r="R16" s="976">
        <f>+S16/(W13+W14+W15+W16)</f>
        <v>6.736137725542031E-2</v>
      </c>
      <c r="S16" s="1935">
        <v>3666800</v>
      </c>
      <c r="T16" s="2423"/>
      <c r="U16" s="595" t="s">
        <v>806</v>
      </c>
      <c r="V16" s="1932" t="s">
        <v>807</v>
      </c>
      <c r="W16" s="1935">
        <v>3666800</v>
      </c>
      <c r="X16" s="1935"/>
      <c r="Y16" s="1935"/>
      <c r="Z16" s="4610"/>
      <c r="AA16" s="2419"/>
      <c r="AB16" s="4607"/>
      <c r="AC16" s="1943"/>
      <c r="AD16" s="4607"/>
      <c r="AE16" s="1943"/>
      <c r="AF16" s="4607"/>
      <c r="AG16" s="1943"/>
      <c r="AH16" s="4607"/>
      <c r="AI16" s="1943"/>
      <c r="AJ16" s="4607"/>
      <c r="AK16" s="1943"/>
      <c r="AL16" s="4607"/>
      <c r="AM16" s="1943"/>
      <c r="AN16" s="4607"/>
      <c r="AO16" s="1943"/>
      <c r="AP16" s="4607"/>
      <c r="AQ16" s="1943"/>
      <c r="AR16" s="4607"/>
      <c r="AS16" s="1943"/>
      <c r="AT16" s="4607"/>
      <c r="AU16" s="4607"/>
      <c r="AV16" s="1943"/>
      <c r="AW16" s="4607"/>
      <c r="AX16" s="1943"/>
      <c r="AY16" s="1943"/>
      <c r="AZ16" s="1936"/>
      <c r="BA16" s="1936"/>
      <c r="BB16" s="1936"/>
      <c r="BC16" s="641">
        <v>0</v>
      </c>
      <c r="BD16" s="638" t="s">
        <v>792</v>
      </c>
      <c r="BE16" s="638" t="s">
        <v>793</v>
      </c>
      <c r="BF16" s="712">
        <v>42751</v>
      </c>
      <c r="BG16" s="712"/>
      <c r="BH16" s="712">
        <v>43089</v>
      </c>
      <c r="BI16" s="712"/>
      <c r="BJ16" s="2598"/>
    </row>
    <row r="17" spans="1:84" s="1952" customFormat="1" ht="15.75" thickBot="1" x14ac:dyDescent="0.3">
      <c r="A17" s="4601" t="s">
        <v>140</v>
      </c>
      <c r="B17" s="4602"/>
      <c r="C17" s="4602"/>
      <c r="D17" s="4602"/>
      <c r="E17" s="4602"/>
      <c r="F17" s="4602"/>
      <c r="G17" s="4602"/>
      <c r="H17" s="4602"/>
      <c r="I17" s="4602"/>
      <c r="J17" s="4603"/>
      <c r="K17" s="4603"/>
      <c r="L17" s="4603"/>
      <c r="M17" s="4603"/>
      <c r="N17" s="4603"/>
      <c r="O17" s="4603"/>
      <c r="P17" s="4603"/>
      <c r="Q17" s="4603"/>
      <c r="R17" s="4604"/>
      <c r="S17" s="1944">
        <f>SUM(S13:S16)</f>
        <v>54434754</v>
      </c>
      <c r="T17" s="1516"/>
      <c r="U17" s="1516"/>
      <c r="V17" s="1516"/>
      <c r="W17" s="1945">
        <f>SUM(W13:W16)</f>
        <v>54434754</v>
      </c>
      <c r="X17" s="1945">
        <f t="shared" ref="X17:Y17" si="0">SUM(X13:X16)</f>
        <v>10360000</v>
      </c>
      <c r="Y17" s="1945">
        <f t="shared" si="0"/>
        <v>7560000</v>
      </c>
      <c r="Z17" s="1945"/>
      <c r="AA17" s="1946"/>
      <c r="AB17" s="305"/>
      <c r="AC17" s="305"/>
      <c r="AD17" s="305"/>
      <c r="AE17" s="305"/>
      <c r="AF17" s="305"/>
      <c r="AG17" s="305"/>
      <c r="AH17" s="305"/>
      <c r="AI17" s="305"/>
      <c r="AJ17" s="305"/>
      <c r="AK17" s="305"/>
      <c r="AL17" s="305"/>
      <c r="AM17" s="305"/>
      <c r="AN17" s="305"/>
      <c r="AO17" s="305"/>
      <c r="AP17" s="305"/>
      <c r="AQ17" s="305"/>
      <c r="AR17" s="305"/>
      <c r="AS17" s="305"/>
      <c r="AT17" s="305"/>
      <c r="AU17" s="305"/>
      <c r="AV17" s="305"/>
      <c r="AW17" s="305"/>
      <c r="AX17" s="305"/>
      <c r="AY17" s="305"/>
      <c r="AZ17" s="305"/>
      <c r="BA17" s="1947">
        <f>SUM(BA13:BA16)</f>
        <v>10360000</v>
      </c>
      <c r="BB17" s="1947">
        <f>SUM(BB13:BB16)</f>
        <v>7560000</v>
      </c>
      <c r="BC17" s="204">
        <f>BB17/BA17</f>
        <v>0.72972972972972971</v>
      </c>
      <c r="BD17" s="205"/>
      <c r="BE17" s="205"/>
      <c r="BF17" s="1948"/>
      <c r="BG17" s="1948"/>
      <c r="BH17" s="1949"/>
      <c r="BI17" s="1950"/>
      <c r="BJ17" s="1951"/>
    </row>
    <row r="18" spans="1:84" x14ac:dyDescent="0.2">
      <c r="BE18" s="38"/>
      <c r="BG18" s="1920"/>
      <c r="BI18" s="1955"/>
      <c r="BJ18" s="1010"/>
    </row>
    <row r="21" spans="1:84" s="202" customFormat="1" ht="15" x14ac:dyDescent="0.25">
      <c r="A21" s="192"/>
      <c r="B21" s="192"/>
      <c r="C21" s="2810" t="s">
        <v>808</v>
      </c>
      <c r="D21" s="2810"/>
      <c r="E21" s="2810"/>
      <c r="F21" s="2810"/>
      <c r="G21" s="2810"/>
      <c r="H21" s="2810"/>
      <c r="I21" s="2810"/>
      <c r="J21" s="2810"/>
      <c r="K21" s="192"/>
      <c r="L21" s="192"/>
      <c r="M21" s="192"/>
      <c r="N21" s="192"/>
      <c r="O21" s="192"/>
      <c r="P21" s="192"/>
      <c r="Q21" s="192"/>
      <c r="R21" s="193"/>
      <c r="S21" s="194"/>
      <c r="T21" s="195"/>
      <c r="U21" s="196"/>
      <c r="V21" s="196"/>
      <c r="W21" s="197"/>
      <c r="X21" s="197"/>
      <c r="Y21" s="197"/>
      <c r="Z21" s="198"/>
      <c r="AA21" s="198"/>
      <c r="AB21" s="198"/>
      <c r="AC21" s="198"/>
      <c r="AD21" s="198"/>
      <c r="AE21" s="198"/>
      <c r="AF21" s="197"/>
      <c r="AG21" s="197"/>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9"/>
      <c r="CC21" s="199"/>
      <c r="CD21" s="200"/>
      <c r="CE21" s="200"/>
      <c r="CF21" s="201"/>
    </row>
    <row r="22" spans="1:84" s="202" customFormat="1" ht="15" x14ac:dyDescent="0.25">
      <c r="A22" s="192"/>
      <c r="B22" s="192"/>
      <c r="C22" s="2810" t="s">
        <v>809</v>
      </c>
      <c r="D22" s="2810"/>
      <c r="E22" s="2810"/>
      <c r="F22" s="2810"/>
      <c r="G22" s="2810"/>
      <c r="H22" s="2810"/>
      <c r="I22" s="2810"/>
      <c r="J22" s="2810"/>
      <c r="K22" s="192"/>
      <c r="L22" s="192"/>
      <c r="M22" s="192"/>
      <c r="N22" s="192"/>
      <c r="O22" s="192"/>
      <c r="P22" s="192"/>
      <c r="Q22" s="192"/>
      <c r="R22" s="193"/>
      <c r="S22" s="194"/>
      <c r="T22" s="195"/>
      <c r="U22" s="196"/>
      <c r="V22" s="196"/>
      <c r="W22" s="197"/>
      <c r="X22" s="197"/>
      <c r="Y22" s="197"/>
      <c r="Z22" s="198"/>
      <c r="AA22" s="198"/>
      <c r="AB22" s="198"/>
      <c r="AC22" s="198"/>
      <c r="AD22" s="198"/>
      <c r="AE22" s="198"/>
      <c r="AF22" s="197"/>
      <c r="AG22" s="197"/>
      <c r="AH22" s="203"/>
      <c r="AI22" s="203"/>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c r="CA22" s="192"/>
      <c r="CB22" s="199"/>
      <c r="CC22" s="199"/>
      <c r="CD22" s="200"/>
      <c r="CE22" s="200"/>
      <c r="CF22" s="201"/>
    </row>
  </sheetData>
  <sheetProtection password="CBEB" sheet="1" objects="1" scenarios="1"/>
  <mergeCells count="95">
    <mergeCell ref="H7:I9"/>
    <mergeCell ref="A1:BH2"/>
    <mergeCell ref="A3:BH3"/>
    <mergeCell ref="A4:BH4"/>
    <mergeCell ref="A5:N6"/>
    <mergeCell ref="Q5:AA6"/>
    <mergeCell ref="AB5:AY6"/>
    <mergeCell ref="AZ5:BJ6"/>
    <mergeCell ref="A7:A9"/>
    <mergeCell ref="B7:C9"/>
    <mergeCell ref="D7:D9"/>
    <mergeCell ref="E7:F9"/>
    <mergeCell ref="G7:G9"/>
    <mergeCell ref="V7:V9"/>
    <mergeCell ref="J7:J9"/>
    <mergeCell ref="K7:K9"/>
    <mergeCell ref="L7:L9"/>
    <mergeCell ref="M7:N8"/>
    <mergeCell ref="O7:O9"/>
    <mergeCell ref="P7:P9"/>
    <mergeCell ref="Q7:Q9"/>
    <mergeCell ref="AR8:AS8"/>
    <mergeCell ref="AT8:AU8"/>
    <mergeCell ref="AV8:AW8"/>
    <mergeCell ref="BD8:BD9"/>
    <mergeCell ref="R7:R9"/>
    <mergeCell ref="S7:S9"/>
    <mergeCell ref="T7:T9"/>
    <mergeCell ref="U7:U9"/>
    <mergeCell ref="W7:Y8"/>
    <mergeCell ref="BH7:BI8"/>
    <mergeCell ref="BJ7:BJ9"/>
    <mergeCell ref="Z8:Z9"/>
    <mergeCell ref="AB8:AC8"/>
    <mergeCell ref="AD8:AE8"/>
    <mergeCell ref="AF8:AG8"/>
    <mergeCell ref="AH8:AI8"/>
    <mergeCell ref="AJ8:AK8"/>
    <mergeCell ref="AL8:AM8"/>
    <mergeCell ref="AN8:AO8"/>
    <mergeCell ref="BF7:BG8"/>
    <mergeCell ref="AA7:AA9"/>
    <mergeCell ref="AB7:AM7"/>
    <mergeCell ref="AN7:AY7"/>
    <mergeCell ref="AZ7:BE7"/>
    <mergeCell ref="AP8:AQ8"/>
    <mergeCell ref="Y13:Y14"/>
    <mergeCell ref="BE8:BE9"/>
    <mergeCell ref="J13:J14"/>
    <mergeCell ref="K13:K14"/>
    <mergeCell ref="L13:L14"/>
    <mergeCell ref="M13:M14"/>
    <mergeCell ref="N13:N14"/>
    <mergeCell ref="O13:O16"/>
    <mergeCell ref="P13:P16"/>
    <mergeCell ref="Q13:Q16"/>
    <mergeCell ref="R13:R14"/>
    <mergeCell ref="AX8:AY8"/>
    <mergeCell ref="AZ8:AZ9"/>
    <mergeCell ref="BA8:BA9"/>
    <mergeCell ref="BB8:BB9"/>
    <mergeCell ref="BC8:BC9"/>
    <mergeCell ref="S13:S14"/>
    <mergeCell ref="T13:T16"/>
    <mergeCell ref="U13:U15"/>
    <mergeCell ref="W13:W14"/>
    <mergeCell ref="X13:X14"/>
    <mergeCell ref="AT13:AT16"/>
    <mergeCell ref="Z13:Z16"/>
    <mergeCell ref="AA13:AA16"/>
    <mergeCell ref="AB13:AB16"/>
    <mergeCell ref="AD13:AD16"/>
    <mergeCell ref="AF13:AF16"/>
    <mergeCell ref="AH13:AH16"/>
    <mergeCell ref="AJ13:AJ16"/>
    <mergeCell ref="AL13:AL16"/>
    <mergeCell ref="AN13:AN16"/>
    <mergeCell ref="AP13:AP16"/>
    <mergeCell ref="AR13:AR16"/>
    <mergeCell ref="BJ13:BJ16"/>
    <mergeCell ref="A17:R17"/>
    <mergeCell ref="C21:J21"/>
    <mergeCell ref="C22:J22"/>
    <mergeCell ref="BD13:BD14"/>
    <mergeCell ref="BE13:BE14"/>
    <mergeCell ref="BF13:BF14"/>
    <mergeCell ref="BG13:BG14"/>
    <mergeCell ref="BH13:BH14"/>
    <mergeCell ref="BI13:BI14"/>
    <mergeCell ref="AU13:AU16"/>
    <mergeCell ref="AW13:AW16"/>
    <mergeCell ref="AZ13:AZ14"/>
    <mergeCell ref="BA13:BA14"/>
    <mergeCell ref="BB13:BB14"/>
    <mergeCell ref="BC13:BC14"/>
  </mergeCell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CG97"/>
  <sheetViews>
    <sheetView showGridLines="0" zoomScale="60" zoomScaleNormal="60" workbookViewId="0">
      <pane xSplit="11" ySplit="9" topLeftCell="AX10" activePane="bottomRight" state="frozen"/>
      <selection pane="topRight" activeCell="L1" sqref="L1"/>
      <selection pane="bottomLeft" activeCell="A10" sqref="A10"/>
      <selection pane="bottomRight" activeCell="BJ1" sqref="BJ1"/>
    </sheetView>
  </sheetViews>
  <sheetFormatPr baseColWidth="10" defaultColWidth="11.42578125" defaultRowHeight="14.25" x14ac:dyDescent="0.2"/>
  <cols>
    <col min="1" max="1" width="11.28515625" style="743" customWidth="1"/>
    <col min="2" max="2" width="4" style="38" customWidth="1"/>
    <col min="3" max="3" width="12.42578125" style="38" customWidth="1"/>
    <col min="4" max="4" width="11.42578125" style="38" customWidth="1"/>
    <col min="5" max="5" width="10" style="38" customWidth="1"/>
    <col min="6" max="6" width="6.28515625" style="38" customWidth="1"/>
    <col min="7" max="7" width="14.42578125" style="38" customWidth="1"/>
    <col min="8" max="8" width="8.5703125" style="38" customWidth="1"/>
    <col min="9" max="9" width="13.7109375" style="38" customWidth="1"/>
    <col min="10" max="10" width="11.5703125" style="38" customWidth="1"/>
    <col min="11" max="11" width="25.140625" style="197" customWidth="1"/>
    <col min="12" max="12" width="22.7109375" style="192" customWidth="1"/>
    <col min="13" max="14" width="15.7109375" style="192" customWidth="1"/>
    <col min="15" max="15" width="30.28515625" style="192" customWidth="1"/>
    <col min="16" max="16" width="10.42578125" style="887" customWidth="1"/>
    <col min="17" max="17" width="23.85546875" style="197" customWidth="1"/>
    <col min="18" max="18" width="12.7109375" style="888" customWidth="1"/>
    <col min="19" max="19" width="17.85546875" style="889" customWidth="1"/>
    <col min="20" max="20" width="31.42578125" style="197" customWidth="1"/>
    <col min="21" max="21" width="44.140625" style="197" customWidth="1"/>
    <col min="22" max="22" width="43.85546875" style="197" customWidth="1"/>
    <col min="23" max="25" width="23.28515625" style="889" customWidth="1"/>
    <col min="26" max="26" width="11.7109375" style="899" customWidth="1"/>
    <col min="27" max="27" width="14.5703125" style="194" customWidth="1"/>
    <col min="28" max="51" width="11" style="747" customWidth="1"/>
    <col min="52" max="52" width="19.85546875" style="38" customWidth="1"/>
    <col min="53" max="53" width="20.85546875" style="895" customWidth="1"/>
    <col min="54" max="54" width="20.5703125" style="895" customWidth="1"/>
    <col min="55" max="57" width="18" style="38" customWidth="1"/>
    <col min="58" max="59" width="15.5703125" style="896" customWidth="1"/>
    <col min="60" max="61" width="20.42578125" style="897" customWidth="1"/>
    <col min="62" max="62" width="24.140625" style="451" customWidth="1"/>
    <col min="63" max="63" width="20.85546875" style="38" customWidth="1"/>
    <col min="64" max="16384" width="11.42578125" style="38"/>
  </cols>
  <sheetData>
    <row r="1" spans="1:62" ht="20.100000000000001" customHeight="1" x14ac:dyDescent="0.25">
      <c r="A1" s="2476" t="s">
        <v>473</v>
      </c>
      <c r="B1" s="2477"/>
      <c r="C1" s="2477"/>
      <c r="D1" s="2477"/>
      <c r="E1" s="2477"/>
      <c r="F1" s="2477"/>
      <c r="G1" s="2477"/>
      <c r="H1" s="2477"/>
      <c r="I1" s="2477"/>
      <c r="J1" s="2477"/>
      <c r="K1" s="2477"/>
      <c r="L1" s="2477"/>
      <c r="M1" s="2477"/>
      <c r="N1" s="2477"/>
      <c r="O1" s="2477"/>
      <c r="P1" s="2477"/>
      <c r="Q1" s="2477"/>
      <c r="R1" s="2477"/>
      <c r="S1" s="2477"/>
      <c r="T1" s="2477"/>
      <c r="U1" s="2477"/>
      <c r="V1" s="2477"/>
      <c r="W1" s="2477"/>
      <c r="X1" s="2477"/>
      <c r="Y1" s="2477"/>
      <c r="Z1" s="2477"/>
      <c r="AA1" s="2477"/>
      <c r="AB1" s="2477"/>
      <c r="AC1" s="2477"/>
      <c r="AD1" s="2477"/>
      <c r="AE1" s="2477"/>
      <c r="AF1" s="2477"/>
      <c r="AG1" s="2477"/>
      <c r="AH1" s="2477"/>
      <c r="AI1" s="2477"/>
      <c r="AJ1" s="2477"/>
      <c r="AK1" s="2477"/>
      <c r="AL1" s="2477"/>
      <c r="AM1" s="2477"/>
      <c r="AN1" s="2477"/>
      <c r="AO1" s="2477"/>
      <c r="AP1" s="2477"/>
      <c r="AQ1" s="2477"/>
      <c r="AR1" s="2477"/>
      <c r="AS1" s="2477"/>
      <c r="AT1" s="2477"/>
      <c r="AU1" s="2477"/>
      <c r="AV1" s="2477"/>
      <c r="AW1" s="2477"/>
      <c r="AX1" s="2477"/>
      <c r="AY1" s="2477"/>
      <c r="AZ1" s="2477"/>
      <c r="BA1" s="2477"/>
      <c r="BB1" s="2477"/>
      <c r="BC1" s="2477"/>
      <c r="BD1" s="2477"/>
      <c r="BE1" s="2477"/>
      <c r="BF1" s="2477"/>
      <c r="BG1" s="2477"/>
      <c r="BH1" s="2480"/>
      <c r="BI1" s="305" t="s">
        <v>0</v>
      </c>
      <c r="BJ1" s="305" t="s">
        <v>1</v>
      </c>
    </row>
    <row r="2" spans="1:62" ht="20.100000000000001" customHeight="1" x14ac:dyDescent="0.25">
      <c r="A2" s="2493"/>
      <c r="B2" s="2494"/>
      <c r="C2" s="2494"/>
      <c r="D2" s="2494"/>
      <c r="E2" s="2494"/>
      <c r="F2" s="2494"/>
      <c r="G2" s="2494"/>
      <c r="H2" s="2494"/>
      <c r="I2" s="2494"/>
      <c r="J2" s="2494"/>
      <c r="K2" s="2494"/>
      <c r="L2" s="2494"/>
      <c r="M2" s="2494"/>
      <c r="N2" s="2494"/>
      <c r="O2" s="2494"/>
      <c r="P2" s="2494"/>
      <c r="Q2" s="2494"/>
      <c r="R2" s="2494"/>
      <c r="S2" s="2494"/>
      <c r="T2" s="2494"/>
      <c r="U2" s="2494"/>
      <c r="V2" s="2494"/>
      <c r="W2" s="2494"/>
      <c r="X2" s="2494"/>
      <c r="Y2" s="2494"/>
      <c r="Z2" s="2494"/>
      <c r="AA2" s="2494"/>
      <c r="AB2" s="2494"/>
      <c r="AC2" s="2494"/>
      <c r="AD2" s="2494"/>
      <c r="AE2" s="2494"/>
      <c r="AF2" s="2494"/>
      <c r="AG2" s="2494"/>
      <c r="AH2" s="2494"/>
      <c r="AI2" s="2494"/>
      <c r="AJ2" s="2494"/>
      <c r="AK2" s="2494"/>
      <c r="AL2" s="2494"/>
      <c r="AM2" s="2494"/>
      <c r="AN2" s="2494"/>
      <c r="AO2" s="2494"/>
      <c r="AP2" s="2494"/>
      <c r="AQ2" s="2494"/>
      <c r="AR2" s="2494"/>
      <c r="AS2" s="2494"/>
      <c r="AT2" s="2494"/>
      <c r="AU2" s="2494"/>
      <c r="AV2" s="2494"/>
      <c r="AW2" s="2494"/>
      <c r="AX2" s="2494"/>
      <c r="AY2" s="2494"/>
      <c r="AZ2" s="2494"/>
      <c r="BA2" s="2494"/>
      <c r="BB2" s="2494"/>
      <c r="BC2" s="2494"/>
      <c r="BD2" s="2494"/>
      <c r="BE2" s="2494"/>
      <c r="BF2" s="2494"/>
      <c r="BG2" s="2494"/>
      <c r="BH2" s="2495"/>
      <c r="BI2" s="750" t="s">
        <v>2</v>
      </c>
      <c r="BJ2" s="306">
        <v>5</v>
      </c>
    </row>
    <row r="3" spans="1:62" ht="20.100000000000001" customHeight="1" x14ac:dyDescent="0.25">
      <c r="A3" s="2493" t="s">
        <v>474</v>
      </c>
      <c r="B3" s="2494"/>
      <c r="C3" s="2494"/>
      <c r="D3" s="2494"/>
      <c r="E3" s="2494"/>
      <c r="F3" s="2494"/>
      <c r="G3" s="2494"/>
      <c r="H3" s="2494"/>
      <c r="I3" s="2494"/>
      <c r="J3" s="2494"/>
      <c r="K3" s="2494"/>
      <c r="L3" s="2494"/>
      <c r="M3" s="2494"/>
      <c r="N3" s="2494"/>
      <c r="O3" s="2494"/>
      <c r="P3" s="2494"/>
      <c r="Q3" s="2494"/>
      <c r="R3" s="2494"/>
      <c r="S3" s="2494"/>
      <c r="T3" s="2494"/>
      <c r="U3" s="2494"/>
      <c r="V3" s="2494"/>
      <c r="W3" s="2494"/>
      <c r="X3" s="2494"/>
      <c r="Y3" s="2494"/>
      <c r="Z3" s="2494"/>
      <c r="AA3" s="2494"/>
      <c r="AB3" s="2494"/>
      <c r="AC3" s="2494"/>
      <c r="AD3" s="2494"/>
      <c r="AE3" s="2494"/>
      <c r="AF3" s="2494"/>
      <c r="AG3" s="2494"/>
      <c r="AH3" s="2494"/>
      <c r="AI3" s="2494"/>
      <c r="AJ3" s="2494"/>
      <c r="AK3" s="2494"/>
      <c r="AL3" s="2494"/>
      <c r="AM3" s="2494"/>
      <c r="AN3" s="2494"/>
      <c r="AO3" s="2494"/>
      <c r="AP3" s="2494"/>
      <c r="AQ3" s="2494"/>
      <c r="AR3" s="2494"/>
      <c r="AS3" s="2494"/>
      <c r="AT3" s="2494"/>
      <c r="AU3" s="2494"/>
      <c r="AV3" s="2494"/>
      <c r="AW3" s="2494"/>
      <c r="AX3" s="2494"/>
      <c r="AY3" s="2494"/>
      <c r="AZ3" s="2494"/>
      <c r="BA3" s="2494"/>
      <c r="BB3" s="2494"/>
      <c r="BC3" s="2494"/>
      <c r="BD3" s="2494"/>
      <c r="BE3" s="2494"/>
      <c r="BF3" s="2494"/>
      <c r="BG3" s="2494"/>
      <c r="BH3" s="2495"/>
      <c r="BI3" s="751" t="s">
        <v>3</v>
      </c>
      <c r="BJ3" s="307" t="s">
        <v>4</v>
      </c>
    </row>
    <row r="4" spans="1:62" ht="20.100000000000001" customHeight="1" x14ac:dyDescent="0.2">
      <c r="A4" s="2478" t="s">
        <v>139</v>
      </c>
      <c r="B4" s="2479"/>
      <c r="C4" s="2479"/>
      <c r="D4" s="2479"/>
      <c r="E4" s="2479"/>
      <c r="F4" s="2479"/>
      <c r="G4" s="2479"/>
      <c r="H4" s="2479"/>
      <c r="I4" s="2479"/>
      <c r="J4" s="2479"/>
      <c r="K4" s="2479"/>
      <c r="L4" s="2479"/>
      <c r="M4" s="2479"/>
      <c r="N4" s="2479"/>
      <c r="O4" s="2479"/>
      <c r="P4" s="2479"/>
      <c r="Q4" s="2479"/>
      <c r="R4" s="2479"/>
      <c r="S4" s="2479"/>
      <c r="T4" s="2479"/>
      <c r="U4" s="2479"/>
      <c r="V4" s="2479"/>
      <c r="W4" s="2479"/>
      <c r="X4" s="2479"/>
      <c r="Y4" s="2479"/>
      <c r="Z4" s="2479"/>
      <c r="AA4" s="2479"/>
      <c r="AB4" s="2479"/>
      <c r="AC4" s="2479"/>
      <c r="AD4" s="2479"/>
      <c r="AE4" s="2479"/>
      <c r="AF4" s="2479"/>
      <c r="AG4" s="2479"/>
      <c r="AH4" s="2479"/>
      <c r="AI4" s="2479"/>
      <c r="AJ4" s="2479"/>
      <c r="AK4" s="2479"/>
      <c r="AL4" s="2479"/>
      <c r="AM4" s="2479"/>
      <c r="AN4" s="2479"/>
      <c r="AO4" s="2479"/>
      <c r="AP4" s="2479"/>
      <c r="AQ4" s="2479"/>
      <c r="AR4" s="2479"/>
      <c r="AS4" s="2479"/>
      <c r="AT4" s="2479"/>
      <c r="AU4" s="2479"/>
      <c r="AV4" s="2479"/>
      <c r="AW4" s="2479"/>
      <c r="AX4" s="2479"/>
      <c r="AY4" s="2479"/>
      <c r="AZ4" s="2479"/>
      <c r="BA4" s="2479"/>
      <c r="BB4" s="2479"/>
      <c r="BC4" s="2479"/>
      <c r="BD4" s="2479"/>
      <c r="BE4" s="2479"/>
      <c r="BF4" s="2479"/>
      <c r="BG4" s="2479"/>
      <c r="BH4" s="2481"/>
      <c r="BI4" s="737" t="s">
        <v>5</v>
      </c>
      <c r="BJ4" s="308" t="s">
        <v>6</v>
      </c>
    </row>
    <row r="5" spans="1:62" ht="19.5" customHeight="1" x14ac:dyDescent="0.2">
      <c r="A5" s="2494" t="s">
        <v>7</v>
      </c>
      <c r="B5" s="2494"/>
      <c r="C5" s="2494"/>
      <c r="D5" s="2494"/>
      <c r="E5" s="2494"/>
      <c r="F5" s="2494"/>
      <c r="G5" s="2494"/>
      <c r="H5" s="2494"/>
      <c r="I5" s="2494"/>
      <c r="J5" s="2494"/>
      <c r="K5" s="2494"/>
      <c r="L5" s="2494"/>
      <c r="M5" s="2494"/>
      <c r="N5" s="616"/>
      <c r="O5" s="2476" t="s">
        <v>8</v>
      </c>
      <c r="P5" s="2477"/>
      <c r="Q5" s="2477"/>
      <c r="R5" s="2477"/>
      <c r="S5" s="2477"/>
      <c r="T5" s="2477"/>
      <c r="U5" s="2477"/>
      <c r="V5" s="2477"/>
      <c r="W5" s="2477"/>
      <c r="X5" s="2477"/>
      <c r="Y5" s="2477"/>
      <c r="Z5" s="2477"/>
      <c r="AA5" s="2477"/>
      <c r="AB5" s="2477" t="s">
        <v>9</v>
      </c>
      <c r="AC5" s="2477"/>
      <c r="AD5" s="2477"/>
      <c r="AE5" s="2477"/>
      <c r="AF5" s="2477"/>
      <c r="AG5" s="2477"/>
      <c r="AH5" s="2477"/>
      <c r="AI5" s="2477"/>
      <c r="AJ5" s="2477"/>
      <c r="AK5" s="2477"/>
      <c r="AL5" s="2477"/>
      <c r="AM5" s="2477"/>
      <c r="AN5" s="2477"/>
      <c r="AO5" s="2477"/>
      <c r="AP5" s="2477"/>
      <c r="AQ5" s="2477"/>
      <c r="AR5" s="2477"/>
      <c r="AS5" s="2477"/>
      <c r="AT5" s="2477"/>
      <c r="AU5" s="2477"/>
      <c r="AV5" s="2477"/>
      <c r="AW5" s="2477"/>
      <c r="AX5" s="2477"/>
      <c r="AY5" s="2477"/>
      <c r="AZ5" s="2477"/>
      <c r="BA5" s="2477"/>
      <c r="BB5" s="2477"/>
      <c r="BC5" s="2477"/>
      <c r="BD5" s="2477"/>
      <c r="BE5" s="2477"/>
      <c r="BF5" s="2477"/>
      <c r="BG5" s="2477"/>
      <c r="BH5" s="2477"/>
      <c r="BI5" s="2477"/>
      <c r="BJ5" s="2480"/>
    </row>
    <row r="6" spans="1:62" ht="23.25" customHeight="1" x14ac:dyDescent="0.2">
      <c r="A6" s="2479"/>
      <c r="B6" s="2479"/>
      <c r="C6" s="2479"/>
      <c r="D6" s="2479"/>
      <c r="E6" s="2479"/>
      <c r="F6" s="2479"/>
      <c r="G6" s="2479"/>
      <c r="H6" s="2479"/>
      <c r="I6" s="2479"/>
      <c r="J6" s="2479"/>
      <c r="K6" s="2479"/>
      <c r="L6" s="2479"/>
      <c r="M6" s="2479"/>
      <c r="N6" s="615"/>
      <c r="O6" s="2478"/>
      <c r="P6" s="2479"/>
      <c r="Q6" s="2479"/>
      <c r="R6" s="2479"/>
      <c r="S6" s="2479"/>
      <c r="T6" s="2479"/>
      <c r="U6" s="2479"/>
      <c r="V6" s="2479"/>
      <c r="W6" s="2479"/>
      <c r="X6" s="2479"/>
      <c r="Y6" s="2479"/>
      <c r="Z6" s="2479"/>
      <c r="AA6" s="2479"/>
      <c r="AB6" s="2479"/>
      <c r="AC6" s="2479"/>
      <c r="AD6" s="2479"/>
      <c r="AE6" s="2479"/>
      <c r="AF6" s="2479"/>
      <c r="AG6" s="2479"/>
      <c r="AH6" s="2479"/>
      <c r="AI6" s="2479"/>
      <c r="AJ6" s="2479"/>
      <c r="AK6" s="2479"/>
      <c r="AL6" s="2479"/>
      <c r="AM6" s="2479"/>
      <c r="AN6" s="2479"/>
      <c r="AO6" s="2479"/>
      <c r="AP6" s="2479"/>
      <c r="AQ6" s="2479"/>
      <c r="AR6" s="2479"/>
      <c r="AS6" s="2479"/>
      <c r="AT6" s="2479"/>
      <c r="AU6" s="2479"/>
      <c r="AV6" s="2479"/>
      <c r="AW6" s="2479"/>
      <c r="AX6" s="2479"/>
      <c r="AY6" s="2479"/>
      <c r="AZ6" s="2479"/>
      <c r="BA6" s="2479"/>
      <c r="BB6" s="2479"/>
      <c r="BC6" s="2479"/>
      <c r="BD6" s="2479"/>
      <c r="BE6" s="2479"/>
      <c r="BF6" s="2479"/>
      <c r="BG6" s="2479"/>
      <c r="BH6" s="2479"/>
      <c r="BI6" s="2479"/>
      <c r="BJ6" s="2481"/>
    </row>
    <row r="7" spans="1:62" ht="33" customHeight="1" x14ac:dyDescent="0.2">
      <c r="A7" s="2665" t="s">
        <v>10</v>
      </c>
      <c r="B7" s="2442" t="s">
        <v>11</v>
      </c>
      <c r="C7" s="2444"/>
      <c r="D7" s="2448" t="s">
        <v>10</v>
      </c>
      <c r="E7" s="2442" t="s">
        <v>12</v>
      </c>
      <c r="F7" s="2444"/>
      <c r="G7" s="2448" t="s">
        <v>10</v>
      </c>
      <c r="H7" s="2442" t="s">
        <v>13</v>
      </c>
      <c r="I7" s="2444"/>
      <c r="J7" s="2448" t="s">
        <v>10</v>
      </c>
      <c r="K7" s="2448" t="s">
        <v>14</v>
      </c>
      <c r="L7" s="2448" t="s">
        <v>15</v>
      </c>
      <c r="M7" s="2450" t="s">
        <v>16</v>
      </c>
      <c r="N7" s="2450"/>
      <c r="O7" s="2448" t="s">
        <v>17</v>
      </c>
      <c r="P7" s="2448" t="s">
        <v>294</v>
      </c>
      <c r="Q7" s="2448" t="s">
        <v>8</v>
      </c>
      <c r="R7" s="2649" t="s">
        <v>19</v>
      </c>
      <c r="S7" s="2659" t="s">
        <v>20</v>
      </c>
      <c r="T7" s="2448" t="s">
        <v>21</v>
      </c>
      <c r="U7" s="2448" t="s">
        <v>22</v>
      </c>
      <c r="V7" s="2448" t="s">
        <v>23</v>
      </c>
      <c r="W7" s="2678" t="s">
        <v>20</v>
      </c>
      <c r="X7" s="2678"/>
      <c r="Y7" s="2678"/>
      <c r="Z7" s="2484" t="s">
        <v>10</v>
      </c>
      <c r="AA7" s="2448" t="s">
        <v>24</v>
      </c>
      <c r="AB7" s="2453" t="s">
        <v>25</v>
      </c>
      <c r="AC7" s="2454"/>
      <c r="AD7" s="2454"/>
      <c r="AE7" s="2454"/>
      <c r="AF7" s="2454"/>
      <c r="AG7" s="2454"/>
      <c r="AH7" s="2454"/>
      <c r="AI7" s="2454"/>
      <c r="AJ7" s="2454"/>
      <c r="AK7" s="2454"/>
      <c r="AL7" s="2454"/>
      <c r="AM7" s="2455"/>
      <c r="AN7" s="2453" t="s">
        <v>26</v>
      </c>
      <c r="AO7" s="2454"/>
      <c r="AP7" s="2454"/>
      <c r="AQ7" s="2454"/>
      <c r="AR7" s="2454"/>
      <c r="AS7" s="2454"/>
      <c r="AT7" s="2454"/>
      <c r="AU7" s="2454"/>
      <c r="AV7" s="2454"/>
      <c r="AW7" s="2454"/>
      <c r="AX7" s="2454"/>
      <c r="AY7" s="2455"/>
      <c r="AZ7" s="2453" t="s">
        <v>27</v>
      </c>
      <c r="BA7" s="2454"/>
      <c r="BB7" s="2454"/>
      <c r="BC7" s="2454"/>
      <c r="BD7" s="2454"/>
      <c r="BE7" s="2455"/>
      <c r="BF7" s="2671" t="s">
        <v>28</v>
      </c>
      <c r="BG7" s="2672"/>
      <c r="BH7" s="2671" t="s">
        <v>29</v>
      </c>
      <c r="BI7" s="2672"/>
      <c r="BJ7" s="2491" t="s">
        <v>30</v>
      </c>
    </row>
    <row r="8" spans="1:62" ht="30.75" customHeight="1" x14ac:dyDescent="0.2">
      <c r="A8" s="2666"/>
      <c r="B8" s="2445"/>
      <c r="C8" s="2447"/>
      <c r="D8" s="2449"/>
      <c r="E8" s="2445"/>
      <c r="F8" s="2447"/>
      <c r="G8" s="2449"/>
      <c r="H8" s="2445"/>
      <c r="I8" s="2447"/>
      <c r="J8" s="2449"/>
      <c r="K8" s="2449"/>
      <c r="L8" s="2449"/>
      <c r="M8" s="2450"/>
      <c r="N8" s="2450"/>
      <c r="O8" s="2449"/>
      <c r="P8" s="2449"/>
      <c r="Q8" s="2449"/>
      <c r="R8" s="2650"/>
      <c r="S8" s="2660"/>
      <c r="T8" s="2449"/>
      <c r="U8" s="2449"/>
      <c r="V8" s="2449"/>
      <c r="W8" s="2675" t="s">
        <v>51</v>
      </c>
      <c r="X8" s="2675" t="s">
        <v>52</v>
      </c>
      <c r="Y8" s="2675" t="s">
        <v>53</v>
      </c>
      <c r="Z8" s="2485"/>
      <c r="AA8" s="2449"/>
      <c r="AB8" s="2450" t="s">
        <v>295</v>
      </c>
      <c r="AC8" s="2450"/>
      <c r="AD8" s="2677" t="s">
        <v>32</v>
      </c>
      <c r="AE8" s="2677"/>
      <c r="AF8" s="2450" t="s">
        <v>33</v>
      </c>
      <c r="AG8" s="2450"/>
      <c r="AH8" s="2450" t="s">
        <v>34</v>
      </c>
      <c r="AI8" s="2450"/>
      <c r="AJ8" s="2450" t="s">
        <v>35</v>
      </c>
      <c r="AK8" s="2450"/>
      <c r="AL8" s="2450" t="s">
        <v>36</v>
      </c>
      <c r="AM8" s="2450"/>
      <c r="AN8" s="2450" t="s">
        <v>37</v>
      </c>
      <c r="AO8" s="2450"/>
      <c r="AP8" s="2450" t="s">
        <v>38</v>
      </c>
      <c r="AQ8" s="2450"/>
      <c r="AR8" s="2450" t="s">
        <v>39</v>
      </c>
      <c r="AS8" s="2450"/>
      <c r="AT8" s="2450" t="s">
        <v>40</v>
      </c>
      <c r="AU8" s="2450"/>
      <c r="AV8" s="2450" t="s">
        <v>41</v>
      </c>
      <c r="AW8" s="2450"/>
      <c r="AX8" s="2450" t="s">
        <v>42</v>
      </c>
      <c r="AY8" s="2450"/>
      <c r="AZ8" s="2461" t="s">
        <v>43</v>
      </c>
      <c r="BA8" s="2646" t="s">
        <v>44</v>
      </c>
      <c r="BB8" s="2646" t="s">
        <v>45</v>
      </c>
      <c r="BC8" s="2469" t="s">
        <v>46</v>
      </c>
      <c r="BD8" s="2461" t="s">
        <v>47</v>
      </c>
      <c r="BE8" s="2461" t="s">
        <v>48</v>
      </c>
      <c r="BF8" s="2652" t="s">
        <v>49</v>
      </c>
      <c r="BG8" s="2652" t="s">
        <v>50</v>
      </c>
      <c r="BH8" s="2652" t="s">
        <v>296</v>
      </c>
      <c r="BI8" s="2652" t="s">
        <v>50</v>
      </c>
      <c r="BJ8" s="2673"/>
    </row>
    <row r="9" spans="1:62" ht="23.25" customHeight="1" x14ac:dyDescent="0.2">
      <c r="A9" s="2667"/>
      <c r="B9" s="2482"/>
      <c r="C9" s="2483"/>
      <c r="D9" s="2648"/>
      <c r="E9" s="2482"/>
      <c r="F9" s="2483"/>
      <c r="G9" s="2648"/>
      <c r="H9" s="2482"/>
      <c r="I9" s="2483"/>
      <c r="J9" s="2648"/>
      <c r="K9" s="2648"/>
      <c r="L9" s="2648"/>
      <c r="M9" s="660" t="s">
        <v>49</v>
      </c>
      <c r="N9" s="660" t="s">
        <v>50</v>
      </c>
      <c r="O9" s="2648"/>
      <c r="P9" s="2648"/>
      <c r="Q9" s="2648"/>
      <c r="R9" s="2651"/>
      <c r="S9" s="2661"/>
      <c r="T9" s="2648"/>
      <c r="U9" s="2648"/>
      <c r="V9" s="2648"/>
      <c r="W9" s="2676"/>
      <c r="X9" s="2676"/>
      <c r="Y9" s="2676"/>
      <c r="Z9" s="2655"/>
      <c r="AA9" s="2648"/>
      <c r="AB9" s="752" t="s">
        <v>49</v>
      </c>
      <c r="AC9" s="752" t="s">
        <v>50</v>
      </c>
      <c r="AD9" s="752" t="s">
        <v>49</v>
      </c>
      <c r="AE9" s="752" t="s">
        <v>50</v>
      </c>
      <c r="AF9" s="752" t="s">
        <v>49</v>
      </c>
      <c r="AG9" s="752" t="s">
        <v>50</v>
      </c>
      <c r="AH9" s="752" t="s">
        <v>49</v>
      </c>
      <c r="AI9" s="752" t="s">
        <v>50</v>
      </c>
      <c r="AJ9" s="752" t="s">
        <v>49</v>
      </c>
      <c r="AK9" s="752" t="s">
        <v>50</v>
      </c>
      <c r="AL9" s="752" t="s">
        <v>49</v>
      </c>
      <c r="AM9" s="752" t="s">
        <v>50</v>
      </c>
      <c r="AN9" s="752" t="s">
        <v>49</v>
      </c>
      <c r="AO9" s="752" t="s">
        <v>50</v>
      </c>
      <c r="AP9" s="752" t="s">
        <v>49</v>
      </c>
      <c r="AQ9" s="752" t="s">
        <v>50</v>
      </c>
      <c r="AR9" s="752" t="s">
        <v>49</v>
      </c>
      <c r="AS9" s="752" t="s">
        <v>50</v>
      </c>
      <c r="AT9" s="752" t="s">
        <v>49</v>
      </c>
      <c r="AU9" s="752" t="s">
        <v>50</v>
      </c>
      <c r="AV9" s="752" t="s">
        <v>49</v>
      </c>
      <c r="AW9" s="752" t="s">
        <v>50</v>
      </c>
      <c r="AX9" s="752" t="s">
        <v>49</v>
      </c>
      <c r="AY9" s="752" t="s">
        <v>50</v>
      </c>
      <c r="AZ9" s="2645"/>
      <c r="BA9" s="2647"/>
      <c r="BB9" s="2647"/>
      <c r="BC9" s="2654"/>
      <c r="BD9" s="2645"/>
      <c r="BE9" s="2645"/>
      <c r="BF9" s="2653"/>
      <c r="BG9" s="2653"/>
      <c r="BH9" s="2653"/>
      <c r="BI9" s="2653"/>
      <c r="BJ9" s="2674"/>
    </row>
    <row r="10" spans="1:62" s="688" customFormat="1" ht="29.25" customHeight="1" x14ac:dyDescent="0.2">
      <c r="A10" s="753">
        <v>5</v>
      </c>
      <c r="B10" s="317" t="s">
        <v>143</v>
      </c>
      <c r="C10" s="317"/>
      <c r="D10" s="754"/>
      <c r="E10" s="754"/>
      <c r="F10" s="754"/>
      <c r="G10" s="754"/>
      <c r="H10" s="754"/>
      <c r="I10" s="754"/>
      <c r="J10" s="754"/>
      <c r="K10" s="755"/>
      <c r="L10" s="754"/>
      <c r="M10" s="754"/>
      <c r="N10" s="754"/>
      <c r="O10" s="754"/>
      <c r="P10" s="756"/>
      <c r="Q10" s="755"/>
      <c r="R10" s="757"/>
      <c r="S10" s="758"/>
      <c r="T10" s="755"/>
      <c r="U10" s="755"/>
      <c r="V10" s="755"/>
      <c r="W10" s="758"/>
      <c r="X10" s="758"/>
      <c r="Y10" s="758"/>
      <c r="Z10" s="759"/>
      <c r="AA10" s="756"/>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4"/>
      <c r="AY10" s="754"/>
      <c r="AZ10" s="754"/>
      <c r="BA10" s="760"/>
      <c r="BB10" s="760"/>
      <c r="BC10" s="754"/>
      <c r="BD10" s="754"/>
      <c r="BE10" s="754"/>
      <c r="BF10" s="761"/>
      <c r="BG10" s="761"/>
      <c r="BH10" s="761"/>
      <c r="BI10" s="761"/>
      <c r="BJ10" s="762"/>
    </row>
    <row r="11" spans="1:62" s="192" customFormat="1" ht="26.25" customHeight="1" x14ac:dyDescent="0.2">
      <c r="A11" s="763"/>
      <c r="B11" s="764"/>
      <c r="C11" s="765"/>
      <c r="D11" s="766">
        <v>26</v>
      </c>
      <c r="E11" s="54" t="s">
        <v>297</v>
      </c>
      <c r="F11" s="54"/>
      <c r="G11" s="767"/>
      <c r="H11" s="767"/>
      <c r="I11" s="767"/>
      <c r="J11" s="767"/>
      <c r="K11" s="768"/>
      <c r="L11" s="767"/>
      <c r="M11" s="767"/>
      <c r="N11" s="767"/>
      <c r="O11" s="767"/>
      <c r="P11" s="769"/>
      <c r="Q11" s="768"/>
      <c r="R11" s="770"/>
      <c r="S11" s="771"/>
      <c r="T11" s="768"/>
      <c r="U11" s="768"/>
      <c r="V11" s="768"/>
      <c r="W11" s="771"/>
      <c r="X11" s="771"/>
      <c r="Y11" s="771"/>
      <c r="Z11" s="772"/>
      <c r="AA11" s="769"/>
      <c r="AB11" s="767"/>
      <c r="AC11" s="767"/>
      <c r="AD11" s="767"/>
      <c r="AE11" s="767"/>
      <c r="AF11" s="767"/>
      <c r="AG11" s="767"/>
      <c r="AH11" s="767"/>
      <c r="AI11" s="767"/>
      <c r="AJ11" s="767"/>
      <c r="AK11" s="767"/>
      <c r="AL11" s="767"/>
      <c r="AM11" s="767"/>
      <c r="AN11" s="767"/>
      <c r="AO11" s="767"/>
      <c r="AP11" s="767"/>
      <c r="AQ11" s="767"/>
      <c r="AR11" s="767"/>
      <c r="AS11" s="767"/>
      <c r="AT11" s="767"/>
      <c r="AU11" s="767"/>
      <c r="AV11" s="767"/>
      <c r="AW11" s="767"/>
      <c r="AX11" s="767"/>
      <c r="AY11" s="767"/>
      <c r="AZ11" s="767"/>
      <c r="BA11" s="773"/>
      <c r="BB11" s="773"/>
      <c r="BC11" s="767"/>
      <c r="BD11" s="767"/>
      <c r="BE11" s="767"/>
      <c r="BF11" s="774"/>
      <c r="BG11" s="774"/>
      <c r="BH11" s="774"/>
      <c r="BI11" s="774"/>
      <c r="BJ11" s="775"/>
    </row>
    <row r="12" spans="1:62" s="192" customFormat="1" ht="28.5" customHeight="1" x14ac:dyDescent="0.2">
      <c r="A12" s="776"/>
      <c r="B12" s="777"/>
      <c r="C12" s="777"/>
      <c r="D12" s="778"/>
      <c r="E12" s="764"/>
      <c r="F12" s="765"/>
      <c r="G12" s="779">
        <v>83</v>
      </c>
      <c r="H12" s="105" t="s">
        <v>298</v>
      </c>
      <c r="I12" s="105"/>
      <c r="J12" s="105"/>
      <c r="K12" s="73"/>
      <c r="L12" s="105"/>
      <c r="M12" s="105"/>
      <c r="N12" s="105"/>
      <c r="O12" s="105"/>
      <c r="P12" s="90"/>
      <c r="Q12" s="73"/>
      <c r="R12" s="780"/>
      <c r="S12" s="781"/>
      <c r="T12" s="73"/>
      <c r="U12" s="73"/>
      <c r="V12" s="73"/>
      <c r="W12" s="781"/>
      <c r="X12" s="781"/>
      <c r="Y12" s="781"/>
      <c r="Z12" s="782"/>
      <c r="AA12" s="90"/>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783"/>
      <c r="BB12" s="783"/>
      <c r="BC12" s="105"/>
      <c r="BD12" s="105"/>
      <c r="BE12" s="105"/>
      <c r="BF12" s="784"/>
      <c r="BG12" s="784"/>
      <c r="BH12" s="784"/>
      <c r="BI12" s="784"/>
      <c r="BJ12" s="785"/>
    </row>
    <row r="13" spans="1:62" s="192" customFormat="1" ht="70.5" customHeight="1" x14ac:dyDescent="0.2">
      <c r="A13" s="786"/>
      <c r="B13" s="499"/>
      <c r="C13" s="499"/>
      <c r="D13" s="498"/>
      <c r="E13" s="499"/>
      <c r="F13" s="588"/>
      <c r="G13" s="787"/>
      <c r="H13" s="499"/>
      <c r="I13" s="499"/>
      <c r="J13" s="2419">
        <v>246</v>
      </c>
      <c r="K13" s="2423" t="s">
        <v>299</v>
      </c>
      <c r="L13" s="2419" t="s">
        <v>18</v>
      </c>
      <c r="M13" s="2419">
        <v>13</v>
      </c>
      <c r="N13" s="2595">
        <v>13</v>
      </c>
      <c r="O13" s="2420" t="s">
        <v>300</v>
      </c>
      <c r="P13" s="2419">
        <v>6</v>
      </c>
      <c r="Q13" s="2423" t="s">
        <v>301</v>
      </c>
      <c r="R13" s="2609">
        <v>1</v>
      </c>
      <c r="S13" s="2602">
        <v>30000000</v>
      </c>
      <c r="T13" s="2431" t="s">
        <v>302</v>
      </c>
      <c r="U13" s="2598" t="s">
        <v>303</v>
      </c>
      <c r="V13" s="595" t="s">
        <v>304</v>
      </c>
      <c r="W13" s="788">
        <v>3080000</v>
      </c>
      <c r="X13" s="788">
        <v>2840000</v>
      </c>
      <c r="Y13" s="788">
        <v>1080000</v>
      </c>
      <c r="Z13" s="2572">
        <v>20</v>
      </c>
      <c r="AA13" s="2595" t="s">
        <v>208</v>
      </c>
      <c r="AB13" s="2421">
        <v>64149</v>
      </c>
      <c r="AC13" s="2421"/>
      <c r="AD13" s="2421">
        <v>72224</v>
      </c>
      <c r="AE13" s="2501"/>
      <c r="AF13" s="2421">
        <v>27477</v>
      </c>
      <c r="AG13" s="2501"/>
      <c r="AH13" s="2421">
        <v>86843</v>
      </c>
      <c r="AI13" s="2501"/>
      <c r="AJ13" s="2421">
        <v>263429</v>
      </c>
      <c r="AK13" s="2501"/>
      <c r="AL13" s="2421">
        <v>81384</v>
      </c>
      <c r="AM13" s="2501"/>
      <c r="AN13" s="2421">
        <v>12718</v>
      </c>
      <c r="AO13" s="2501"/>
      <c r="AP13" s="2421">
        <v>2145</v>
      </c>
      <c r="AQ13" s="2501"/>
      <c r="AR13" s="2421"/>
      <c r="AS13" s="2501"/>
      <c r="AT13" s="2421">
        <v>491</v>
      </c>
      <c r="AU13" s="2501"/>
      <c r="AV13" s="2421">
        <v>16892</v>
      </c>
      <c r="AW13" s="2501"/>
      <c r="AX13" s="2641"/>
      <c r="AY13" s="2642"/>
      <c r="AZ13" s="2501">
        <v>2</v>
      </c>
      <c r="BA13" s="2556">
        <f>SUM(X13:X24)</f>
        <v>26400000</v>
      </c>
      <c r="BB13" s="2556">
        <f>SUM(Y13:Y24)</f>
        <v>10560000</v>
      </c>
      <c r="BC13" s="2559">
        <f>BB13/BA13</f>
        <v>0.4</v>
      </c>
      <c r="BD13" s="2501">
        <v>20</v>
      </c>
      <c r="BE13" s="2612" t="s">
        <v>305</v>
      </c>
      <c r="BF13" s="2597" t="s">
        <v>306</v>
      </c>
      <c r="BG13" s="2578">
        <v>42389</v>
      </c>
      <c r="BH13" s="2597">
        <v>42901</v>
      </c>
      <c r="BI13" s="2578">
        <v>42905</v>
      </c>
      <c r="BJ13" s="2598" t="s">
        <v>307</v>
      </c>
    </row>
    <row r="14" spans="1:62" s="192" customFormat="1" ht="60.75" customHeight="1" x14ac:dyDescent="0.2">
      <c r="A14" s="786"/>
      <c r="B14" s="499"/>
      <c r="C14" s="499"/>
      <c r="D14" s="498"/>
      <c r="E14" s="499"/>
      <c r="F14" s="588"/>
      <c r="G14" s="499"/>
      <c r="H14" s="499"/>
      <c r="I14" s="499"/>
      <c r="J14" s="2419"/>
      <c r="K14" s="2423"/>
      <c r="L14" s="2419"/>
      <c r="M14" s="2419"/>
      <c r="N14" s="2603"/>
      <c r="O14" s="2420"/>
      <c r="P14" s="2419"/>
      <c r="Q14" s="2423"/>
      <c r="R14" s="2609"/>
      <c r="S14" s="2602"/>
      <c r="T14" s="2431"/>
      <c r="U14" s="2598"/>
      <c r="V14" s="595" t="s">
        <v>308</v>
      </c>
      <c r="W14" s="788">
        <v>1860000</v>
      </c>
      <c r="X14" s="788">
        <f t="shared" ref="X14:X20" si="0">W14</f>
        <v>1860000</v>
      </c>
      <c r="Y14" s="788">
        <v>1500000</v>
      </c>
      <c r="Z14" s="2573"/>
      <c r="AA14" s="2603"/>
      <c r="AB14" s="2421"/>
      <c r="AC14" s="2421"/>
      <c r="AD14" s="2421"/>
      <c r="AE14" s="2502"/>
      <c r="AF14" s="2421"/>
      <c r="AG14" s="2502"/>
      <c r="AH14" s="2421"/>
      <c r="AI14" s="2502"/>
      <c r="AJ14" s="2421"/>
      <c r="AK14" s="2502"/>
      <c r="AL14" s="2421"/>
      <c r="AM14" s="2502"/>
      <c r="AN14" s="2421"/>
      <c r="AO14" s="2502"/>
      <c r="AP14" s="2421"/>
      <c r="AQ14" s="2502"/>
      <c r="AR14" s="2421"/>
      <c r="AS14" s="2502"/>
      <c r="AT14" s="2421"/>
      <c r="AU14" s="2502"/>
      <c r="AV14" s="2421"/>
      <c r="AW14" s="2502"/>
      <c r="AX14" s="2641"/>
      <c r="AY14" s="2643"/>
      <c r="AZ14" s="2502"/>
      <c r="BA14" s="2557"/>
      <c r="BB14" s="2557"/>
      <c r="BC14" s="2560"/>
      <c r="BD14" s="2502"/>
      <c r="BE14" s="2624"/>
      <c r="BF14" s="2597"/>
      <c r="BG14" s="2579"/>
      <c r="BH14" s="2597"/>
      <c r="BI14" s="2579"/>
      <c r="BJ14" s="2598"/>
    </row>
    <row r="15" spans="1:62" s="192" customFormat="1" ht="60.75" customHeight="1" x14ac:dyDescent="0.2">
      <c r="A15" s="786"/>
      <c r="B15" s="499"/>
      <c r="C15" s="499"/>
      <c r="D15" s="498"/>
      <c r="E15" s="499"/>
      <c r="F15" s="588"/>
      <c r="G15" s="499"/>
      <c r="H15" s="499"/>
      <c r="I15" s="499"/>
      <c r="J15" s="2419"/>
      <c r="K15" s="2423"/>
      <c r="L15" s="2419"/>
      <c r="M15" s="2419"/>
      <c r="N15" s="2603"/>
      <c r="O15" s="2420"/>
      <c r="P15" s="2419"/>
      <c r="Q15" s="2423"/>
      <c r="R15" s="2609"/>
      <c r="S15" s="2602"/>
      <c r="T15" s="2431"/>
      <c r="U15" s="2598"/>
      <c r="V15" s="595" t="s">
        <v>309</v>
      </c>
      <c r="W15" s="788">
        <v>2700000</v>
      </c>
      <c r="X15" s="788">
        <f t="shared" si="0"/>
        <v>2700000</v>
      </c>
      <c r="Y15" s="788">
        <v>2700000</v>
      </c>
      <c r="Z15" s="2573"/>
      <c r="AA15" s="2603"/>
      <c r="AB15" s="2421"/>
      <c r="AC15" s="2421"/>
      <c r="AD15" s="2421"/>
      <c r="AE15" s="2502"/>
      <c r="AF15" s="2421"/>
      <c r="AG15" s="2502"/>
      <c r="AH15" s="2421"/>
      <c r="AI15" s="2502"/>
      <c r="AJ15" s="2421"/>
      <c r="AK15" s="2502"/>
      <c r="AL15" s="2421"/>
      <c r="AM15" s="2502"/>
      <c r="AN15" s="2421"/>
      <c r="AO15" s="2502"/>
      <c r="AP15" s="2421"/>
      <c r="AQ15" s="2502"/>
      <c r="AR15" s="2421"/>
      <c r="AS15" s="2502"/>
      <c r="AT15" s="2421"/>
      <c r="AU15" s="2502"/>
      <c r="AV15" s="2421"/>
      <c r="AW15" s="2502"/>
      <c r="AX15" s="2641"/>
      <c r="AY15" s="2643"/>
      <c r="AZ15" s="2502"/>
      <c r="BA15" s="2557"/>
      <c r="BB15" s="2557"/>
      <c r="BC15" s="2560"/>
      <c r="BD15" s="2502"/>
      <c r="BE15" s="2624"/>
      <c r="BF15" s="2597"/>
      <c r="BG15" s="2579"/>
      <c r="BH15" s="2597"/>
      <c r="BI15" s="2579"/>
      <c r="BJ15" s="2598"/>
    </row>
    <row r="16" spans="1:62" s="192" customFormat="1" ht="45" customHeight="1" x14ac:dyDescent="0.2">
      <c r="A16" s="786"/>
      <c r="B16" s="499"/>
      <c r="C16" s="499"/>
      <c r="D16" s="498"/>
      <c r="E16" s="499"/>
      <c r="F16" s="588"/>
      <c r="G16" s="499"/>
      <c r="H16" s="499"/>
      <c r="I16" s="499"/>
      <c r="J16" s="2419"/>
      <c r="K16" s="2423"/>
      <c r="L16" s="2419"/>
      <c r="M16" s="2419"/>
      <c r="N16" s="2603"/>
      <c r="O16" s="2420"/>
      <c r="P16" s="2419"/>
      <c r="Q16" s="2423"/>
      <c r="R16" s="2609"/>
      <c r="S16" s="2602"/>
      <c r="T16" s="2431"/>
      <c r="U16" s="2598"/>
      <c r="V16" s="595" t="s">
        <v>310</v>
      </c>
      <c r="W16" s="788">
        <v>4800000</v>
      </c>
      <c r="X16" s="788">
        <f t="shared" si="0"/>
        <v>4800000</v>
      </c>
      <c r="Y16" s="788"/>
      <c r="Z16" s="2573"/>
      <c r="AA16" s="2603"/>
      <c r="AB16" s="2421"/>
      <c r="AC16" s="2421"/>
      <c r="AD16" s="2421"/>
      <c r="AE16" s="2502"/>
      <c r="AF16" s="2421"/>
      <c r="AG16" s="2502"/>
      <c r="AH16" s="2421"/>
      <c r="AI16" s="2502"/>
      <c r="AJ16" s="2421"/>
      <c r="AK16" s="2502"/>
      <c r="AL16" s="2421"/>
      <c r="AM16" s="2502"/>
      <c r="AN16" s="2421"/>
      <c r="AO16" s="2502"/>
      <c r="AP16" s="2421"/>
      <c r="AQ16" s="2502"/>
      <c r="AR16" s="2421"/>
      <c r="AS16" s="2502"/>
      <c r="AT16" s="2421"/>
      <c r="AU16" s="2502"/>
      <c r="AV16" s="2421"/>
      <c r="AW16" s="2502"/>
      <c r="AX16" s="2641"/>
      <c r="AY16" s="2643"/>
      <c r="AZ16" s="2502"/>
      <c r="BA16" s="2557"/>
      <c r="BB16" s="2557"/>
      <c r="BC16" s="2560"/>
      <c r="BD16" s="2502"/>
      <c r="BE16" s="2624"/>
      <c r="BF16" s="2597"/>
      <c r="BG16" s="2579"/>
      <c r="BH16" s="2597"/>
      <c r="BI16" s="2579"/>
      <c r="BJ16" s="2598"/>
    </row>
    <row r="17" spans="1:62" s="192" customFormat="1" ht="54" customHeight="1" x14ac:dyDescent="0.2">
      <c r="A17" s="786"/>
      <c r="B17" s="2610"/>
      <c r="C17" s="2640"/>
      <c r="D17" s="498"/>
      <c r="E17" s="2610"/>
      <c r="F17" s="2640"/>
      <c r="G17" s="499"/>
      <c r="H17" s="2610"/>
      <c r="I17" s="2610"/>
      <c r="J17" s="2419"/>
      <c r="K17" s="2423"/>
      <c r="L17" s="2419"/>
      <c r="M17" s="2419"/>
      <c r="N17" s="2603"/>
      <c r="O17" s="2420"/>
      <c r="P17" s="2419"/>
      <c r="Q17" s="2423"/>
      <c r="R17" s="2609"/>
      <c r="S17" s="2602"/>
      <c r="T17" s="2431"/>
      <c r="U17" s="2598"/>
      <c r="V17" s="595" t="s">
        <v>311</v>
      </c>
      <c r="W17" s="788">
        <v>1000000</v>
      </c>
      <c r="X17" s="788">
        <f t="shared" si="0"/>
        <v>1000000</v>
      </c>
      <c r="Y17" s="788"/>
      <c r="Z17" s="2573"/>
      <c r="AA17" s="2603"/>
      <c r="AB17" s="2421"/>
      <c r="AC17" s="2421"/>
      <c r="AD17" s="2421"/>
      <c r="AE17" s="2502"/>
      <c r="AF17" s="2421"/>
      <c r="AG17" s="2502"/>
      <c r="AH17" s="2421"/>
      <c r="AI17" s="2502"/>
      <c r="AJ17" s="2421"/>
      <c r="AK17" s="2502"/>
      <c r="AL17" s="2421"/>
      <c r="AM17" s="2502"/>
      <c r="AN17" s="2421"/>
      <c r="AO17" s="2502"/>
      <c r="AP17" s="2421"/>
      <c r="AQ17" s="2502"/>
      <c r="AR17" s="2421"/>
      <c r="AS17" s="2502"/>
      <c r="AT17" s="2421"/>
      <c r="AU17" s="2502"/>
      <c r="AV17" s="2421"/>
      <c r="AW17" s="2502"/>
      <c r="AX17" s="2641"/>
      <c r="AY17" s="2643"/>
      <c r="AZ17" s="2502"/>
      <c r="BA17" s="2557"/>
      <c r="BB17" s="2557"/>
      <c r="BC17" s="2560"/>
      <c r="BD17" s="2502"/>
      <c r="BE17" s="2624"/>
      <c r="BF17" s="2597"/>
      <c r="BG17" s="2579"/>
      <c r="BH17" s="2597"/>
      <c r="BI17" s="2579"/>
      <c r="BJ17" s="2598"/>
    </row>
    <row r="18" spans="1:62" s="192" customFormat="1" ht="47.25" customHeight="1" x14ac:dyDescent="0.2">
      <c r="A18" s="786"/>
      <c r="B18" s="499"/>
      <c r="C18" s="499"/>
      <c r="D18" s="498"/>
      <c r="E18" s="499"/>
      <c r="F18" s="588"/>
      <c r="G18" s="499"/>
      <c r="H18" s="499"/>
      <c r="I18" s="499"/>
      <c r="J18" s="2419"/>
      <c r="K18" s="2423"/>
      <c r="L18" s="2419"/>
      <c r="M18" s="2419"/>
      <c r="N18" s="2603"/>
      <c r="O18" s="2420"/>
      <c r="P18" s="2419"/>
      <c r="Q18" s="2423"/>
      <c r="R18" s="2609"/>
      <c r="S18" s="2602"/>
      <c r="T18" s="2431"/>
      <c r="U18" s="2423" t="s">
        <v>312</v>
      </c>
      <c r="V18" s="595" t="s">
        <v>313</v>
      </c>
      <c r="W18" s="788">
        <v>2880000</v>
      </c>
      <c r="X18" s="789">
        <f t="shared" si="0"/>
        <v>2880000</v>
      </c>
      <c r="Y18" s="789">
        <v>1800000</v>
      </c>
      <c r="Z18" s="2573"/>
      <c r="AA18" s="2603"/>
      <c r="AB18" s="2421"/>
      <c r="AC18" s="2421"/>
      <c r="AD18" s="2421"/>
      <c r="AE18" s="2502"/>
      <c r="AF18" s="2421"/>
      <c r="AG18" s="2502"/>
      <c r="AH18" s="2421"/>
      <c r="AI18" s="2502"/>
      <c r="AJ18" s="2421"/>
      <c r="AK18" s="2502"/>
      <c r="AL18" s="2421"/>
      <c r="AM18" s="2502"/>
      <c r="AN18" s="2421"/>
      <c r="AO18" s="2502"/>
      <c r="AP18" s="2421"/>
      <c r="AQ18" s="2502"/>
      <c r="AR18" s="2421"/>
      <c r="AS18" s="2502"/>
      <c r="AT18" s="2421"/>
      <c r="AU18" s="2502"/>
      <c r="AV18" s="2421"/>
      <c r="AW18" s="2502"/>
      <c r="AX18" s="2641"/>
      <c r="AY18" s="2643"/>
      <c r="AZ18" s="2502"/>
      <c r="BA18" s="2557"/>
      <c r="BB18" s="2557"/>
      <c r="BC18" s="2560"/>
      <c r="BD18" s="2502"/>
      <c r="BE18" s="2624"/>
      <c r="BF18" s="2597"/>
      <c r="BG18" s="2579"/>
      <c r="BH18" s="2597"/>
      <c r="BI18" s="2579"/>
      <c r="BJ18" s="2598"/>
    </row>
    <row r="19" spans="1:62" s="192" customFormat="1" ht="42.75" x14ac:dyDescent="0.2">
      <c r="A19" s="786"/>
      <c r="B19" s="499"/>
      <c r="C19" s="499"/>
      <c r="D19" s="498"/>
      <c r="E19" s="499"/>
      <c r="F19" s="588"/>
      <c r="G19" s="499"/>
      <c r="H19" s="499"/>
      <c r="I19" s="499"/>
      <c r="J19" s="2419"/>
      <c r="K19" s="2423"/>
      <c r="L19" s="2419"/>
      <c r="M19" s="2419"/>
      <c r="N19" s="2603"/>
      <c r="O19" s="2420"/>
      <c r="P19" s="2419"/>
      <c r="Q19" s="2423"/>
      <c r="R19" s="2609"/>
      <c r="S19" s="2602"/>
      <c r="T19" s="2431"/>
      <c r="U19" s="2423"/>
      <c r="V19" s="595" t="s">
        <v>314</v>
      </c>
      <c r="W19" s="788">
        <v>2740000</v>
      </c>
      <c r="X19" s="789">
        <f t="shared" si="0"/>
        <v>2740000</v>
      </c>
      <c r="Y19" s="789">
        <f>X19</f>
        <v>2740000</v>
      </c>
      <c r="Z19" s="2573"/>
      <c r="AA19" s="2603"/>
      <c r="AB19" s="2421"/>
      <c r="AC19" s="2421"/>
      <c r="AD19" s="2421"/>
      <c r="AE19" s="2502"/>
      <c r="AF19" s="2421"/>
      <c r="AG19" s="2502"/>
      <c r="AH19" s="2421"/>
      <c r="AI19" s="2502"/>
      <c r="AJ19" s="2421"/>
      <c r="AK19" s="2502"/>
      <c r="AL19" s="2421"/>
      <c r="AM19" s="2502"/>
      <c r="AN19" s="2421"/>
      <c r="AO19" s="2502"/>
      <c r="AP19" s="2421"/>
      <c r="AQ19" s="2502"/>
      <c r="AR19" s="2421"/>
      <c r="AS19" s="2502"/>
      <c r="AT19" s="2421"/>
      <c r="AU19" s="2502"/>
      <c r="AV19" s="2421"/>
      <c r="AW19" s="2502"/>
      <c r="AX19" s="2641"/>
      <c r="AY19" s="2643"/>
      <c r="AZ19" s="2502"/>
      <c r="BA19" s="2557"/>
      <c r="BB19" s="2557"/>
      <c r="BC19" s="2560"/>
      <c r="BD19" s="2502"/>
      <c r="BE19" s="2624"/>
      <c r="BF19" s="2597"/>
      <c r="BG19" s="2579"/>
      <c r="BH19" s="2597"/>
      <c r="BI19" s="2579"/>
      <c r="BJ19" s="2598"/>
    </row>
    <row r="20" spans="1:62" s="192" customFormat="1" ht="57" x14ac:dyDescent="0.2">
      <c r="A20" s="786"/>
      <c r="B20" s="499"/>
      <c r="C20" s="499"/>
      <c r="D20" s="498"/>
      <c r="E20" s="499"/>
      <c r="F20" s="588"/>
      <c r="G20" s="499"/>
      <c r="H20" s="499"/>
      <c r="I20" s="499"/>
      <c r="J20" s="2419"/>
      <c r="K20" s="2423"/>
      <c r="L20" s="2419"/>
      <c r="M20" s="2419"/>
      <c r="N20" s="2603"/>
      <c r="O20" s="2420"/>
      <c r="P20" s="2419"/>
      <c r="Q20" s="2423"/>
      <c r="R20" s="2609"/>
      <c r="S20" s="2602"/>
      <c r="T20" s="2431"/>
      <c r="U20" s="2423"/>
      <c r="V20" s="595" t="s">
        <v>315</v>
      </c>
      <c r="W20" s="788">
        <v>1080000</v>
      </c>
      <c r="X20" s="789">
        <f t="shared" si="0"/>
        <v>1080000</v>
      </c>
      <c r="Y20" s="789">
        <v>740000</v>
      </c>
      <c r="Z20" s="2573"/>
      <c r="AA20" s="2603"/>
      <c r="AB20" s="2421"/>
      <c r="AC20" s="2421"/>
      <c r="AD20" s="2421"/>
      <c r="AE20" s="2502"/>
      <c r="AF20" s="2421"/>
      <c r="AG20" s="2502"/>
      <c r="AH20" s="2421"/>
      <c r="AI20" s="2502"/>
      <c r="AJ20" s="2421"/>
      <c r="AK20" s="2502"/>
      <c r="AL20" s="2421"/>
      <c r="AM20" s="2502"/>
      <c r="AN20" s="2421"/>
      <c r="AO20" s="2502"/>
      <c r="AP20" s="2421"/>
      <c r="AQ20" s="2502"/>
      <c r="AR20" s="2421"/>
      <c r="AS20" s="2502"/>
      <c r="AT20" s="2421"/>
      <c r="AU20" s="2502"/>
      <c r="AV20" s="2421"/>
      <c r="AW20" s="2502"/>
      <c r="AX20" s="2641"/>
      <c r="AY20" s="2643"/>
      <c r="AZ20" s="2502"/>
      <c r="BA20" s="2557"/>
      <c r="BB20" s="2557"/>
      <c r="BC20" s="2560"/>
      <c r="BD20" s="2502"/>
      <c r="BE20" s="2624"/>
      <c r="BF20" s="2597"/>
      <c r="BG20" s="2579"/>
      <c r="BH20" s="2597"/>
      <c r="BI20" s="2579"/>
      <c r="BJ20" s="2598"/>
    </row>
    <row r="21" spans="1:62" s="192" customFormat="1" ht="28.5" x14ac:dyDescent="0.2">
      <c r="A21" s="786"/>
      <c r="B21" s="499"/>
      <c r="C21" s="499"/>
      <c r="D21" s="498"/>
      <c r="E21" s="499"/>
      <c r="F21" s="588"/>
      <c r="G21" s="499"/>
      <c r="H21" s="499"/>
      <c r="I21" s="499"/>
      <c r="J21" s="2419"/>
      <c r="K21" s="2423"/>
      <c r="L21" s="2419"/>
      <c r="M21" s="2419"/>
      <c r="N21" s="2603"/>
      <c r="O21" s="2420"/>
      <c r="P21" s="2419"/>
      <c r="Q21" s="2423"/>
      <c r="R21" s="2609"/>
      <c r="S21" s="2602"/>
      <c r="T21" s="2431"/>
      <c r="U21" s="2423"/>
      <c r="V21" s="595" t="s">
        <v>316</v>
      </c>
      <c r="W21" s="788">
        <v>3840000</v>
      </c>
      <c r="X21" s="789">
        <v>3500000</v>
      </c>
      <c r="Y21" s="789"/>
      <c r="Z21" s="2573"/>
      <c r="AA21" s="2603"/>
      <c r="AB21" s="2421"/>
      <c r="AC21" s="2421"/>
      <c r="AD21" s="2421"/>
      <c r="AE21" s="2502"/>
      <c r="AF21" s="2421"/>
      <c r="AG21" s="2502"/>
      <c r="AH21" s="2421"/>
      <c r="AI21" s="2502"/>
      <c r="AJ21" s="2421"/>
      <c r="AK21" s="2502"/>
      <c r="AL21" s="2421"/>
      <c r="AM21" s="2502"/>
      <c r="AN21" s="2421"/>
      <c r="AO21" s="2502"/>
      <c r="AP21" s="2421"/>
      <c r="AQ21" s="2502"/>
      <c r="AR21" s="2421"/>
      <c r="AS21" s="2502"/>
      <c r="AT21" s="2421"/>
      <c r="AU21" s="2502"/>
      <c r="AV21" s="2421"/>
      <c r="AW21" s="2502"/>
      <c r="AX21" s="2641"/>
      <c r="AY21" s="2643"/>
      <c r="AZ21" s="2502"/>
      <c r="BA21" s="2557"/>
      <c r="BB21" s="2557"/>
      <c r="BC21" s="2560"/>
      <c r="BD21" s="2502"/>
      <c r="BE21" s="2624"/>
      <c r="BF21" s="2597"/>
      <c r="BG21" s="2579"/>
      <c r="BH21" s="2597"/>
      <c r="BI21" s="2579"/>
      <c r="BJ21" s="2598"/>
    </row>
    <row r="22" spans="1:62" s="192" customFormat="1" ht="42.75" x14ac:dyDescent="0.2">
      <c r="A22" s="786"/>
      <c r="B22" s="499"/>
      <c r="C22" s="499"/>
      <c r="D22" s="498"/>
      <c r="E22" s="499"/>
      <c r="F22" s="588"/>
      <c r="G22" s="499"/>
      <c r="H22" s="499"/>
      <c r="I22" s="499"/>
      <c r="J22" s="2419"/>
      <c r="K22" s="2423"/>
      <c r="L22" s="2419"/>
      <c r="M22" s="2419"/>
      <c r="N22" s="2603"/>
      <c r="O22" s="2420"/>
      <c r="P22" s="2419"/>
      <c r="Q22" s="2423"/>
      <c r="R22" s="2609"/>
      <c r="S22" s="2602"/>
      <c r="T22" s="2431"/>
      <c r="U22" s="2423"/>
      <c r="V22" s="595" t="s">
        <v>317</v>
      </c>
      <c r="W22" s="788">
        <v>3000000</v>
      </c>
      <c r="X22" s="789">
        <f>W22</f>
        <v>3000000</v>
      </c>
      <c r="Y22" s="789"/>
      <c r="Z22" s="2573"/>
      <c r="AA22" s="2603"/>
      <c r="AB22" s="2421"/>
      <c r="AC22" s="2421"/>
      <c r="AD22" s="2421"/>
      <c r="AE22" s="2502"/>
      <c r="AF22" s="2421"/>
      <c r="AG22" s="2502"/>
      <c r="AH22" s="2421"/>
      <c r="AI22" s="2502"/>
      <c r="AJ22" s="2421"/>
      <c r="AK22" s="2502"/>
      <c r="AL22" s="2421"/>
      <c r="AM22" s="2502"/>
      <c r="AN22" s="2421"/>
      <c r="AO22" s="2502"/>
      <c r="AP22" s="2421"/>
      <c r="AQ22" s="2502"/>
      <c r="AR22" s="2421"/>
      <c r="AS22" s="2502"/>
      <c r="AT22" s="2421"/>
      <c r="AU22" s="2502"/>
      <c r="AV22" s="2421"/>
      <c r="AW22" s="2502"/>
      <c r="AX22" s="2641"/>
      <c r="AY22" s="2643"/>
      <c r="AZ22" s="2502"/>
      <c r="BA22" s="2557"/>
      <c r="BB22" s="2557"/>
      <c r="BC22" s="2560"/>
      <c r="BD22" s="2502"/>
      <c r="BE22" s="2624"/>
      <c r="BF22" s="2597"/>
      <c r="BG22" s="2579"/>
      <c r="BH22" s="2597"/>
      <c r="BI22" s="2579"/>
      <c r="BJ22" s="2598"/>
    </row>
    <row r="23" spans="1:62" s="192" customFormat="1" ht="85.5" x14ac:dyDescent="0.2">
      <c r="A23" s="786"/>
      <c r="B23" s="499"/>
      <c r="C23" s="499"/>
      <c r="D23" s="498"/>
      <c r="E23" s="499"/>
      <c r="F23" s="588"/>
      <c r="G23" s="499"/>
      <c r="H23" s="499"/>
      <c r="I23" s="499"/>
      <c r="J23" s="2419"/>
      <c r="K23" s="2423"/>
      <c r="L23" s="2419"/>
      <c r="M23" s="2419"/>
      <c r="N23" s="2603"/>
      <c r="O23" s="2420"/>
      <c r="P23" s="2419"/>
      <c r="Q23" s="2423"/>
      <c r="R23" s="2609"/>
      <c r="S23" s="2602"/>
      <c r="T23" s="2431"/>
      <c r="U23" s="595" t="s">
        <v>318</v>
      </c>
      <c r="V23" s="595" t="s">
        <v>319</v>
      </c>
      <c r="W23" s="788">
        <v>2000000</v>
      </c>
      <c r="X23" s="788"/>
      <c r="Y23" s="788"/>
      <c r="Z23" s="2573"/>
      <c r="AA23" s="2603"/>
      <c r="AB23" s="2421"/>
      <c r="AC23" s="2421"/>
      <c r="AD23" s="2421"/>
      <c r="AE23" s="2502"/>
      <c r="AF23" s="2421"/>
      <c r="AG23" s="2502"/>
      <c r="AH23" s="2421"/>
      <c r="AI23" s="2502"/>
      <c r="AJ23" s="2421"/>
      <c r="AK23" s="2502"/>
      <c r="AL23" s="2421"/>
      <c r="AM23" s="2502"/>
      <c r="AN23" s="2421"/>
      <c r="AO23" s="2502"/>
      <c r="AP23" s="2421"/>
      <c r="AQ23" s="2502"/>
      <c r="AR23" s="2421"/>
      <c r="AS23" s="2502"/>
      <c r="AT23" s="2421"/>
      <c r="AU23" s="2502"/>
      <c r="AV23" s="2421"/>
      <c r="AW23" s="2502"/>
      <c r="AX23" s="2641"/>
      <c r="AY23" s="2643"/>
      <c r="AZ23" s="2502"/>
      <c r="BA23" s="2557"/>
      <c r="BB23" s="2557"/>
      <c r="BC23" s="2560"/>
      <c r="BD23" s="2502"/>
      <c r="BE23" s="2624"/>
      <c r="BF23" s="2597"/>
      <c r="BG23" s="2579"/>
      <c r="BH23" s="2597"/>
      <c r="BI23" s="2579"/>
      <c r="BJ23" s="2598"/>
    </row>
    <row r="24" spans="1:62" s="192" customFormat="1" ht="71.25" x14ac:dyDescent="0.2">
      <c r="A24" s="786"/>
      <c r="B24" s="499"/>
      <c r="C24" s="499"/>
      <c r="D24" s="498"/>
      <c r="E24" s="499"/>
      <c r="F24" s="588"/>
      <c r="G24" s="499"/>
      <c r="H24" s="499"/>
      <c r="I24" s="499"/>
      <c r="J24" s="2419"/>
      <c r="K24" s="2423"/>
      <c r="L24" s="2419"/>
      <c r="M24" s="2419"/>
      <c r="N24" s="2596"/>
      <c r="O24" s="2420"/>
      <c r="P24" s="2419"/>
      <c r="Q24" s="2423"/>
      <c r="R24" s="2609"/>
      <c r="S24" s="2602"/>
      <c r="T24" s="2431"/>
      <c r="U24" s="595" t="s">
        <v>320</v>
      </c>
      <c r="V24" s="595" t="s">
        <v>321</v>
      </c>
      <c r="W24" s="788">
        <v>1020000</v>
      </c>
      <c r="X24" s="788"/>
      <c r="Y24" s="788"/>
      <c r="Z24" s="2574"/>
      <c r="AA24" s="2596"/>
      <c r="AB24" s="2421"/>
      <c r="AC24" s="2421"/>
      <c r="AD24" s="2421"/>
      <c r="AE24" s="2518"/>
      <c r="AF24" s="2421"/>
      <c r="AG24" s="2518"/>
      <c r="AH24" s="2421"/>
      <c r="AI24" s="2518"/>
      <c r="AJ24" s="2421"/>
      <c r="AK24" s="2518"/>
      <c r="AL24" s="2421"/>
      <c r="AM24" s="2518"/>
      <c r="AN24" s="2421"/>
      <c r="AO24" s="2518"/>
      <c r="AP24" s="2421"/>
      <c r="AQ24" s="2518"/>
      <c r="AR24" s="2421"/>
      <c r="AS24" s="2518"/>
      <c r="AT24" s="2421"/>
      <c r="AU24" s="2518"/>
      <c r="AV24" s="2421"/>
      <c r="AW24" s="2518"/>
      <c r="AX24" s="2641"/>
      <c r="AY24" s="2644"/>
      <c r="AZ24" s="2518"/>
      <c r="BA24" s="2558"/>
      <c r="BB24" s="2558"/>
      <c r="BC24" s="2561"/>
      <c r="BD24" s="2518"/>
      <c r="BE24" s="2613"/>
      <c r="BF24" s="2597"/>
      <c r="BG24" s="2580"/>
      <c r="BH24" s="2597"/>
      <c r="BI24" s="2580"/>
      <c r="BJ24" s="2598"/>
    </row>
    <row r="25" spans="1:62" ht="39.75" customHeight="1" x14ac:dyDescent="0.2">
      <c r="A25" s="790"/>
      <c r="B25" s="202"/>
      <c r="C25" s="202"/>
      <c r="D25" s="791"/>
      <c r="E25" s="202"/>
      <c r="F25" s="792"/>
      <c r="G25" s="779">
        <v>84</v>
      </c>
      <c r="H25" s="105" t="s">
        <v>322</v>
      </c>
      <c r="I25" s="105"/>
      <c r="J25" s="104"/>
      <c r="K25" s="793"/>
      <c r="L25" s="104"/>
      <c r="M25" s="104"/>
      <c r="N25" s="104"/>
      <c r="O25" s="104"/>
      <c r="P25" s="794"/>
      <c r="Q25" s="793"/>
      <c r="R25" s="795"/>
      <c r="S25" s="796"/>
      <c r="T25" s="793"/>
      <c r="U25" s="797"/>
      <c r="V25" s="797"/>
      <c r="W25" s="796"/>
      <c r="X25" s="796"/>
      <c r="Y25" s="796"/>
      <c r="Z25" s="798"/>
      <c r="AA25" s="79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799"/>
      <c r="BB25" s="799"/>
      <c r="BC25" s="104"/>
      <c r="BD25" s="104"/>
      <c r="BE25" s="104"/>
      <c r="BF25" s="800"/>
      <c r="BG25" s="800"/>
      <c r="BH25" s="800"/>
      <c r="BI25" s="800"/>
      <c r="BJ25" s="793"/>
    </row>
    <row r="26" spans="1:62" s="192" customFormat="1" ht="102.75" customHeight="1" x14ac:dyDescent="0.2">
      <c r="A26" s="790"/>
      <c r="B26" s="202"/>
      <c r="C26" s="202"/>
      <c r="D26" s="791"/>
      <c r="E26" s="202"/>
      <c r="F26" s="792"/>
      <c r="G26" s="801"/>
      <c r="H26" s="202"/>
      <c r="I26" s="202"/>
      <c r="J26" s="2419">
        <v>248</v>
      </c>
      <c r="K26" s="2423" t="s">
        <v>323</v>
      </c>
      <c r="L26" s="2525" t="s">
        <v>324</v>
      </c>
      <c r="M26" s="2525">
        <v>12</v>
      </c>
      <c r="N26" s="2634">
        <v>2</v>
      </c>
      <c r="O26" s="2420" t="s">
        <v>325</v>
      </c>
      <c r="P26" s="2419">
        <v>15</v>
      </c>
      <c r="Q26" s="2423" t="s">
        <v>326</v>
      </c>
      <c r="R26" s="2529">
        <v>1</v>
      </c>
      <c r="S26" s="2553">
        <v>40000000</v>
      </c>
      <c r="T26" s="2638" t="s">
        <v>327</v>
      </c>
      <c r="U26" s="2423" t="s">
        <v>328</v>
      </c>
      <c r="V26" s="595" t="s">
        <v>329</v>
      </c>
      <c r="W26" s="802">
        <v>20000000</v>
      </c>
      <c r="X26" s="802"/>
      <c r="Y26" s="802"/>
      <c r="Z26" s="2527">
        <v>20</v>
      </c>
      <c r="AA26" s="2595" t="s">
        <v>208</v>
      </c>
      <c r="AB26" s="2421">
        <v>64149</v>
      </c>
      <c r="AC26" s="2501"/>
      <c r="AD26" s="2421">
        <v>72224</v>
      </c>
      <c r="AE26" s="2501"/>
      <c r="AF26" s="2421">
        <v>27477</v>
      </c>
      <c r="AG26" s="2501"/>
      <c r="AH26" s="2421">
        <v>86843</v>
      </c>
      <c r="AI26" s="2501"/>
      <c r="AJ26" s="2421">
        <v>236429</v>
      </c>
      <c r="AK26" s="2501"/>
      <c r="AL26" s="2421">
        <v>81384</v>
      </c>
      <c r="AM26" s="2501"/>
      <c r="AN26" s="2421">
        <v>2145</v>
      </c>
      <c r="AO26" s="2501"/>
      <c r="AP26" s="2421"/>
      <c r="AQ26" s="2501"/>
      <c r="AR26" s="2421"/>
      <c r="AS26" s="2501"/>
      <c r="AT26" s="2421">
        <v>491</v>
      </c>
      <c r="AU26" s="2501"/>
      <c r="AV26" s="2421">
        <v>16892</v>
      </c>
      <c r="AW26" s="2501"/>
      <c r="AX26" s="2421"/>
      <c r="AY26" s="2421">
        <v>81384</v>
      </c>
      <c r="AZ26" s="2628"/>
      <c r="BA26" s="2631"/>
      <c r="BB26" s="2631"/>
      <c r="BC26" s="2628"/>
      <c r="BD26" s="2628"/>
      <c r="BE26" s="2628"/>
      <c r="BF26" s="2551">
        <v>42745</v>
      </c>
      <c r="BG26" s="2496"/>
      <c r="BH26" s="2551">
        <v>43100</v>
      </c>
      <c r="BI26" s="2496"/>
      <c r="BJ26" s="2423" t="s">
        <v>307</v>
      </c>
    </row>
    <row r="27" spans="1:62" s="192" customFormat="1" ht="102.75" customHeight="1" x14ac:dyDescent="0.2">
      <c r="A27" s="790"/>
      <c r="B27" s="202"/>
      <c r="C27" s="202"/>
      <c r="D27" s="791"/>
      <c r="E27" s="202"/>
      <c r="F27" s="792"/>
      <c r="G27" s="202"/>
      <c r="H27" s="202"/>
      <c r="I27" s="202"/>
      <c r="J27" s="2419"/>
      <c r="K27" s="2423"/>
      <c r="L27" s="2525"/>
      <c r="M27" s="2525"/>
      <c r="N27" s="2635"/>
      <c r="O27" s="2420"/>
      <c r="P27" s="2419"/>
      <c r="Q27" s="2423"/>
      <c r="R27" s="2529"/>
      <c r="S27" s="2553"/>
      <c r="T27" s="2638"/>
      <c r="U27" s="2423"/>
      <c r="V27" s="595" t="s">
        <v>330</v>
      </c>
      <c r="W27" s="802">
        <v>1500000</v>
      </c>
      <c r="X27" s="802"/>
      <c r="Y27" s="802"/>
      <c r="Z27" s="2639"/>
      <c r="AA27" s="2603"/>
      <c r="AB27" s="2421"/>
      <c r="AC27" s="2502"/>
      <c r="AD27" s="2421"/>
      <c r="AE27" s="2502"/>
      <c r="AF27" s="2421"/>
      <c r="AG27" s="2502"/>
      <c r="AH27" s="2421"/>
      <c r="AI27" s="2502"/>
      <c r="AJ27" s="2421"/>
      <c r="AK27" s="2502"/>
      <c r="AL27" s="2421"/>
      <c r="AM27" s="2502"/>
      <c r="AN27" s="2421"/>
      <c r="AO27" s="2502"/>
      <c r="AP27" s="2421"/>
      <c r="AQ27" s="2502"/>
      <c r="AR27" s="2421"/>
      <c r="AS27" s="2502"/>
      <c r="AT27" s="2421"/>
      <c r="AU27" s="2502"/>
      <c r="AV27" s="2421"/>
      <c r="AW27" s="2502"/>
      <c r="AX27" s="2421"/>
      <c r="AY27" s="2421"/>
      <c r="AZ27" s="2629"/>
      <c r="BA27" s="2632"/>
      <c r="BB27" s="2632"/>
      <c r="BC27" s="2629"/>
      <c r="BD27" s="2629"/>
      <c r="BE27" s="2629"/>
      <c r="BF27" s="2551"/>
      <c r="BG27" s="2552"/>
      <c r="BH27" s="2551"/>
      <c r="BI27" s="2552"/>
      <c r="BJ27" s="2423"/>
    </row>
    <row r="28" spans="1:62" s="192" customFormat="1" ht="99.75" x14ac:dyDescent="0.2">
      <c r="A28" s="790"/>
      <c r="B28" s="202"/>
      <c r="C28" s="202"/>
      <c r="D28" s="791"/>
      <c r="E28" s="202"/>
      <c r="F28" s="792"/>
      <c r="G28" s="202"/>
      <c r="H28" s="202"/>
      <c r="I28" s="202"/>
      <c r="J28" s="2419"/>
      <c r="K28" s="2423"/>
      <c r="L28" s="2525"/>
      <c r="M28" s="2525"/>
      <c r="N28" s="2635"/>
      <c r="O28" s="2420"/>
      <c r="P28" s="2419"/>
      <c r="Q28" s="2423"/>
      <c r="R28" s="2529"/>
      <c r="S28" s="2553"/>
      <c r="T28" s="2638"/>
      <c r="U28" s="2423" t="s">
        <v>331</v>
      </c>
      <c r="V28" s="595" t="s">
        <v>332</v>
      </c>
      <c r="W28" s="802">
        <v>3300000</v>
      </c>
      <c r="X28" s="802"/>
      <c r="Y28" s="802"/>
      <c r="Z28" s="2639"/>
      <c r="AA28" s="2603"/>
      <c r="AB28" s="2421"/>
      <c r="AC28" s="2502"/>
      <c r="AD28" s="2421"/>
      <c r="AE28" s="2502"/>
      <c r="AF28" s="2421"/>
      <c r="AG28" s="2502"/>
      <c r="AH28" s="2421"/>
      <c r="AI28" s="2502"/>
      <c r="AJ28" s="2421"/>
      <c r="AK28" s="2502"/>
      <c r="AL28" s="2421"/>
      <c r="AM28" s="2502"/>
      <c r="AN28" s="2421"/>
      <c r="AO28" s="2502"/>
      <c r="AP28" s="2421"/>
      <c r="AQ28" s="2502"/>
      <c r="AR28" s="2421"/>
      <c r="AS28" s="2502"/>
      <c r="AT28" s="2421"/>
      <c r="AU28" s="2502"/>
      <c r="AV28" s="2421"/>
      <c r="AW28" s="2502"/>
      <c r="AX28" s="2421"/>
      <c r="AY28" s="2421"/>
      <c r="AZ28" s="2629"/>
      <c r="BA28" s="2632"/>
      <c r="BB28" s="2632"/>
      <c r="BC28" s="2629"/>
      <c r="BD28" s="2629"/>
      <c r="BE28" s="2629"/>
      <c r="BF28" s="2551"/>
      <c r="BG28" s="2552"/>
      <c r="BH28" s="2551"/>
      <c r="BI28" s="2552"/>
      <c r="BJ28" s="2423"/>
    </row>
    <row r="29" spans="1:62" s="192" customFormat="1" ht="22.5" customHeight="1" x14ac:dyDescent="0.2">
      <c r="A29" s="790"/>
      <c r="B29" s="202"/>
      <c r="C29" s="202"/>
      <c r="D29" s="791"/>
      <c r="E29" s="202"/>
      <c r="F29" s="792"/>
      <c r="G29" s="202"/>
      <c r="H29" s="202"/>
      <c r="I29" s="202"/>
      <c r="J29" s="2419"/>
      <c r="K29" s="2423"/>
      <c r="L29" s="2525"/>
      <c r="M29" s="2525"/>
      <c r="N29" s="2635"/>
      <c r="O29" s="2420"/>
      <c r="P29" s="2419"/>
      <c r="Q29" s="2423"/>
      <c r="R29" s="2529"/>
      <c r="S29" s="2553"/>
      <c r="T29" s="2638"/>
      <c r="U29" s="2423"/>
      <c r="V29" s="595" t="s">
        <v>333</v>
      </c>
      <c r="W29" s="802">
        <v>3200000</v>
      </c>
      <c r="X29" s="802"/>
      <c r="Y29" s="802"/>
      <c r="Z29" s="2639"/>
      <c r="AA29" s="2603"/>
      <c r="AB29" s="2421"/>
      <c r="AC29" s="2502"/>
      <c r="AD29" s="2421"/>
      <c r="AE29" s="2502"/>
      <c r="AF29" s="2421"/>
      <c r="AG29" s="2502"/>
      <c r="AH29" s="2421"/>
      <c r="AI29" s="2502"/>
      <c r="AJ29" s="2421"/>
      <c r="AK29" s="2502"/>
      <c r="AL29" s="2421"/>
      <c r="AM29" s="2502"/>
      <c r="AN29" s="2421"/>
      <c r="AO29" s="2502"/>
      <c r="AP29" s="2421"/>
      <c r="AQ29" s="2502"/>
      <c r="AR29" s="2421"/>
      <c r="AS29" s="2502"/>
      <c r="AT29" s="2421"/>
      <c r="AU29" s="2502"/>
      <c r="AV29" s="2421"/>
      <c r="AW29" s="2502"/>
      <c r="AX29" s="2421"/>
      <c r="AY29" s="2421"/>
      <c r="AZ29" s="2629"/>
      <c r="BA29" s="2632"/>
      <c r="BB29" s="2632"/>
      <c r="BC29" s="2629"/>
      <c r="BD29" s="2629"/>
      <c r="BE29" s="2629"/>
      <c r="BF29" s="2551"/>
      <c r="BG29" s="2552"/>
      <c r="BH29" s="2551"/>
      <c r="BI29" s="2552"/>
      <c r="BJ29" s="2423"/>
    </row>
    <row r="30" spans="1:62" s="192" customFormat="1" ht="22.5" customHeight="1" x14ac:dyDescent="0.2">
      <c r="A30" s="790"/>
      <c r="B30" s="202"/>
      <c r="C30" s="202"/>
      <c r="D30" s="791"/>
      <c r="E30" s="202"/>
      <c r="F30" s="792"/>
      <c r="G30" s="202"/>
      <c r="H30" s="202"/>
      <c r="I30" s="202"/>
      <c r="J30" s="2419"/>
      <c r="K30" s="2423"/>
      <c r="L30" s="2525"/>
      <c r="M30" s="2525"/>
      <c r="N30" s="2635"/>
      <c r="O30" s="2420"/>
      <c r="P30" s="2419"/>
      <c r="Q30" s="2423"/>
      <c r="R30" s="2529"/>
      <c r="S30" s="2553"/>
      <c r="T30" s="2638"/>
      <c r="U30" s="2423"/>
      <c r="V30" s="595" t="s">
        <v>334</v>
      </c>
      <c r="W30" s="802">
        <v>4800000</v>
      </c>
      <c r="X30" s="802"/>
      <c r="Y30" s="802"/>
      <c r="Z30" s="2639"/>
      <c r="AA30" s="2603"/>
      <c r="AB30" s="2421"/>
      <c r="AC30" s="2502"/>
      <c r="AD30" s="2421"/>
      <c r="AE30" s="2502"/>
      <c r="AF30" s="2421"/>
      <c r="AG30" s="2502"/>
      <c r="AH30" s="2421"/>
      <c r="AI30" s="2502"/>
      <c r="AJ30" s="2421"/>
      <c r="AK30" s="2502"/>
      <c r="AL30" s="2421"/>
      <c r="AM30" s="2502"/>
      <c r="AN30" s="2421"/>
      <c r="AO30" s="2502"/>
      <c r="AP30" s="2421"/>
      <c r="AQ30" s="2502"/>
      <c r="AR30" s="2421"/>
      <c r="AS30" s="2502"/>
      <c r="AT30" s="2421"/>
      <c r="AU30" s="2502"/>
      <c r="AV30" s="2421"/>
      <c r="AW30" s="2502"/>
      <c r="AX30" s="2421"/>
      <c r="AY30" s="2421"/>
      <c r="AZ30" s="2629"/>
      <c r="BA30" s="2632"/>
      <c r="BB30" s="2632"/>
      <c r="BC30" s="2629"/>
      <c r="BD30" s="2629"/>
      <c r="BE30" s="2629"/>
      <c r="BF30" s="2551"/>
      <c r="BG30" s="2552"/>
      <c r="BH30" s="2551"/>
      <c r="BI30" s="2552"/>
      <c r="BJ30" s="2423"/>
    </row>
    <row r="31" spans="1:62" s="192" customFormat="1" ht="22.5" customHeight="1" x14ac:dyDescent="0.2">
      <c r="A31" s="790"/>
      <c r="B31" s="202"/>
      <c r="C31" s="202"/>
      <c r="D31" s="803"/>
      <c r="E31" s="804"/>
      <c r="F31" s="805"/>
      <c r="G31" s="803"/>
      <c r="H31" s="804"/>
      <c r="I31" s="805"/>
      <c r="J31" s="2419"/>
      <c r="K31" s="2423"/>
      <c r="L31" s="2525"/>
      <c r="M31" s="2525"/>
      <c r="N31" s="2636"/>
      <c r="O31" s="2420"/>
      <c r="P31" s="2419"/>
      <c r="Q31" s="2423"/>
      <c r="R31" s="2529"/>
      <c r="S31" s="2553"/>
      <c r="T31" s="2638"/>
      <c r="U31" s="2423"/>
      <c r="V31" s="595" t="s">
        <v>335</v>
      </c>
      <c r="W31" s="802">
        <v>7200000</v>
      </c>
      <c r="X31" s="802"/>
      <c r="Y31" s="802"/>
      <c r="Z31" s="2528"/>
      <c r="AA31" s="2596"/>
      <c r="AB31" s="2421"/>
      <c r="AC31" s="2518"/>
      <c r="AD31" s="2421"/>
      <c r="AE31" s="2518"/>
      <c r="AF31" s="2421"/>
      <c r="AG31" s="2518"/>
      <c r="AH31" s="2421"/>
      <c r="AI31" s="2518"/>
      <c r="AJ31" s="2421"/>
      <c r="AK31" s="2518"/>
      <c r="AL31" s="2421"/>
      <c r="AM31" s="2518"/>
      <c r="AN31" s="2421"/>
      <c r="AO31" s="2518"/>
      <c r="AP31" s="2421"/>
      <c r="AQ31" s="2518"/>
      <c r="AR31" s="2421"/>
      <c r="AS31" s="2518"/>
      <c r="AT31" s="2421"/>
      <c r="AU31" s="2518"/>
      <c r="AV31" s="2421"/>
      <c r="AW31" s="2518"/>
      <c r="AX31" s="2421"/>
      <c r="AY31" s="2421"/>
      <c r="AZ31" s="2630"/>
      <c r="BA31" s="2633"/>
      <c r="BB31" s="2633"/>
      <c r="BC31" s="2630"/>
      <c r="BD31" s="2630"/>
      <c r="BE31" s="2630"/>
      <c r="BF31" s="2551"/>
      <c r="BG31" s="2497"/>
      <c r="BH31" s="2551"/>
      <c r="BI31" s="2497"/>
      <c r="BJ31" s="2423"/>
    </row>
    <row r="32" spans="1:62" ht="38.25" customHeight="1" x14ac:dyDescent="0.2">
      <c r="A32" s="790"/>
      <c r="B32" s="202"/>
      <c r="C32" s="792"/>
      <c r="D32" s="766">
        <v>27</v>
      </c>
      <c r="E32" s="54" t="s">
        <v>336</v>
      </c>
      <c r="F32" s="54"/>
      <c r="G32" s="767"/>
      <c r="H32" s="767"/>
      <c r="I32" s="767"/>
      <c r="J32" s="806"/>
      <c r="K32" s="807"/>
      <c r="L32" s="806"/>
      <c r="M32" s="806"/>
      <c r="N32" s="806"/>
      <c r="O32" s="806"/>
      <c r="P32" s="808"/>
      <c r="Q32" s="807"/>
      <c r="R32" s="809"/>
      <c r="S32" s="810"/>
      <c r="T32" s="807"/>
      <c r="U32" s="811"/>
      <c r="V32" s="811"/>
      <c r="W32" s="810"/>
      <c r="X32" s="810"/>
      <c r="Y32" s="810"/>
      <c r="Z32" s="812"/>
      <c r="AA32" s="806"/>
      <c r="AB32" s="806"/>
      <c r="AC32" s="806"/>
      <c r="AD32" s="806"/>
      <c r="AE32" s="806"/>
      <c r="AF32" s="806"/>
      <c r="AG32" s="806"/>
      <c r="AH32" s="806"/>
      <c r="AI32" s="806"/>
      <c r="AJ32" s="806"/>
      <c r="AK32" s="806"/>
      <c r="AL32" s="806"/>
      <c r="AM32" s="806"/>
      <c r="AN32" s="806"/>
      <c r="AO32" s="806"/>
      <c r="AP32" s="806"/>
      <c r="AQ32" s="806"/>
      <c r="AR32" s="806"/>
      <c r="AS32" s="806"/>
      <c r="AT32" s="806"/>
      <c r="AU32" s="806"/>
      <c r="AV32" s="806"/>
      <c r="AW32" s="806"/>
      <c r="AX32" s="806"/>
      <c r="AY32" s="806"/>
      <c r="AZ32" s="806"/>
      <c r="BA32" s="813"/>
      <c r="BB32" s="813"/>
      <c r="BC32" s="806"/>
      <c r="BD32" s="806"/>
      <c r="BE32" s="806"/>
      <c r="BF32" s="814"/>
      <c r="BG32" s="814"/>
      <c r="BH32" s="814"/>
      <c r="BI32" s="814"/>
      <c r="BJ32" s="807"/>
    </row>
    <row r="33" spans="1:62" ht="32.25" customHeight="1" x14ac:dyDescent="0.2">
      <c r="A33" s="790"/>
      <c r="B33" s="202"/>
      <c r="C33" s="792"/>
      <c r="D33" s="815"/>
      <c r="E33" s="801"/>
      <c r="F33" s="816"/>
      <c r="G33" s="817">
        <v>85</v>
      </c>
      <c r="H33" s="818" t="s">
        <v>337</v>
      </c>
      <c r="I33" s="818"/>
      <c r="J33" s="104"/>
      <c r="K33" s="793"/>
      <c r="L33" s="104"/>
      <c r="M33" s="104"/>
      <c r="N33" s="104"/>
      <c r="O33" s="104"/>
      <c r="P33" s="794"/>
      <c r="Q33" s="793"/>
      <c r="R33" s="795"/>
      <c r="S33" s="796"/>
      <c r="T33" s="793"/>
      <c r="U33" s="797"/>
      <c r="V33" s="797"/>
      <c r="W33" s="796"/>
      <c r="X33" s="796"/>
      <c r="Y33" s="796"/>
      <c r="Z33" s="798"/>
      <c r="AA33" s="79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799"/>
      <c r="BB33" s="799"/>
      <c r="BC33" s="104"/>
      <c r="BD33" s="104"/>
      <c r="BE33" s="104"/>
      <c r="BF33" s="800"/>
      <c r="BG33" s="800"/>
      <c r="BH33" s="800"/>
      <c r="BI33" s="800"/>
      <c r="BJ33" s="793"/>
    </row>
    <row r="34" spans="1:62" s="827" customFormat="1" ht="88.5" customHeight="1" x14ac:dyDescent="0.25">
      <c r="A34" s="819"/>
      <c r="B34" s="820"/>
      <c r="C34" s="821"/>
      <c r="D34" s="822"/>
      <c r="E34" s="820"/>
      <c r="F34" s="820"/>
      <c r="G34" s="823"/>
      <c r="H34" s="824"/>
      <c r="I34" s="824"/>
      <c r="J34" s="2419">
        <v>249</v>
      </c>
      <c r="K34" s="2423" t="s">
        <v>338</v>
      </c>
      <c r="L34" s="2457" t="s">
        <v>324</v>
      </c>
      <c r="M34" s="2525">
        <v>1</v>
      </c>
      <c r="N34" s="2634">
        <v>0.3</v>
      </c>
      <c r="O34" s="2532" t="s">
        <v>339</v>
      </c>
      <c r="P34" s="2419">
        <v>7</v>
      </c>
      <c r="Q34" s="2423" t="s">
        <v>340</v>
      </c>
      <c r="R34" s="2529">
        <v>1</v>
      </c>
      <c r="S34" s="2553">
        <v>140000000</v>
      </c>
      <c r="T34" s="2431" t="s">
        <v>341</v>
      </c>
      <c r="U34" s="2423" t="s">
        <v>342</v>
      </c>
      <c r="V34" s="825" t="s">
        <v>343</v>
      </c>
      <c r="W34" s="826">
        <f>7000000+2000000</f>
        <v>9000000</v>
      </c>
      <c r="X34" s="826"/>
      <c r="Y34" s="826"/>
      <c r="Z34" s="2519">
        <v>20</v>
      </c>
      <c r="AA34" s="2662" t="s">
        <v>344</v>
      </c>
      <c r="AB34" s="2435"/>
      <c r="AC34" s="2541"/>
      <c r="AD34" s="2435"/>
      <c r="AE34" s="2541"/>
      <c r="AF34" s="2435"/>
      <c r="AG34" s="2541"/>
      <c r="AH34" s="2421">
        <v>20</v>
      </c>
      <c r="AI34" s="2501"/>
      <c r="AJ34" s="2421">
        <v>150</v>
      </c>
      <c r="AK34" s="2501"/>
      <c r="AL34" s="2421">
        <v>10</v>
      </c>
      <c r="AM34" s="2501"/>
      <c r="AN34" s="2435"/>
      <c r="AO34" s="2541"/>
      <c r="AP34" s="2435"/>
      <c r="AQ34" s="2541"/>
      <c r="AR34" s="2435"/>
      <c r="AS34" s="2541"/>
      <c r="AT34" s="2435"/>
      <c r="AU34" s="2541"/>
      <c r="AV34" s="2435"/>
      <c r="AW34" s="2541"/>
      <c r="AX34" s="2435"/>
      <c r="AY34" s="2541"/>
      <c r="AZ34" s="2541">
        <v>1</v>
      </c>
      <c r="BA34" s="2511">
        <f>SUM(X34:X41)</f>
        <v>0</v>
      </c>
      <c r="BB34" s="2511"/>
      <c r="BC34" s="2513">
        <v>0</v>
      </c>
      <c r="BD34" s="2541"/>
      <c r="BE34" s="2541"/>
      <c r="BF34" s="2551">
        <v>42767</v>
      </c>
      <c r="BG34" s="2496">
        <v>42769</v>
      </c>
      <c r="BH34" s="2551">
        <v>43100</v>
      </c>
      <c r="BI34" s="2496"/>
      <c r="BJ34" s="2637" t="s">
        <v>307</v>
      </c>
    </row>
    <row r="35" spans="1:62" s="827" customFormat="1" ht="66" customHeight="1" x14ac:dyDescent="0.25">
      <c r="A35" s="819"/>
      <c r="B35" s="820"/>
      <c r="C35" s="821"/>
      <c r="D35" s="822"/>
      <c r="E35" s="820"/>
      <c r="F35" s="820"/>
      <c r="G35" s="822"/>
      <c r="H35" s="820"/>
      <c r="I35" s="820"/>
      <c r="J35" s="2419"/>
      <c r="K35" s="2423"/>
      <c r="L35" s="2457"/>
      <c r="M35" s="2525"/>
      <c r="N35" s="2635"/>
      <c r="O35" s="2533"/>
      <c r="P35" s="2419"/>
      <c r="Q35" s="2423"/>
      <c r="R35" s="2529"/>
      <c r="S35" s="2553"/>
      <c r="T35" s="2431"/>
      <c r="U35" s="2423"/>
      <c r="V35" s="825" t="s">
        <v>345</v>
      </c>
      <c r="W35" s="826">
        <v>8000000</v>
      </c>
      <c r="X35" s="826"/>
      <c r="Y35" s="826"/>
      <c r="Z35" s="2520"/>
      <c r="AA35" s="2663"/>
      <c r="AB35" s="2435"/>
      <c r="AC35" s="2542"/>
      <c r="AD35" s="2435"/>
      <c r="AE35" s="2542"/>
      <c r="AF35" s="2435"/>
      <c r="AG35" s="2542"/>
      <c r="AH35" s="2421"/>
      <c r="AI35" s="2502"/>
      <c r="AJ35" s="2421"/>
      <c r="AK35" s="2502"/>
      <c r="AL35" s="2421"/>
      <c r="AM35" s="2502"/>
      <c r="AN35" s="2435"/>
      <c r="AO35" s="2542"/>
      <c r="AP35" s="2435"/>
      <c r="AQ35" s="2542"/>
      <c r="AR35" s="2435"/>
      <c r="AS35" s="2542"/>
      <c r="AT35" s="2435"/>
      <c r="AU35" s="2542"/>
      <c r="AV35" s="2435"/>
      <c r="AW35" s="2542"/>
      <c r="AX35" s="2435"/>
      <c r="AY35" s="2542"/>
      <c r="AZ35" s="2542"/>
      <c r="BA35" s="2543"/>
      <c r="BB35" s="2543"/>
      <c r="BC35" s="2544"/>
      <c r="BD35" s="2542"/>
      <c r="BE35" s="2542"/>
      <c r="BF35" s="2551"/>
      <c r="BG35" s="2552"/>
      <c r="BH35" s="2551"/>
      <c r="BI35" s="2552"/>
      <c r="BJ35" s="2637"/>
    </row>
    <row r="36" spans="1:62" s="827" customFormat="1" ht="92.25" customHeight="1" x14ac:dyDescent="0.25">
      <c r="A36" s="819"/>
      <c r="B36" s="820"/>
      <c r="C36" s="821"/>
      <c r="D36" s="822"/>
      <c r="E36" s="820"/>
      <c r="F36" s="820"/>
      <c r="G36" s="822"/>
      <c r="H36" s="820"/>
      <c r="I36" s="820"/>
      <c r="J36" s="2419"/>
      <c r="K36" s="2423"/>
      <c r="L36" s="2457"/>
      <c r="M36" s="2525"/>
      <c r="N36" s="2635"/>
      <c r="O36" s="2533"/>
      <c r="P36" s="2419"/>
      <c r="Q36" s="2423"/>
      <c r="R36" s="2529"/>
      <c r="S36" s="2553"/>
      <c r="T36" s="2431"/>
      <c r="U36" s="2423"/>
      <c r="V36" s="825" t="s">
        <v>346</v>
      </c>
      <c r="W36" s="826">
        <f>29000000+3000000</f>
        <v>32000000</v>
      </c>
      <c r="X36" s="826"/>
      <c r="Y36" s="826"/>
      <c r="Z36" s="2520"/>
      <c r="AA36" s="2663"/>
      <c r="AB36" s="2435"/>
      <c r="AC36" s="2542"/>
      <c r="AD36" s="2435"/>
      <c r="AE36" s="2542"/>
      <c r="AF36" s="2435"/>
      <c r="AG36" s="2542"/>
      <c r="AH36" s="2421"/>
      <c r="AI36" s="2502"/>
      <c r="AJ36" s="2421"/>
      <c r="AK36" s="2502"/>
      <c r="AL36" s="2421"/>
      <c r="AM36" s="2502"/>
      <c r="AN36" s="2435"/>
      <c r="AO36" s="2542"/>
      <c r="AP36" s="2435"/>
      <c r="AQ36" s="2542"/>
      <c r="AR36" s="2435"/>
      <c r="AS36" s="2542"/>
      <c r="AT36" s="2435"/>
      <c r="AU36" s="2542"/>
      <c r="AV36" s="2435"/>
      <c r="AW36" s="2542"/>
      <c r="AX36" s="2435"/>
      <c r="AY36" s="2542"/>
      <c r="AZ36" s="2542"/>
      <c r="BA36" s="2543"/>
      <c r="BB36" s="2543"/>
      <c r="BC36" s="2544"/>
      <c r="BD36" s="2542"/>
      <c r="BE36" s="2542"/>
      <c r="BF36" s="2551"/>
      <c r="BG36" s="2552"/>
      <c r="BH36" s="2551"/>
      <c r="BI36" s="2552"/>
      <c r="BJ36" s="2637"/>
    </row>
    <row r="37" spans="1:62" s="827" customFormat="1" ht="49.5" customHeight="1" x14ac:dyDescent="0.25">
      <c r="A37" s="819"/>
      <c r="B37" s="820"/>
      <c r="C37" s="821"/>
      <c r="D37" s="822"/>
      <c r="E37" s="820"/>
      <c r="F37" s="820"/>
      <c r="G37" s="822"/>
      <c r="H37" s="820"/>
      <c r="I37" s="820"/>
      <c r="J37" s="2419"/>
      <c r="K37" s="2423"/>
      <c r="L37" s="2457"/>
      <c r="M37" s="2525"/>
      <c r="N37" s="2635"/>
      <c r="O37" s="2533"/>
      <c r="P37" s="2419"/>
      <c r="Q37" s="2423"/>
      <c r="R37" s="2529"/>
      <c r="S37" s="2553"/>
      <c r="T37" s="2431"/>
      <c r="U37" s="2423"/>
      <c r="V37" s="825" t="s">
        <v>347</v>
      </c>
      <c r="W37" s="826">
        <v>5000000</v>
      </c>
      <c r="X37" s="826"/>
      <c r="Y37" s="826"/>
      <c r="Z37" s="2520"/>
      <c r="AA37" s="2663"/>
      <c r="AB37" s="2435"/>
      <c r="AC37" s="2542"/>
      <c r="AD37" s="2435"/>
      <c r="AE37" s="2542"/>
      <c r="AF37" s="2435"/>
      <c r="AG37" s="2542"/>
      <c r="AH37" s="2421"/>
      <c r="AI37" s="2502"/>
      <c r="AJ37" s="2421"/>
      <c r="AK37" s="2502"/>
      <c r="AL37" s="2421"/>
      <c r="AM37" s="2502"/>
      <c r="AN37" s="2435"/>
      <c r="AO37" s="2542"/>
      <c r="AP37" s="2435"/>
      <c r="AQ37" s="2542"/>
      <c r="AR37" s="2435"/>
      <c r="AS37" s="2542"/>
      <c r="AT37" s="2435"/>
      <c r="AU37" s="2542"/>
      <c r="AV37" s="2435"/>
      <c r="AW37" s="2542"/>
      <c r="AX37" s="2435"/>
      <c r="AY37" s="2542"/>
      <c r="AZ37" s="2542"/>
      <c r="BA37" s="2543"/>
      <c r="BB37" s="2543"/>
      <c r="BC37" s="2544"/>
      <c r="BD37" s="2542"/>
      <c r="BE37" s="2542"/>
      <c r="BF37" s="2551"/>
      <c r="BG37" s="2552"/>
      <c r="BH37" s="2551"/>
      <c r="BI37" s="2552"/>
      <c r="BJ37" s="2637"/>
    </row>
    <row r="38" spans="1:62" s="827" customFormat="1" ht="51" customHeight="1" x14ac:dyDescent="0.25">
      <c r="A38" s="819"/>
      <c r="B38" s="820"/>
      <c r="C38" s="821"/>
      <c r="D38" s="822"/>
      <c r="E38" s="820"/>
      <c r="F38" s="820"/>
      <c r="G38" s="822"/>
      <c r="H38" s="820"/>
      <c r="I38" s="820"/>
      <c r="J38" s="2419"/>
      <c r="K38" s="2423"/>
      <c r="L38" s="2457"/>
      <c r="M38" s="2525"/>
      <c r="N38" s="2635"/>
      <c r="O38" s="2503" t="s">
        <v>348</v>
      </c>
      <c r="P38" s="2419"/>
      <c r="Q38" s="2423"/>
      <c r="R38" s="2529"/>
      <c r="S38" s="2553"/>
      <c r="T38" s="2431"/>
      <c r="U38" s="2423"/>
      <c r="V38" s="825" t="s">
        <v>349</v>
      </c>
      <c r="W38" s="826">
        <f>2000000-2000000</f>
        <v>0</v>
      </c>
      <c r="X38" s="826"/>
      <c r="Y38" s="826"/>
      <c r="Z38" s="2531">
        <v>88</v>
      </c>
      <c r="AA38" s="2503" t="s">
        <v>350</v>
      </c>
      <c r="AB38" s="2435"/>
      <c r="AC38" s="2542"/>
      <c r="AD38" s="2435"/>
      <c r="AE38" s="2542"/>
      <c r="AF38" s="2435"/>
      <c r="AG38" s="2542"/>
      <c r="AH38" s="2421"/>
      <c r="AI38" s="2502"/>
      <c r="AJ38" s="2421"/>
      <c r="AK38" s="2502"/>
      <c r="AL38" s="2421"/>
      <c r="AM38" s="2502"/>
      <c r="AN38" s="2435"/>
      <c r="AO38" s="2542"/>
      <c r="AP38" s="2435"/>
      <c r="AQ38" s="2542"/>
      <c r="AR38" s="2435"/>
      <c r="AS38" s="2542"/>
      <c r="AT38" s="2435"/>
      <c r="AU38" s="2542"/>
      <c r="AV38" s="2435"/>
      <c r="AW38" s="2542"/>
      <c r="AX38" s="2435"/>
      <c r="AY38" s="2542"/>
      <c r="AZ38" s="2542"/>
      <c r="BA38" s="2543"/>
      <c r="BB38" s="2543"/>
      <c r="BC38" s="2544"/>
      <c r="BD38" s="2542"/>
      <c r="BE38" s="2542"/>
      <c r="BF38" s="2551"/>
      <c r="BG38" s="2552"/>
      <c r="BH38" s="2551"/>
      <c r="BI38" s="2552"/>
      <c r="BJ38" s="2637"/>
    </row>
    <row r="39" spans="1:62" s="827" customFormat="1" ht="36" customHeight="1" x14ac:dyDescent="0.25">
      <c r="A39" s="819"/>
      <c r="B39" s="820"/>
      <c r="C39" s="821"/>
      <c r="D39" s="822"/>
      <c r="E39" s="820"/>
      <c r="F39" s="820"/>
      <c r="G39" s="822"/>
      <c r="H39" s="820"/>
      <c r="I39" s="820"/>
      <c r="J39" s="2419"/>
      <c r="K39" s="2423"/>
      <c r="L39" s="2457"/>
      <c r="M39" s="2525"/>
      <c r="N39" s="2635"/>
      <c r="O39" s="2503"/>
      <c r="P39" s="2419"/>
      <c r="Q39" s="2423"/>
      <c r="R39" s="2529"/>
      <c r="S39" s="2553"/>
      <c r="T39" s="2431"/>
      <c r="U39" s="568" t="s">
        <v>351</v>
      </c>
      <c r="V39" s="825" t="s">
        <v>352</v>
      </c>
      <c r="W39" s="826">
        <f>21000000-14000000</f>
        <v>7000000</v>
      </c>
      <c r="X39" s="826"/>
      <c r="Y39" s="826"/>
      <c r="Z39" s="2531"/>
      <c r="AA39" s="2503"/>
      <c r="AB39" s="2435"/>
      <c r="AC39" s="2542"/>
      <c r="AD39" s="2435"/>
      <c r="AE39" s="2542"/>
      <c r="AF39" s="2435"/>
      <c r="AG39" s="2542"/>
      <c r="AH39" s="2421"/>
      <c r="AI39" s="2502"/>
      <c r="AJ39" s="2421"/>
      <c r="AK39" s="2502"/>
      <c r="AL39" s="2421"/>
      <c r="AM39" s="2502"/>
      <c r="AN39" s="2435"/>
      <c r="AO39" s="2542"/>
      <c r="AP39" s="2435"/>
      <c r="AQ39" s="2542"/>
      <c r="AR39" s="2435"/>
      <c r="AS39" s="2542"/>
      <c r="AT39" s="2435"/>
      <c r="AU39" s="2542"/>
      <c r="AV39" s="2435"/>
      <c r="AW39" s="2542"/>
      <c r="AX39" s="2435"/>
      <c r="AY39" s="2542"/>
      <c r="AZ39" s="2542"/>
      <c r="BA39" s="2543"/>
      <c r="BB39" s="2543"/>
      <c r="BC39" s="2544"/>
      <c r="BD39" s="2542"/>
      <c r="BE39" s="2542"/>
      <c r="BF39" s="2551"/>
      <c r="BG39" s="2552"/>
      <c r="BH39" s="2551"/>
      <c r="BI39" s="2552"/>
      <c r="BJ39" s="2637"/>
    </row>
    <row r="40" spans="1:62" s="827" customFormat="1" ht="58.5" customHeight="1" x14ac:dyDescent="0.25">
      <c r="A40" s="819"/>
      <c r="B40" s="820"/>
      <c r="C40" s="821"/>
      <c r="D40" s="822"/>
      <c r="E40" s="820"/>
      <c r="F40" s="820"/>
      <c r="G40" s="822"/>
      <c r="H40" s="820"/>
      <c r="I40" s="820"/>
      <c r="J40" s="2419"/>
      <c r="K40" s="2423"/>
      <c r="L40" s="2457"/>
      <c r="M40" s="2525"/>
      <c r="N40" s="2635"/>
      <c r="O40" s="2503"/>
      <c r="P40" s="2419"/>
      <c r="Q40" s="2423"/>
      <c r="R40" s="2529"/>
      <c r="S40" s="2553"/>
      <c r="T40" s="2431"/>
      <c r="U40" s="62" t="s">
        <v>353</v>
      </c>
      <c r="V40" s="62" t="s">
        <v>354</v>
      </c>
      <c r="W40" s="826">
        <v>67000000</v>
      </c>
      <c r="X40" s="826"/>
      <c r="Y40" s="826"/>
      <c r="Z40" s="2531"/>
      <c r="AA40" s="2503"/>
      <c r="AB40" s="2435"/>
      <c r="AC40" s="2542"/>
      <c r="AD40" s="2435"/>
      <c r="AE40" s="2542"/>
      <c r="AF40" s="2435"/>
      <c r="AG40" s="2542"/>
      <c r="AH40" s="2421"/>
      <c r="AI40" s="2502"/>
      <c r="AJ40" s="2421"/>
      <c r="AK40" s="2502"/>
      <c r="AL40" s="2421"/>
      <c r="AM40" s="2502"/>
      <c r="AN40" s="2435"/>
      <c r="AO40" s="2542"/>
      <c r="AP40" s="2435"/>
      <c r="AQ40" s="2542"/>
      <c r="AR40" s="2435"/>
      <c r="AS40" s="2542"/>
      <c r="AT40" s="2435"/>
      <c r="AU40" s="2542"/>
      <c r="AV40" s="2435"/>
      <c r="AW40" s="2542"/>
      <c r="AX40" s="2435"/>
      <c r="AY40" s="2542"/>
      <c r="AZ40" s="2542"/>
      <c r="BA40" s="2543"/>
      <c r="BB40" s="2543"/>
      <c r="BC40" s="2544"/>
      <c r="BD40" s="2542"/>
      <c r="BE40" s="2542"/>
      <c r="BF40" s="2551"/>
      <c r="BG40" s="2552"/>
      <c r="BH40" s="2551"/>
      <c r="BI40" s="2552"/>
      <c r="BJ40" s="2637"/>
    </row>
    <row r="41" spans="1:62" s="827" customFormat="1" ht="33.75" customHeight="1" x14ac:dyDescent="0.25">
      <c r="A41" s="819"/>
      <c r="B41" s="820"/>
      <c r="C41" s="821"/>
      <c r="D41" s="828"/>
      <c r="E41" s="829"/>
      <c r="F41" s="829"/>
      <c r="G41" s="828"/>
      <c r="H41" s="829"/>
      <c r="I41" s="829"/>
      <c r="J41" s="2419"/>
      <c r="K41" s="2423"/>
      <c r="L41" s="2457"/>
      <c r="M41" s="2525"/>
      <c r="N41" s="2636"/>
      <c r="O41" s="2504"/>
      <c r="P41" s="2419"/>
      <c r="Q41" s="2423"/>
      <c r="R41" s="2529"/>
      <c r="S41" s="2553"/>
      <c r="T41" s="2431"/>
      <c r="U41" s="62" t="s">
        <v>355</v>
      </c>
      <c r="V41" s="62" t="s">
        <v>356</v>
      </c>
      <c r="W41" s="826">
        <v>12000000</v>
      </c>
      <c r="X41" s="826"/>
      <c r="Y41" s="826"/>
      <c r="Z41" s="2619"/>
      <c r="AA41" s="2504"/>
      <c r="AB41" s="2435"/>
      <c r="AC41" s="2627"/>
      <c r="AD41" s="2435"/>
      <c r="AE41" s="2627"/>
      <c r="AF41" s="2435"/>
      <c r="AG41" s="2627"/>
      <c r="AH41" s="2421"/>
      <c r="AI41" s="2518"/>
      <c r="AJ41" s="2421"/>
      <c r="AK41" s="2518"/>
      <c r="AL41" s="2421"/>
      <c r="AM41" s="2518"/>
      <c r="AN41" s="2435"/>
      <c r="AO41" s="2627"/>
      <c r="AP41" s="2435"/>
      <c r="AQ41" s="2627"/>
      <c r="AR41" s="2435"/>
      <c r="AS41" s="2627"/>
      <c r="AT41" s="2435"/>
      <c r="AU41" s="2627"/>
      <c r="AV41" s="2435"/>
      <c r="AW41" s="2627"/>
      <c r="AX41" s="2435"/>
      <c r="AY41" s="2627"/>
      <c r="AZ41" s="2627"/>
      <c r="BA41" s="2512"/>
      <c r="BB41" s="2512"/>
      <c r="BC41" s="2514"/>
      <c r="BD41" s="2627"/>
      <c r="BE41" s="2627"/>
      <c r="BF41" s="2551"/>
      <c r="BG41" s="2497"/>
      <c r="BH41" s="2551"/>
      <c r="BI41" s="2497"/>
      <c r="BJ41" s="2637"/>
    </row>
    <row r="42" spans="1:62" ht="36.75" customHeight="1" x14ac:dyDescent="0.2">
      <c r="A42" s="790"/>
      <c r="B42" s="202"/>
      <c r="C42" s="792"/>
      <c r="D42" s="830">
        <v>28</v>
      </c>
      <c r="E42" s="830"/>
      <c r="F42" s="323" t="s">
        <v>357</v>
      </c>
      <c r="G42" s="767"/>
      <c r="H42" s="767"/>
      <c r="I42" s="767"/>
      <c r="J42" s="806"/>
      <c r="K42" s="807"/>
      <c r="L42" s="806"/>
      <c r="M42" s="806"/>
      <c r="N42" s="806"/>
      <c r="O42" s="806"/>
      <c r="P42" s="808"/>
      <c r="Q42" s="807"/>
      <c r="R42" s="809"/>
      <c r="S42" s="810"/>
      <c r="T42" s="807"/>
      <c r="U42" s="811"/>
      <c r="V42" s="811"/>
      <c r="W42" s="810"/>
      <c r="X42" s="810"/>
      <c r="Y42" s="810"/>
      <c r="Z42" s="812"/>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806"/>
      <c r="AY42" s="806"/>
      <c r="AZ42" s="806"/>
      <c r="BA42" s="813"/>
      <c r="BB42" s="813"/>
      <c r="BC42" s="806"/>
      <c r="BD42" s="806"/>
      <c r="BE42" s="806"/>
      <c r="BF42" s="814"/>
      <c r="BG42" s="814"/>
      <c r="BH42" s="814"/>
      <c r="BI42" s="814"/>
      <c r="BJ42" s="807"/>
    </row>
    <row r="43" spans="1:62" ht="39" customHeight="1" x14ac:dyDescent="0.2">
      <c r="A43" s="790"/>
      <c r="B43" s="202"/>
      <c r="C43" s="202"/>
      <c r="D43" s="815"/>
      <c r="E43" s="801"/>
      <c r="F43" s="816"/>
      <c r="G43" s="831">
        <v>87</v>
      </c>
      <c r="H43" s="832" t="s">
        <v>358</v>
      </c>
      <c r="I43" s="832"/>
      <c r="J43" s="104"/>
      <c r="K43" s="793"/>
      <c r="L43" s="104"/>
      <c r="M43" s="104"/>
      <c r="N43" s="104"/>
      <c r="O43" s="104"/>
      <c r="P43" s="794"/>
      <c r="Q43" s="793"/>
      <c r="R43" s="795"/>
      <c r="S43" s="796"/>
      <c r="T43" s="793"/>
      <c r="U43" s="797"/>
      <c r="V43" s="797"/>
      <c r="W43" s="796"/>
      <c r="X43" s="796"/>
      <c r="Y43" s="796"/>
      <c r="Z43" s="833"/>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799"/>
      <c r="BB43" s="799"/>
      <c r="BC43" s="104"/>
      <c r="BD43" s="104"/>
      <c r="BE43" s="104"/>
      <c r="BF43" s="800"/>
      <c r="BG43" s="800"/>
      <c r="BH43" s="800"/>
      <c r="BI43" s="800"/>
      <c r="BJ43" s="793"/>
    </row>
    <row r="44" spans="1:62" s="51" customFormat="1" ht="33.75" customHeight="1" x14ac:dyDescent="0.2">
      <c r="A44" s="834"/>
      <c r="B44" s="835"/>
      <c r="C44" s="835"/>
      <c r="D44" s="836"/>
      <c r="E44" s="835"/>
      <c r="F44" s="835"/>
      <c r="G44" s="837"/>
      <c r="H44" s="838"/>
      <c r="I44" s="838"/>
      <c r="J44" s="2421">
        <v>257</v>
      </c>
      <c r="K44" s="2431" t="s">
        <v>359</v>
      </c>
      <c r="L44" s="2435" t="s">
        <v>324</v>
      </c>
      <c r="M44" s="2421">
        <v>1</v>
      </c>
      <c r="N44" s="2656">
        <v>0.3</v>
      </c>
      <c r="O44" s="2532" t="s">
        <v>360</v>
      </c>
      <c r="P44" s="2435">
        <v>9</v>
      </c>
      <c r="Q44" s="2540" t="s">
        <v>361</v>
      </c>
      <c r="R44" s="2545">
        <f>115700000/S44</f>
        <v>0.4929697486152535</v>
      </c>
      <c r="S44" s="2668">
        <f>SUM(W44:W51)</f>
        <v>234700000</v>
      </c>
      <c r="T44" s="2431" t="s">
        <v>362</v>
      </c>
      <c r="U44" s="2431" t="s">
        <v>363</v>
      </c>
      <c r="V44" s="572" t="s">
        <v>364</v>
      </c>
      <c r="W44" s="839">
        <v>7700000</v>
      </c>
      <c r="X44" s="839">
        <v>7602000</v>
      </c>
      <c r="Y44" s="839"/>
      <c r="Z44" s="2547">
        <v>20</v>
      </c>
      <c r="AA44" s="2616" t="s">
        <v>344</v>
      </c>
      <c r="AB44" s="2421">
        <v>64149</v>
      </c>
      <c r="AC44" s="2501"/>
      <c r="AD44" s="2421">
        <v>72224</v>
      </c>
      <c r="AE44" s="2501"/>
      <c r="AF44" s="2421">
        <v>27477</v>
      </c>
      <c r="AG44" s="2501"/>
      <c r="AH44" s="2421">
        <v>86843</v>
      </c>
      <c r="AI44" s="2501"/>
      <c r="AJ44" s="2421">
        <v>236429</v>
      </c>
      <c r="AK44" s="2501"/>
      <c r="AL44" s="2421">
        <v>81384</v>
      </c>
      <c r="AM44" s="2501"/>
      <c r="AN44" s="2421">
        <v>12718</v>
      </c>
      <c r="AO44" s="2501"/>
      <c r="AP44" s="2421">
        <v>2145</v>
      </c>
      <c r="AQ44" s="2501"/>
      <c r="AR44" s="2421"/>
      <c r="AS44" s="2501"/>
      <c r="AT44" s="2421">
        <v>491</v>
      </c>
      <c r="AU44" s="2501"/>
      <c r="AV44" s="2421">
        <v>16892</v>
      </c>
      <c r="AW44" s="2501"/>
      <c r="AX44" s="2421"/>
      <c r="AY44" s="2501"/>
      <c r="AZ44" s="2501">
        <v>6</v>
      </c>
      <c r="BA44" s="2556">
        <f>SUM(X44:X46)</f>
        <v>115602000</v>
      </c>
      <c r="BB44" s="2556">
        <f>SUM(Y44:Y46)</f>
        <v>25440000</v>
      </c>
      <c r="BC44" s="2559">
        <f>BB44/BA44</f>
        <v>0.22006539679244302</v>
      </c>
      <c r="BD44" s="2501">
        <v>20</v>
      </c>
      <c r="BE44" s="2612" t="s">
        <v>365</v>
      </c>
      <c r="BF44" s="2614">
        <v>42737</v>
      </c>
      <c r="BG44" s="2614">
        <v>42755</v>
      </c>
      <c r="BH44" s="2614">
        <v>42916</v>
      </c>
      <c r="BI44" s="2614">
        <v>42955</v>
      </c>
      <c r="BJ44" s="2540" t="s">
        <v>307</v>
      </c>
    </row>
    <row r="45" spans="1:62" s="51" customFormat="1" ht="40.5" customHeight="1" x14ac:dyDescent="0.2">
      <c r="A45" s="834"/>
      <c r="B45" s="835"/>
      <c r="C45" s="835"/>
      <c r="D45" s="836"/>
      <c r="E45" s="835"/>
      <c r="F45" s="835"/>
      <c r="G45" s="836"/>
      <c r="H45" s="835"/>
      <c r="I45" s="835"/>
      <c r="J45" s="2421"/>
      <c r="K45" s="2431"/>
      <c r="L45" s="2435"/>
      <c r="M45" s="2421"/>
      <c r="N45" s="2657"/>
      <c r="O45" s="2533"/>
      <c r="P45" s="2435"/>
      <c r="Q45" s="2540"/>
      <c r="R45" s="2545"/>
      <c r="S45" s="2669"/>
      <c r="T45" s="2540"/>
      <c r="U45" s="2431"/>
      <c r="V45" s="572" t="s">
        <v>366</v>
      </c>
      <c r="W45" s="839">
        <v>54000000</v>
      </c>
      <c r="X45" s="839">
        <v>54000000</v>
      </c>
      <c r="Y45" s="839">
        <v>12440000</v>
      </c>
      <c r="Z45" s="2548"/>
      <c r="AA45" s="2617"/>
      <c r="AB45" s="2421"/>
      <c r="AC45" s="2502"/>
      <c r="AD45" s="2421"/>
      <c r="AE45" s="2502"/>
      <c r="AF45" s="2421"/>
      <c r="AG45" s="2502"/>
      <c r="AH45" s="2421"/>
      <c r="AI45" s="2502"/>
      <c r="AJ45" s="2421"/>
      <c r="AK45" s="2502"/>
      <c r="AL45" s="2421"/>
      <c r="AM45" s="2502"/>
      <c r="AN45" s="2421"/>
      <c r="AO45" s="2502"/>
      <c r="AP45" s="2421"/>
      <c r="AQ45" s="2502"/>
      <c r="AR45" s="2421"/>
      <c r="AS45" s="2502"/>
      <c r="AT45" s="2421"/>
      <c r="AU45" s="2502"/>
      <c r="AV45" s="2421"/>
      <c r="AW45" s="2502"/>
      <c r="AX45" s="2421"/>
      <c r="AY45" s="2502"/>
      <c r="AZ45" s="2502"/>
      <c r="BA45" s="2557"/>
      <c r="BB45" s="2557"/>
      <c r="BC45" s="2560"/>
      <c r="BD45" s="2502"/>
      <c r="BE45" s="2624"/>
      <c r="BF45" s="2625"/>
      <c r="BG45" s="2625"/>
      <c r="BH45" s="2625"/>
      <c r="BI45" s="2625"/>
      <c r="BJ45" s="2540"/>
    </row>
    <row r="46" spans="1:62" s="51" customFormat="1" ht="39.75" customHeight="1" x14ac:dyDescent="0.2">
      <c r="A46" s="834"/>
      <c r="B46" s="835"/>
      <c r="C46" s="835"/>
      <c r="D46" s="836"/>
      <c r="E46" s="835"/>
      <c r="F46" s="835"/>
      <c r="G46" s="836"/>
      <c r="H46" s="835"/>
      <c r="I46" s="840"/>
      <c r="J46" s="2421"/>
      <c r="K46" s="2431"/>
      <c r="L46" s="2435"/>
      <c r="M46" s="2421"/>
      <c r="N46" s="2658"/>
      <c r="O46" s="2533"/>
      <c r="P46" s="2435"/>
      <c r="Q46" s="2540"/>
      <c r="R46" s="2545"/>
      <c r="S46" s="2669"/>
      <c r="T46" s="2540"/>
      <c r="U46" s="2431"/>
      <c r="V46" s="572" t="s">
        <v>367</v>
      </c>
      <c r="W46" s="839">
        <v>54000000</v>
      </c>
      <c r="X46" s="839">
        <v>54000000</v>
      </c>
      <c r="Y46" s="839">
        <v>13000000</v>
      </c>
      <c r="Z46" s="2548"/>
      <c r="AA46" s="2617"/>
      <c r="AB46" s="2421"/>
      <c r="AC46" s="2502"/>
      <c r="AD46" s="2421"/>
      <c r="AE46" s="2502"/>
      <c r="AF46" s="2421"/>
      <c r="AG46" s="2502"/>
      <c r="AH46" s="2421"/>
      <c r="AI46" s="2502"/>
      <c r="AJ46" s="2421"/>
      <c r="AK46" s="2502"/>
      <c r="AL46" s="2421"/>
      <c r="AM46" s="2502"/>
      <c r="AN46" s="2421"/>
      <c r="AO46" s="2502"/>
      <c r="AP46" s="2421"/>
      <c r="AQ46" s="2502"/>
      <c r="AR46" s="2421"/>
      <c r="AS46" s="2502"/>
      <c r="AT46" s="2421"/>
      <c r="AU46" s="2502"/>
      <c r="AV46" s="2421"/>
      <c r="AW46" s="2502"/>
      <c r="AX46" s="2421"/>
      <c r="AY46" s="2502"/>
      <c r="AZ46" s="2518"/>
      <c r="BA46" s="2558"/>
      <c r="BB46" s="2558"/>
      <c r="BC46" s="2561"/>
      <c r="BD46" s="2518"/>
      <c r="BE46" s="2613"/>
      <c r="BF46" s="2615"/>
      <c r="BG46" s="2615"/>
      <c r="BH46" s="2615"/>
      <c r="BI46" s="2615"/>
      <c r="BJ46" s="2540"/>
    </row>
    <row r="47" spans="1:62" s="51" customFormat="1" ht="72.75" customHeight="1" x14ac:dyDescent="0.2">
      <c r="A47" s="834"/>
      <c r="B47" s="835"/>
      <c r="C47" s="835"/>
      <c r="D47" s="836"/>
      <c r="E47" s="835"/>
      <c r="F47" s="835"/>
      <c r="G47" s="836"/>
      <c r="H47" s="835"/>
      <c r="I47" s="835"/>
      <c r="J47" s="718">
        <v>259</v>
      </c>
      <c r="K47" s="62" t="s">
        <v>368</v>
      </c>
      <c r="L47" s="706" t="s">
        <v>324</v>
      </c>
      <c r="M47" s="716">
        <v>1</v>
      </c>
      <c r="N47" s="716">
        <v>0</v>
      </c>
      <c r="O47" s="2533"/>
      <c r="P47" s="2435"/>
      <c r="Q47" s="2540"/>
      <c r="R47" s="570">
        <f>9000000/S44</f>
        <v>3.8346825734980827E-2</v>
      </c>
      <c r="S47" s="2669"/>
      <c r="T47" s="2540"/>
      <c r="U47" s="62" t="s">
        <v>369</v>
      </c>
      <c r="V47" s="62" t="s">
        <v>370</v>
      </c>
      <c r="W47" s="839">
        <v>9000000</v>
      </c>
      <c r="X47" s="839"/>
      <c r="Y47" s="839"/>
      <c r="Z47" s="2548"/>
      <c r="AA47" s="2617"/>
      <c r="AB47" s="2421"/>
      <c r="AC47" s="2502"/>
      <c r="AD47" s="2421"/>
      <c r="AE47" s="2502"/>
      <c r="AF47" s="2421"/>
      <c r="AG47" s="2502"/>
      <c r="AH47" s="2421"/>
      <c r="AI47" s="2502"/>
      <c r="AJ47" s="2421"/>
      <c r="AK47" s="2502"/>
      <c r="AL47" s="2421"/>
      <c r="AM47" s="2502"/>
      <c r="AN47" s="2421"/>
      <c r="AO47" s="2502"/>
      <c r="AP47" s="2421"/>
      <c r="AQ47" s="2502"/>
      <c r="AR47" s="2421"/>
      <c r="AS47" s="2502"/>
      <c r="AT47" s="2421"/>
      <c r="AU47" s="2502"/>
      <c r="AV47" s="2421"/>
      <c r="AW47" s="2502"/>
      <c r="AX47" s="2421"/>
      <c r="AY47" s="2502"/>
      <c r="AZ47" s="841"/>
      <c r="BA47" s="842"/>
      <c r="BB47" s="842"/>
      <c r="BC47" s="843"/>
      <c r="BD47" s="841"/>
      <c r="BE47" s="844"/>
      <c r="BF47" s="845">
        <v>42737</v>
      </c>
      <c r="BG47" s="845"/>
      <c r="BH47" s="845">
        <v>42858</v>
      </c>
      <c r="BI47" s="846"/>
      <c r="BJ47" s="2540"/>
    </row>
    <row r="48" spans="1:62" s="51" customFormat="1" ht="95.25" customHeight="1" x14ac:dyDescent="0.2">
      <c r="A48" s="834"/>
      <c r="B48" s="835"/>
      <c r="C48" s="835"/>
      <c r="D48" s="836"/>
      <c r="E48" s="835"/>
      <c r="F48" s="835"/>
      <c r="G48" s="836"/>
      <c r="H48" s="835"/>
      <c r="I48" s="835"/>
      <c r="J48" s="718">
        <v>258</v>
      </c>
      <c r="K48" s="62" t="s">
        <v>371</v>
      </c>
      <c r="L48" s="706" t="s">
        <v>18</v>
      </c>
      <c r="M48" s="716">
        <v>1</v>
      </c>
      <c r="N48" s="847">
        <v>0.3</v>
      </c>
      <c r="O48" s="2503" t="s">
        <v>372</v>
      </c>
      <c r="P48" s="2435"/>
      <c r="Q48" s="2540"/>
      <c r="R48" s="570">
        <f>20000000/S44</f>
        <v>8.5215168299957386E-2</v>
      </c>
      <c r="S48" s="2669"/>
      <c r="T48" s="2540"/>
      <c r="U48" s="62" t="s">
        <v>373</v>
      </c>
      <c r="V48" s="62" t="s">
        <v>374</v>
      </c>
      <c r="W48" s="839">
        <v>20000000</v>
      </c>
      <c r="X48" s="839">
        <v>12000000</v>
      </c>
      <c r="Y48" s="839">
        <v>2000000</v>
      </c>
      <c r="Z48" s="2531">
        <v>88</v>
      </c>
      <c r="AA48" s="2620" t="s">
        <v>350</v>
      </c>
      <c r="AB48" s="2421"/>
      <c r="AC48" s="2502"/>
      <c r="AD48" s="2421"/>
      <c r="AE48" s="2502"/>
      <c r="AF48" s="2421"/>
      <c r="AG48" s="2502"/>
      <c r="AH48" s="2421"/>
      <c r="AI48" s="2502"/>
      <c r="AJ48" s="2421"/>
      <c r="AK48" s="2502"/>
      <c r="AL48" s="2421"/>
      <c r="AM48" s="2502"/>
      <c r="AN48" s="2421"/>
      <c r="AO48" s="2502"/>
      <c r="AP48" s="2421"/>
      <c r="AQ48" s="2502"/>
      <c r="AR48" s="2421"/>
      <c r="AS48" s="2502"/>
      <c r="AT48" s="2421"/>
      <c r="AU48" s="2502"/>
      <c r="AV48" s="2421"/>
      <c r="AW48" s="2502"/>
      <c r="AX48" s="2421"/>
      <c r="AY48" s="2502"/>
      <c r="AZ48" s="718">
        <v>1</v>
      </c>
      <c r="BA48" s="848">
        <v>12000000</v>
      </c>
      <c r="BB48" s="848">
        <v>2000000</v>
      </c>
      <c r="BC48" s="726">
        <f>BB48/BA48</f>
        <v>0.16666666666666666</v>
      </c>
      <c r="BD48" s="718">
        <v>20</v>
      </c>
      <c r="BE48" s="849" t="s">
        <v>365</v>
      </c>
      <c r="BF48" s="850">
        <v>42737</v>
      </c>
      <c r="BG48" s="846">
        <v>42779</v>
      </c>
      <c r="BH48" s="850">
        <v>42916</v>
      </c>
      <c r="BI48" s="850">
        <v>42959</v>
      </c>
      <c r="BJ48" s="2540"/>
    </row>
    <row r="49" spans="1:68" s="51" customFormat="1" ht="52.5" customHeight="1" x14ac:dyDescent="0.2">
      <c r="A49" s="834"/>
      <c r="B49" s="835"/>
      <c r="C49" s="835"/>
      <c r="D49" s="836"/>
      <c r="E49" s="835"/>
      <c r="F49" s="835"/>
      <c r="G49" s="836"/>
      <c r="H49" s="835"/>
      <c r="I49" s="835"/>
      <c r="J49" s="718">
        <v>263</v>
      </c>
      <c r="K49" s="62" t="s">
        <v>375</v>
      </c>
      <c r="L49" s="706" t="s">
        <v>324</v>
      </c>
      <c r="M49" s="716">
        <v>1</v>
      </c>
      <c r="N49" s="716">
        <v>0</v>
      </c>
      <c r="O49" s="2503"/>
      <c r="P49" s="2435"/>
      <c r="Q49" s="2540"/>
      <c r="R49" s="570">
        <f>65000000/S44</f>
        <v>0.27694929697486154</v>
      </c>
      <c r="S49" s="2669"/>
      <c r="T49" s="2540"/>
      <c r="U49" s="62" t="s">
        <v>376</v>
      </c>
      <c r="V49" s="62" t="s">
        <v>377</v>
      </c>
      <c r="W49" s="826">
        <f>35000000+30000000</f>
        <v>65000000</v>
      </c>
      <c r="X49" s="826"/>
      <c r="Y49" s="826"/>
      <c r="Z49" s="2531"/>
      <c r="AA49" s="2620"/>
      <c r="AB49" s="2421"/>
      <c r="AC49" s="2502"/>
      <c r="AD49" s="2421"/>
      <c r="AE49" s="2502"/>
      <c r="AF49" s="2421"/>
      <c r="AG49" s="2502"/>
      <c r="AH49" s="2421"/>
      <c r="AI49" s="2502"/>
      <c r="AJ49" s="2421"/>
      <c r="AK49" s="2502"/>
      <c r="AL49" s="2421"/>
      <c r="AM49" s="2502"/>
      <c r="AN49" s="2421"/>
      <c r="AO49" s="2502"/>
      <c r="AP49" s="2421"/>
      <c r="AQ49" s="2502"/>
      <c r="AR49" s="2421"/>
      <c r="AS49" s="2502"/>
      <c r="AT49" s="2421"/>
      <c r="AU49" s="2502"/>
      <c r="AV49" s="2421"/>
      <c r="AW49" s="2502"/>
      <c r="AX49" s="2421"/>
      <c r="AY49" s="2502"/>
      <c r="AZ49" s="851"/>
      <c r="BA49" s="848"/>
      <c r="BB49" s="848"/>
      <c r="BC49" s="726"/>
      <c r="BD49" s="851"/>
      <c r="BE49" s="849"/>
      <c r="BF49" s="845">
        <v>42737</v>
      </c>
      <c r="BG49" s="845"/>
      <c r="BH49" s="845">
        <v>42858</v>
      </c>
      <c r="BI49" s="852"/>
      <c r="BJ49" s="2540"/>
      <c r="BK49" s="118"/>
    </row>
    <row r="50" spans="1:68" s="51" customFormat="1" ht="44.25" customHeight="1" x14ac:dyDescent="0.2">
      <c r="A50" s="834"/>
      <c r="B50" s="835"/>
      <c r="C50" s="835"/>
      <c r="D50" s="836"/>
      <c r="E50" s="835"/>
      <c r="F50" s="835"/>
      <c r="G50" s="836"/>
      <c r="H50" s="835"/>
      <c r="I50" s="835"/>
      <c r="J50" s="2421">
        <v>261</v>
      </c>
      <c r="K50" s="2431" t="s">
        <v>378</v>
      </c>
      <c r="L50" s="2435" t="s">
        <v>324</v>
      </c>
      <c r="M50" s="2430">
        <v>2</v>
      </c>
      <c r="N50" s="2622">
        <v>0.2</v>
      </c>
      <c r="O50" s="2503"/>
      <c r="P50" s="2435"/>
      <c r="Q50" s="2540"/>
      <c r="R50" s="2545">
        <f>25000000/S44</f>
        <v>0.10651896037494674</v>
      </c>
      <c r="S50" s="2669"/>
      <c r="T50" s="2540"/>
      <c r="U50" s="2431" t="s">
        <v>379</v>
      </c>
      <c r="V50" s="572" t="s">
        <v>380</v>
      </c>
      <c r="W50" s="826">
        <v>17600000</v>
      </c>
      <c r="X50" s="826">
        <v>15000000</v>
      </c>
      <c r="Y50" s="826">
        <v>3700000</v>
      </c>
      <c r="Z50" s="2531"/>
      <c r="AA50" s="2620"/>
      <c r="AB50" s="2421"/>
      <c r="AC50" s="2502"/>
      <c r="AD50" s="2421"/>
      <c r="AE50" s="2502"/>
      <c r="AF50" s="2421"/>
      <c r="AG50" s="2502"/>
      <c r="AH50" s="2421"/>
      <c r="AI50" s="2502"/>
      <c r="AJ50" s="2421"/>
      <c r="AK50" s="2502"/>
      <c r="AL50" s="2421"/>
      <c r="AM50" s="2502"/>
      <c r="AN50" s="2421"/>
      <c r="AO50" s="2502"/>
      <c r="AP50" s="2421"/>
      <c r="AQ50" s="2502"/>
      <c r="AR50" s="2421"/>
      <c r="AS50" s="2502"/>
      <c r="AT50" s="2421"/>
      <c r="AU50" s="2502"/>
      <c r="AV50" s="2421"/>
      <c r="AW50" s="2502"/>
      <c r="AX50" s="2421"/>
      <c r="AY50" s="2502"/>
      <c r="AZ50" s="2501">
        <v>1</v>
      </c>
      <c r="BA50" s="2626">
        <f>X50+X51</f>
        <v>21000000</v>
      </c>
      <c r="BB50" s="2556">
        <v>3700000</v>
      </c>
      <c r="BC50" s="2559">
        <f>BB50/BA50</f>
        <v>0.1761904761904762</v>
      </c>
      <c r="BD50" s="2501">
        <v>20</v>
      </c>
      <c r="BE50" s="2612" t="s">
        <v>365</v>
      </c>
      <c r="BF50" s="2614">
        <v>42737</v>
      </c>
      <c r="BG50" s="2614">
        <v>42755</v>
      </c>
      <c r="BH50" s="2614">
        <v>42916</v>
      </c>
      <c r="BI50" s="2618">
        <v>42924</v>
      </c>
      <c r="BJ50" s="2540"/>
    </row>
    <row r="51" spans="1:68" s="51" customFormat="1" ht="32.25" customHeight="1" x14ac:dyDescent="0.2">
      <c r="A51" s="834"/>
      <c r="B51" s="835"/>
      <c r="C51" s="835"/>
      <c r="D51" s="836"/>
      <c r="E51" s="835"/>
      <c r="F51" s="835"/>
      <c r="G51" s="836"/>
      <c r="H51" s="835"/>
      <c r="I51" s="835"/>
      <c r="J51" s="2421"/>
      <c r="K51" s="2431"/>
      <c r="L51" s="2435"/>
      <c r="M51" s="2430"/>
      <c r="N51" s="2623"/>
      <c r="O51" s="2504"/>
      <c r="P51" s="2435"/>
      <c r="Q51" s="2540"/>
      <c r="R51" s="2545"/>
      <c r="S51" s="2670"/>
      <c r="T51" s="2540"/>
      <c r="U51" s="2431"/>
      <c r="V51" s="572" t="s">
        <v>381</v>
      </c>
      <c r="W51" s="826">
        <v>7400000</v>
      </c>
      <c r="X51" s="826">
        <f>21000000-X50</f>
        <v>6000000</v>
      </c>
      <c r="Y51" s="826"/>
      <c r="Z51" s="2619"/>
      <c r="AA51" s="2621"/>
      <c r="AB51" s="2421"/>
      <c r="AC51" s="2518"/>
      <c r="AD51" s="2421"/>
      <c r="AE51" s="2518"/>
      <c r="AF51" s="2421"/>
      <c r="AG51" s="2518"/>
      <c r="AH51" s="2421"/>
      <c r="AI51" s="2518"/>
      <c r="AJ51" s="2421"/>
      <c r="AK51" s="2518"/>
      <c r="AL51" s="2421"/>
      <c r="AM51" s="2518"/>
      <c r="AN51" s="2421"/>
      <c r="AO51" s="2518"/>
      <c r="AP51" s="2421"/>
      <c r="AQ51" s="2518"/>
      <c r="AR51" s="2421"/>
      <c r="AS51" s="2518"/>
      <c r="AT51" s="2421"/>
      <c r="AU51" s="2518"/>
      <c r="AV51" s="2421"/>
      <c r="AW51" s="2518"/>
      <c r="AX51" s="2421"/>
      <c r="AY51" s="2518"/>
      <c r="AZ51" s="2518"/>
      <c r="BA51" s="2558"/>
      <c r="BB51" s="2558"/>
      <c r="BC51" s="2561"/>
      <c r="BD51" s="2518"/>
      <c r="BE51" s="2613"/>
      <c r="BF51" s="2615"/>
      <c r="BG51" s="2615"/>
      <c r="BH51" s="2615"/>
      <c r="BI51" s="2618"/>
      <c r="BJ51" s="2540"/>
    </row>
    <row r="52" spans="1:68" ht="93" customHeight="1" x14ac:dyDescent="0.2">
      <c r="A52" s="786"/>
      <c r="B52" s="202"/>
      <c r="C52" s="202"/>
      <c r="D52" s="498"/>
      <c r="E52" s="2610"/>
      <c r="F52" s="2610"/>
      <c r="G52" s="2611"/>
      <c r="H52" s="2610"/>
      <c r="I52" s="2610"/>
      <c r="J52" s="2419">
        <v>262</v>
      </c>
      <c r="K52" s="2423" t="s">
        <v>382</v>
      </c>
      <c r="L52" s="2419" t="s">
        <v>18</v>
      </c>
      <c r="M52" s="2419">
        <v>1</v>
      </c>
      <c r="N52" s="2595">
        <v>0</v>
      </c>
      <c r="O52" s="2419" t="s">
        <v>383</v>
      </c>
      <c r="P52" s="2419">
        <v>10</v>
      </c>
      <c r="Q52" s="2423" t="s">
        <v>384</v>
      </c>
      <c r="R52" s="2609">
        <v>1</v>
      </c>
      <c r="S52" s="2602">
        <v>25000000</v>
      </c>
      <c r="T52" s="2423" t="s">
        <v>385</v>
      </c>
      <c r="U52" s="2598" t="s">
        <v>386</v>
      </c>
      <c r="V52" s="595" t="s">
        <v>387</v>
      </c>
      <c r="W52" s="788">
        <v>2000000</v>
      </c>
      <c r="X52" s="788"/>
      <c r="Y52" s="788"/>
      <c r="Z52" s="2572">
        <v>20</v>
      </c>
      <c r="AA52" s="2595" t="s">
        <v>208</v>
      </c>
      <c r="AB52" s="2457">
        <v>64149</v>
      </c>
      <c r="AC52" s="2572"/>
      <c r="AD52" s="2457">
        <v>72224</v>
      </c>
      <c r="AE52" s="2572"/>
      <c r="AF52" s="2457">
        <v>27477</v>
      </c>
      <c r="AG52" s="2572"/>
      <c r="AH52" s="2457">
        <v>86843</v>
      </c>
      <c r="AI52" s="2572"/>
      <c r="AJ52" s="2457">
        <v>27477</v>
      </c>
      <c r="AK52" s="2572"/>
      <c r="AL52" s="2457">
        <v>86843</v>
      </c>
      <c r="AM52" s="2581"/>
      <c r="AN52" s="2457"/>
      <c r="AO52" s="2572"/>
      <c r="AP52" s="2457">
        <v>2145</v>
      </c>
      <c r="AQ52" s="2572"/>
      <c r="AR52" s="2457">
        <v>413</v>
      </c>
      <c r="AS52" s="2572"/>
      <c r="AT52" s="2457">
        <v>43029</v>
      </c>
      <c r="AU52" s="2572"/>
      <c r="AV52" s="2457">
        <v>16897</v>
      </c>
      <c r="AW52" s="2572"/>
      <c r="AX52" s="2457">
        <v>84106</v>
      </c>
      <c r="AY52" s="2581"/>
      <c r="AZ52" s="853"/>
      <c r="BA52" s="2606"/>
      <c r="BB52" s="2606"/>
      <c r="BC52" s="2599"/>
      <c r="BD52" s="2599"/>
      <c r="BE52" s="2599"/>
      <c r="BF52" s="2597">
        <v>42736</v>
      </c>
      <c r="BG52" s="2578"/>
      <c r="BH52" s="2597">
        <v>43100</v>
      </c>
      <c r="BI52" s="2578"/>
      <c r="BJ52" s="2598" t="s">
        <v>307</v>
      </c>
      <c r="BK52" s="192"/>
      <c r="BL52" s="192"/>
      <c r="BM52" s="192"/>
      <c r="BN52" s="192"/>
      <c r="BO52" s="192"/>
      <c r="BP52" s="192"/>
    </row>
    <row r="53" spans="1:68" ht="91.5" customHeight="1" x14ac:dyDescent="0.2">
      <c r="A53" s="786"/>
      <c r="B53" s="202"/>
      <c r="C53" s="202"/>
      <c r="D53" s="498"/>
      <c r="E53" s="2610"/>
      <c r="F53" s="2610"/>
      <c r="G53" s="2611"/>
      <c r="H53" s="2610"/>
      <c r="I53" s="2610"/>
      <c r="J53" s="2419"/>
      <c r="K53" s="2423"/>
      <c r="L53" s="2419"/>
      <c r="M53" s="2419"/>
      <c r="N53" s="2603"/>
      <c r="O53" s="2419"/>
      <c r="P53" s="2419"/>
      <c r="Q53" s="2423"/>
      <c r="R53" s="2609"/>
      <c r="S53" s="2602"/>
      <c r="T53" s="2423"/>
      <c r="U53" s="2598"/>
      <c r="V53" s="595" t="s">
        <v>388</v>
      </c>
      <c r="W53" s="788">
        <v>2000000</v>
      </c>
      <c r="X53" s="788"/>
      <c r="Y53" s="788"/>
      <c r="Z53" s="2573"/>
      <c r="AA53" s="2603"/>
      <c r="AB53" s="2457"/>
      <c r="AC53" s="2573"/>
      <c r="AD53" s="2457"/>
      <c r="AE53" s="2573"/>
      <c r="AF53" s="2457"/>
      <c r="AG53" s="2573"/>
      <c r="AH53" s="2457"/>
      <c r="AI53" s="2573"/>
      <c r="AJ53" s="2457"/>
      <c r="AK53" s="2573"/>
      <c r="AL53" s="2457"/>
      <c r="AM53" s="2582"/>
      <c r="AN53" s="2457"/>
      <c r="AO53" s="2573"/>
      <c r="AP53" s="2457"/>
      <c r="AQ53" s="2573"/>
      <c r="AR53" s="2457"/>
      <c r="AS53" s="2573"/>
      <c r="AT53" s="2457"/>
      <c r="AU53" s="2573"/>
      <c r="AV53" s="2457"/>
      <c r="AW53" s="2573"/>
      <c r="AX53" s="2457"/>
      <c r="AY53" s="2582"/>
      <c r="AZ53" s="854"/>
      <c r="BA53" s="2607"/>
      <c r="BB53" s="2607"/>
      <c r="BC53" s="2600"/>
      <c r="BD53" s="2600"/>
      <c r="BE53" s="2600"/>
      <c r="BF53" s="2597"/>
      <c r="BG53" s="2579"/>
      <c r="BH53" s="2597"/>
      <c r="BI53" s="2579"/>
      <c r="BJ53" s="2598"/>
      <c r="BK53" s="192"/>
      <c r="BL53" s="192"/>
      <c r="BM53" s="192"/>
      <c r="BN53" s="192"/>
      <c r="BO53" s="192"/>
      <c r="BP53" s="192"/>
    </row>
    <row r="54" spans="1:68" ht="105" customHeight="1" x14ac:dyDescent="0.2">
      <c r="A54" s="786"/>
      <c r="B54" s="202"/>
      <c r="C54" s="202"/>
      <c r="D54" s="498"/>
      <c r="E54" s="2610"/>
      <c r="F54" s="2610"/>
      <c r="G54" s="2611"/>
      <c r="H54" s="2610"/>
      <c r="I54" s="2610"/>
      <c r="J54" s="2419"/>
      <c r="K54" s="2423"/>
      <c r="L54" s="2419"/>
      <c r="M54" s="2419"/>
      <c r="N54" s="2603"/>
      <c r="O54" s="2419"/>
      <c r="P54" s="2419"/>
      <c r="Q54" s="2423"/>
      <c r="R54" s="2609"/>
      <c r="S54" s="2602"/>
      <c r="T54" s="2423"/>
      <c r="U54" s="2598"/>
      <c r="V54" s="595" t="s">
        <v>389</v>
      </c>
      <c r="W54" s="788">
        <v>3100000</v>
      </c>
      <c r="X54" s="788"/>
      <c r="Y54" s="788"/>
      <c r="Z54" s="2573"/>
      <c r="AA54" s="2603"/>
      <c r="AB54" s="2457"/>
      <c r="AC54" s="2573"/>
      <c r="AD54" s="2457"/>
      <c r="AE54" s="2573"/>
      <c r="AF54" s="2457"/>
      <c r="AG54" s="2573"/>
      <c r="AH54" s="2457"/>
      <c r="AI54" s="2573"/>
      <c r="AJ54" s="2457"/>
      <c r="AK54" s="2573"/>
      <c r="AL54" s="2457"/>
      <c r="AM54" s="2582"/>
      <c r="AN54" s="2457"/>
      <c r="AO54" s="2573"/>
      <c r="AP54" s="2457"/>
      <c r="AQ54" s="2573"/>
      <c r="AR54" s="2457"/>
      <c r="AS54" s="2573"/>
      <c r="AT54" s="2457"/>
      <c r="AU54" s="2573"/>
      <c r="AV54" s="2457"/>
      <c r="AW54" s="2573"/>
      <c r="AX54" s="2457"/>
      <c r="AY54" s="2582"/>
      <c r="AZ54" s="854"/>
      <c r="BA54" s="2607"/>
      <c r="BB54" s="2607"/>
      <c r="BC54" s="2600"/>
      <c r="BD54" s="2600"/>
      <c r="BE54" s="2600"/>
      <c r="BF54" s="2597"/>
      <c r="BG54" s="2579"/>
      <c r="BH54" s="2597"/>
      <c r="BI54" s="2579"/>
      <c r="BJ54" s="2598"/>
      <c r="BK54" s="192"/>
      <c r="BL54" s="192"/>
      <c r="BM54" s="192"/>
      <c r="BN54" s="192"/>
      <c r="BO54" s="192"/>
      <c r="BP54" s="192"/>
    </row>
    <row r="55" spans="1:68" ht="98.25" customHeight="1" x14ac:dyDescent="0.2">
      <c r="A55" s="786"/>
      <c r="B55" s="202"/>
      <c r="C55" s="202"/>
      <c r="D55" s="498"/>
      <c r="E55" s="2610"/>
      <c r="F55" s="2610"/>
      <c r="G55" s="2611"/>
      <c r="H55" s="2610"/>
      <c r="I55" s="2610"/>
      <c r="J55" s="2419"/>
      <c r="K55" s="2423"/>
      <c r="L55" s="2419"/>
      <c r="M55" s="2419"/>
      <c r="N55" s="2603"/>
      <c r="O55" s="2419"/>
      <c r="P55" s="2419"/>
      <c r="Q55" s="2423"/>
      <c r="R55" s="2609"/>
      <c r="S55" s="2602"/>
      <c r="T55" s="2423"/>
      <c r="U55" s="2423" t="s">
        <v>390</v>
      </c>
      <c r="V55" s="595" t="s">
        <v>391</v>
      </c>
      <c r="W55" s="788">
        <v>1200000</v>
      </c>
      <c r="X55" s="788"/>
      <c r="Y55" s="788"/>
      <c r="Z55" s="2573"/>
      <c r="AA55" s="2603"/>
      <c r="AB55" s="2457"/>
      <c r="AC55" s="2573"/>
      <c r="AD55" s="2457"/>
      <c r="AE55" s="2573"/>
      <c r="AF55" s="2457"/>
      <c r="AG55" s="2573"/>
      <c r="AH55" s="2457"/>
      <c r="AI55" s="2573"/>
      <c r="AJ55" s="2457"/>
      <c r="AK55" s="2573"/>
      <c r="AL55" s="2457"/>
      <c r="AM55" s="2582"/>
      <c r="AN55" s="2457"/>
      <c r="AO55" s="2573"/>
      <c r="AP55" s="2457"/>
      <c r="AQ55" s="2573"/>
      <c r="AR55" s="2457"/>
      <c r="AS55" s="2573"/>
      <c r="AT55" s="2457"/>
      <c r="AU55" s="2573"/>
      <c r="AV55" s="2457"/>
      <c r="AW55" s="2573"/>
      <c r="AX55" s="2457"/>
      <c r="AY55" s="2582"/>
      <c r="AZ55" s="854"/>
      <c r="BA55" s="2607"/>
      <c r="BB55" s="2607"/>
      <c r="BC55" s="2600"/>
      <c r="BD55" s="2600"/>
      <c r="BE55" s="2600"/>
      <c r="BF55" s="2597"/>
      <c r="BG55" s="2579"/>
      <c r="BH55" s="2597"/>
      <c r="BI55" s="2579"/>
      <c r="BJ55" s="2598"/>
      <c r="BK55" s="192"/>
      <c r="BL55" s="192"/>
      <c r="BM55" s="192"/>
      <c r="BN55" s="192"/>
      <c r="BO55" s="192"/>
      <c r="BP55" s="192"/>
    </row>
    <row r="56" spans="1:68" ht="45" customHeight="1" x14ac:dyDescent="0.2">
      <c r="A56" s="786"/>
      <c r="B56" s="202"/>
      <c r="C56" s="202"/>
      <c r="D56" s="498"/>
      <c r="E56" s="2610"/>
      <c r="F56" s="2610"/>
      <c r="G56" s="2611"/>
      <c r="H56" s="2610"/>
      <c r="I56" s="2610"/>
      <c r="J56" s="2419"/>
      <c r="K56" s="2423"/>
      <c r="L56" s="2419"/>
      <c r="M56" s="2419"/>
      <c r="N56" s="2603"/>
      <c r="O56" s="2419"/>
      <c r="P56" s="2419"/>
      <c r="Q56" s="2423"/>
      <c r="R56" s="2609"/>
      <c r="S56" s="2602"/>
      <c r="T56" s="2423"/>
      <c r="U56" s="2423"/>
      <c r="V56" s="595" t="s">
        <v>392</v>
      </c>
      <c r="W56" s="788">
        <v>500000</v>
      </c>
      <c r="X56" s="788"/>
      <c r="Y56" s="788"/>
      <c r="Z56" s="2573"/>
      <c r="AA56" s="2603"/>
      <c r="AB56" s="2457"/>
      <c r="AC56" s="2573"/>
      <c r="AD56" s="2457"/>
      <c r="AE56" s="2573"/>
      <c r="AF56" s="2457"/>
      <c r="AG56" s="2573"/>
      <c r="AH56" s="2457"/>
      <c r="AI56" s="2573"/>
      <c r="AJ56" s="2457"/>
      <c r="AK56" s="2573"/>
      <c r="AL56" s="2457"/>
      <c r="AM56" s="2582"/>
      <c r="AN56" s="2457"/>
      <c r="AO56" s="2573"/>
      <c r="AP56" s="2457"/>
      <c r="AQ56" s="2573"/>
      <c r="AR56" s="2457"/>
      <c r="AS56" s="2573"/>
      <c r="AT56" s="2457"/>
      <c r="AU56" s="2573"/>
      <c r="AV56" s="2457"/>
      <c r="AW56" s="2573"/>
      <c r="AX56" s="2457"/>
      <c r="AY56" s="2582"/>
      <c r="AZ56" s="854"/>
      <c r="BA56" s="2607"/>
      <c r="BB56" s="2607"/>
      <c r="BC56" s="2600"/>
      <c r="BD56" s="2600"/>
      <c r="BE56" s="2600"/>
      <c r="BF56" s="2597"/>
      <c r="BG56" s="2579"/>
      <c r="BH56" s="2597"/>
      <c r="BI56" s="2579"/>
      <c r="BJ56" s="2598"/>
      <c r="BK56" s="192"/>
      <c r="BL56" s="192"/>
      <c r="BM56" s="192"/>
      <c r="BN56" s="192"/>
      <c r="BO56" s="192"/>
      <c r="BP56" s="192"/>
    </row>
    <row r="57" spans="1:68" ht="54" customHeight="1" x14ac:dyDescent="0.2">
      <c r="A57" s="786"/>
      <c r="B57" s="202"/>
      <c r="C57" s="202"/>
      <c r="D57" s="498"/>
      <c r="E57" s="2610"/>
      <c r="F57" s="2610"/>
      <c r="G57" s="2611"/>
      <c r="H57" s="2610"/>
      <c r="I57" s="2610"/>
      <c r="J57" s="2419"/>
      <c r="K57" s="2423"/>
      <c r="L57" s="2419"/>
      <c r="M57" s="2419"/>
      <c r="N57" s="2603"/>
      <c r="O57" s="2419"/>
      <c r="P57" s="2419"/>
      <c r="Q57" s="2423"/>
      <c r="R57" s="2609"/>
      <c r="S57" s="2602"/>
      <c r="T57" s="2423"/>
      <c r="U57" s="2423"/>
      <c r="V57" s="595" t="s">
        <v>393</v>
      </c>
      <c r="W57" s="788">
        <v>6600000</v>
      </c>
      <c r="X57" s="788"/>
      <c r="Y57" s="788"/>
      <c r="Z57" s="2573"/>
      <c r="AA57" s="2603"/>
      <c r="AB57" s="2457"/>
      <c r="AC57" s="2573"/>
      <c r="AD57" s="2457"/>
      <c r="AE57" s="2573"/>
      <c r="AF57" s="2457"/>
      <c r="AG57" s="2573"/>
      <c r="AH57" s="2457"/>
      <c r="AI57" s="2573"/>
      <c r="AJ57" s="2457"/>
      <c r="AK57" s="2573"/>
      <c r="AL57" s="2457"/>
      <c r="AM57" s="2582"/>
      <c r="AN57" s="2457"/>
      <c r="AO57" s="2573"/>
      <c r="AP57" s="2457"/>
      <c r="AQ57" s="2573"/>
      <c r="AR57" s="2457"/>
      <c r="AS57" s="2573"/>
      <c r="AT57" s="2457"/>
      <c r="AU57" s="2573"/>
      <c r="AV57" s="2457"/>
      <c r="AW57" s="2573"/>
      <c r="AX57" s="2457"/>
      <c r="AY57" s="2582"/>
      <c r="AZ57" s="854"/>
      <c r="BA57" s="2607"/>
      <c r="BB57" s="2607"/>
      <c r="BC57" s="2600"/>
      <c r="BD57" s="2600"/>
      <c r="BE57" s="2600"/>
      <c r="BF57" s="2597"/>
      <c r="BG57" s="2579"/>
      <c r="BH57" s="2597"/>
      <c r="BI57" s="2579"/>
      <c r="BJ57" s="2598"/>
      <c r="BK57" s="855"/>
      <c r="BL57" s="855"/>
      <c r="BM57" s="855"/>
      <c r="BN57" s="855"/>
    </row>
    <row r="58" spans="1:68" ht="62.25" customHeight="1" x14ac:dyDescent="0.2">
      <c r="A58" s="786"/>
      <c r="B58" s="202"/>
      <c r="C58" s="202"/>
      <c r="D58" s="498"/>
      <c r="E58" s="2610"/>
      <c r="F58" s="2610"/>
      <c r="G58" s="2611"/>
      <c r="H58" s="2610"/>
      <c r="I58" s="2610"/>
      <c r="J58" s="2419"/>
      <c r="K58" s="2423"/>
      <c r="L58" s="2419"/>
      <c r="M58" s="2419"/>
      <c r="N58" s="2596"/>
      <c r="O58" s="2419"/>
      <c r="P58" s="2419"/>
      <c r="Q58" s="2423"/>
      <c r="R58" s="2609"/>
      <c r="S58" s="2602"/>
      <c r="T58" s="2423"/>
      <c r="U58" s="2423"/>
      <c r="V58" s="595" t="s">
        <v>394</v>
      </c>
      <c r="W58" s="788">
        <v>9600000</v>
      </c>
      <c r="X58" s="788"/>
      <c r="Y58" s="788"/>
      <c r="Z58" s="2574"/>
      <c r="AA58" s="2596"/>
      <c r="AB58" s="2457"/>
      <c r="AC58" s="2574"/>
      <c r="AD58" s="2457"/>
      <c r="AE58" s="2574"/>
      <c r="AF58" s="2457"/>
      <c r="AG58" s="2574"/>
      <c r="AH58" s="2457"/>
      <c r="AI58" s="2574"/>
      <c r="AJ58" s="2457"/>
      <c r="AK58" s="2574"/>
      <c r="AL58" s="2457"/>
      <c r="AM58" s="2583"/>
      <c r="AN58" s="2457"/>
      <c r="AO58" s="2574"/>
      <c r="AP58" s="2457"/>
      <c r="AQ58" s="2574"/>
      <c r="AR58" s="2457"/>
      <c r="AS58" s="2574"/>
      <c r="AT58" s="2457"/>
      <c r="AU58" s="2574"/>
      <c r="AV58" s="2457"/>
      <c r="AW58" s="2574"/>
      <c r="AX58" s="2457"/>
      <c r="AY58" s="2583"/>
      <c r="AZ58" s="856"/>
      <c r="BA58" s="2608"/>
      <c r="BB58" s="2608"/>
      <c r="BC58" s="2601"/>
      <c r="BD58" s="2601"/>
      <c r="BE58" s="2601"/>
      <c r="BF58" s="2597"/>
      <c r="BG58" s="2580"/>
      <c r="BH58" s="2597"/>
      <c r="BI58" s="2580"/>
      <c r="BJ58" s="2598"/>
      <c r="BK58" s="855"/>
      <c r="BL58" s="855"/>
      <c r="BM58" s="855"/>
      <c r="BN58" s="855"/>
    </row>
    <row r="59" spans="1:68" ht="63" customHeight="1" x14ac:dyDescent="0.2">
      <c r="A59" s="786"/>
      <c r="B59" s="202"/>
      <c r="C59" s="202"/>
      <c r="D59" s="498"/>
      <c r="E59" s="499"/>
      <c r="F59" s="499"/>
      <c r="G59" s="498"/>
      <c r="H59" s="499"/>
      <c r="I59" s="499"/>
      <c r="J59" s="2535">
        <v>264</v>
      </c>
      <c r="K59" s="2424" t="s">
        <v>395</v>
      </c>
      <c r="L59" s="2595" t="s">
        <v>18</v>
      </c>
      <c r="M59" s="2595">
        <v>1</v>
      </c>
      <c r="N59" s="2595">
        <v>0.25</v>
      </c>
      <c r="O59" s="2604" t="s">
        <v>396</v>
      </c>
      <c r="P59" s="2595">
        <v>11</v>
      </c>
      <c r="Q59" s="2424" t="s">
        <v>397</v>
      </c>
      <c r="R59" s="2587">
        <v>1</v>
      </c>
      <c r="S59" s="2592">
        <f>SUM(W59:W61)</f>
        <v>215000000</v>
      </c>
      <c r="T59" s="2424" t="s">
        <v>398</v>
      </c>
      <c r="U59" s="2595" t="s">
        <v>399</v>
      </c>
      <c r="V59" s="595" t="s">
        <v>400</v>
      </c>
      <c r="W59" s="788">
        <v>15000000</v>
      </c>
      <c r="X59" s="788"/>
      <c r="Y59" s="788"/>
      <c r="Z59" s="2590">
        <v>20</v>
      </c>
      <c r="AA59" s="2562" t="s">
        <v>208</v>
      </c>
      <c r="AB59" s="2572">
        <v>64149</v>
      </c>
      <c r="AC59" s="2581"/>
      <c r="AD59" s="2572">
        <v>72224</v>
      </c>
      <c r="AE59" s="2581"/>
      <c r="AF59" s="2572">
        <v>27477</v>
      </c>
      <c r="AG59" s="2581"/>
      <c r="AH59" s="2572">
        <v>86843</v>
      </c>
      <c r="AI59" s="2581"/>
      <c r="AJ59" s="2572">
        <v>236429</v>
      </c>
      <c r="AK59" s="2581"/>
      <c r="AL59" s="2572">
        <v>81384</v>
      </c>
      <c r="AM59" s="2581"/>
      <c r="AN59" s="2572"/>
      <c r="AO59" s="2572"/>
      <c r="AP59" s="2572"/>
      <c r="AQ59" s="2572"/>
      <c r="AR59" s="2572"/>
      <c r="AS59" s="2572"/>
      <c r="AT59" s="2572"/>
      <c r="AU59" s="2572"/>
      <c r="AV59" s="2572"/>
      <c r="AW59" s="2572"/>
      <c r="AX59" s="2581"/>
      <c r="AY59" s="2581"/>
      <c r="AZ59" s="2572">
        <v>2</v>
      </c>
      <c r="BA59" s="2584">
        <f>SUM(X59:X61)</f>
        <v>48840000</v>
      </c>
      <c r="BB59" s="2584">
        <f>SUM(Y59:Y61)</f>
        <v>19140000</v>
      </c>
      <c r="BC59" s="2587">
        <f>BB59/BA59</f>
        <v>0.39189189189189189</v>
      </c>
      <c r="BD59" s="2572">
        <v>20</v>
      </c>
      <c r="BE59" s="2575" t="s">
        <v>401</v>
      </c>
      <c r="BF59" s="2578">
        <v>42736</v>
      </c>
      <c r="BG59" s="2578">
        <v>42773</v>
      </c>
      <c r="BH59" s="2578">
        <v>43100</v>
      </c>
      <c r="BI59" s="2578">
        <v>42959</v>
      </c>
      <c r="BJ59" s="2436" t="s">
        <v>307</v>
      </c>
      <c r="BK59" s="2567"/>
      <c r="BL59" s="855"/>
      <c r="BM59" s="855"/>
      <c r="BN59" s="855"/>
    </row>
    <row r="60" spans="1:68" ht="74.25" customHeight="1" x14ac:dyDescent="0.2">
      <c r="A60" s="786"/>
      <c r="B60" s="202"/>
      <c r="C60" s="202"/>
      <c r="D60" s="498"/>
      <c r="E60" s="499"/>
      <c r="F60" s="499"/>
      <c r="G60" s="498"/>
      <c r="H60" s="499"/>
      <c r="I60" s="499"/>
      <c r="J60" s="2536"/>
      <c r="K60" s="2428"/>
      <c r="L60" s="2603"/>
      <c r="M60" s="2603"/>
      <c r="N60" s="2603"/>
      <c r="O60" s="2605"/>
      <c r="P60" s="2603"/>
      <c r="Q60" s="2428"/>
      <c r="R60" s="2588"/>
      <c r="S60" s="2593"/>
      <c r="T60" s="2428"/>
      <c r="U60" s="2596"/>
      <c r="V60" s="595" t="s">
        <v>402</v>
      </c>
      <c r="W60" s="789">
        <f>138000000+40000000</f>
        <v>178000000</v>
      </c>
      <c r="X60" s="789">
        <v>33000000</v>
      </c>
      <c r="Y60" s="789">
        <v>16500000</v>
      </c>
      <c r="Z60" s="2591"/>
      <c r="AA60" s="2563"/>
      <c r="AB60" s="2573"/>
      <c r="AC60" s="2582"/>
      <c r="AD60" s="2573"/>
      <c r="AE60" s="2582"/>
      <c r="AF60" s="2573"/>
      <c r="AG60" s="2582"/>
      <c r="AH60" s="2573"/>
      <c r="AI60" s="2582"/>
      <c r="AJ60" s="2573"/>
      <c r="AK60" s="2582"/>
      <c r="AL60" s="2573"/>
      <c r="AM60" s="2582"/>
      <c r="AN60" s="2573"/>
      <c r="AO60" s="2573"/>
      <c r="AP60" s="2573"/>
      <c r="AQ60" s="2573"/>
      <c r="AR60" s="2573"/>
      <c r="AS60" s="2573"/>
      <c r="AT60" s="2573"/>
      <c r="AU60" s="2573"/>
      <c r="AV60" s="2573"/>
      <c r="AW60" s="2573"/>
      <c r="AX60" s="2582"/>
      <c r="AY60" s="2582"/>
      <c r="AZ60" s="2573"/>
      <c r="BA60" s="2585"/>
      <c r="BB60" s="2585"/>
      <c r="BC60" s="2588"/>
      <c r="BD60" s="2573"/>
      <c r="BE60" s="2576"/>
      <c r="BF60" s="2579"/>
      <c r="BG60" s="2579"/>
      <c r="BH60" s="2579"/>
      <c r="BI60" s="2579"/>
      <c r="BJ60" s="2437"/>
      <c r="BK60" s="2567"/>
      <c r="BL60" s="855"/>
      <c r="BM60" s="855"/>
      <c r="BN60" s="855"/>
    </row>
    <row r="61" spans="1:68" ht="141" customHeight="1" x14ac:dyDescent="0.2">
      <c r="A61" s="786"/>
      <c r="B61" s="202"/>
      <c r="C61" s="202"/>
      <c r="D61" s="498"/>
      <c r="E61" s="499"/>
      <c r="F61" s="499"/>
      <c r="G61" s="498"/>
      <c r="H61" s="499"/>
      <c r="I61" s="499"/>
      <c r="J61" s="2664"/>
      <c r="K61" s="2429"/>
      <c r="L61" s="2596"/>
      <c r="M61" s="2596"/>
      <c r="N61" s="2596"/>
      <c r="O61" s="857" t="s">
        <v>403</v>
      </c>
      <c r="P61" s="2596"/>
      <c r="Q61" s="2429"/>
      <c r="R61" s="2589"/>
      <c r="S61" s="2594"/>
      <c r="T61" s="2429"/>
      <c r="U61" s="595" t="s">
        <v>404</v>
      </c>
      <c r="V61" s="595" t="s">
        <v>405</v>
      </c>
      <c r="W61" s="788">
        <v>22000000</v>
      </c>
      <c r="X61" s="788">
        <v>15840000</v>
      </c>
      <c r="Y61" s="788">
        <v>2640000</v>
      </c>
      <c r="Z61" s="858">
        <v>88</v>
      </c>
      <c r="AA61" s="859" t="s">
        <v>350</v>
      </c>
      <c r="AB61" s="2574"/>
      <c r="AC61" s="2583"/>
      <c r="AD61" s="2574"/>
      <c r="AE61" s="2583"/>
      <c r="AF61" s="2574"/>
      <c r="AG61" s="2583"/>
      <c r="AH61" s="2574"/>
      <c r="AI61" s="2583"/>
      <c r="AJ61" s="2574"/>
      <c r="AK61" s="2583"/>
      <c r="AL61" s="2574"/>
      <c r="AM61" s="2583"/>
      <c r="AN61" s="2574"/>
      <c r="AO61" s="2574"/>
      <c r="AP61" s="2574"/>
      <c r="AQ61" s="2574"/>
      <c r="AR61" s="2574"/>
      <c r="AS61" s="2574"/>
      <c r="AT61" s="2574"/>
      <c r="AU61" s="2574"/>
      <c r="AV61" s="2574"/>
      <c r="AW61" s="2574"/>
      <c r="AX61" s="2583"/>
      <c r="AY61" s="2583"/>
      <c r="AZ61" s="2574"/>
      <c r="BA61" s="2586"/>
      <c r="BB61" s="2586"/>
      <c r="BC61" s="2589"/>
      <c r="BD61" s="2574"/>
      <c r="BE61" s="2577"/>
      <c r="BF61" s="2580"/>
      <c r="BG61" s="2580"/>
      <c r="BH61" s="2580"/>
      <c r="BI61" s="2580"/>
      <c r="BJ61" s="2438"/>
      <c r="BK61" s="2567"/>
      <c r="BL61" s="855"/>
      <c r="BM61" s="855"/>
      <c r="BN61" s="855"/>
    </row>
    <row r="62" spans="1:68" ht="68.25" customHeight="1" x14ac:dyDescent="0.2">
      <c r="A62" s="2568"/>
      <c r="B62" s="2569"/>
      <c r="C62" s="2569"/>
      <c r="D62" s="2570"/>
      <c r="E62" s="2569"/>
      <c r="F62" s="2569"/>
      <c r="G62" s="2570"/>
      <c r="H62" s="2571"/>
      <c r="I62" s="2571"/>
      <c r="J62" s="2457">
        <v>265</v>
      </c>
      <c r="K62" s="2423" t="s">
        <v>406</v>
      </c>
      <c r="L62" s="2525" t="s">
        <v>324</v>
      </c>
      <c r="M62" s="2526">
        <v>1</v>
      </c>
      <c r="N62" s="2564">
        <v>0.25</v>
      </c>
      <c r="O62" s="2532" t="s">
        <v>407</v>
      </c>
      <c r="P62" s="2525">
        <v>12</v>
      </c>
      <c r="Q62" s="2524" t="s">
        <v>408</v>
      </c>
      <c r="R62" s="2529">
        <v>1</v>
      </c>
      <c r="S62" s="2553">
        <v>645000000</v>
      </c>
      <c r="T62" s="2524" t="s">
        <v>409</v>
      </c>
      <c r="U62" s="2431" t="s">
        <v>410</v>
      </c>
      <c r="V62" s="599" t="s">
        <v>411</v>
      </c>
      <c r="W62" s="802">
        <v>18000000</v>
      </c>
      <c r="X62" s="802"/>
      <c r="Y62" s="802"/>
      <c r="Z62" s="2519">
        <v>20</v>
      </c>
      <c r="AA62" s="2562" t="s">
        <v>208</v>
      </c>
      <c r="AB62" s="2421">
        <v>64149</v>
      </c>
      <c r="AC62" s="2501"/>
      <c r="AD62" s="2421">
        <v>72224</v>
      </c>
      <c r="AE62" s="2501"/>
      <c r="AF62" s="2421">
        <v>27477</v>
      </c>
      <c r="AG62" s="2501"/>
      <c r="AH62" s="2421">
        <v>86843</v>
      </c>
      <c r="AI62" s="2501"/>
      <c r="AJ62" s="2421">
        <v>236429</v>
      </c>
      <c r="AK62" s="2501"/>
      <c r="AL62" s="2421">
        <v>81384</v>
      </c>
      <c r="AM62" s="2501"/>
      <c r="AN62" s="2421">
        <v>12718</v>
      </c>
      <c r="AO62" s="2501"/>
      <c r="AP62" s="2421">
        <v>2145</v>
      </c>
      <c r="AQ62" s="2501"/>
      <c r="AR62" s="2421"/>
      <c r="AS62" s="2501"/>
      <c r="AT62" s="2421">
        <v>43029</v>
      </c>
      <c r="AU62" s="2501"/>
      <c r="AV62" s="2421">
        <v>16879</v>
      </c>
      <c r="AW62" s="2501"/>
      <c r="AX62" s="2421"/>
      <c r="AY62" s="2501"/>
      <c r="AZ62" s="2501">
        <v>7</v>
      </c>
      <c r="BA62" s="2556">
        <f>[1]PROYECTOS!$H$24</f>
        <v>148380000</v>
      </c>
      <c r="BB62" s="2556">
        <f>[1]PROYECTOS!$I$24</f>
        <v>37930000</v>
      </c>
      <c r="BC62" s="2559">
        <f>BB62/BA62</f>
        <v>0.25562744305162421</v>
      </c>
      <c r="BD62" s="2501">
        <v>20</v>
      </c>
      <c r="BE62" s="2501" t="s">
        <v>412</v>
      </c>
      <c r="BF62" s="2551">
        <v>42737</v>
      </c>
      <c r="BG62" s="2496">
        <v>42755</v>
      </c>
      <c r="BH62" s="2551">
        <v>43100</v>
      </c>
      <c r="BI62" s="2496">
        <v>42961</v>
      </c>
      <c r="BJ62" s="2524" t="s">
        <v>307</v>
      </c>
    </row>
    <row r="63" spans="1:68" ht="103.5" customHeight="1" x14ac:dyDescent="0.2">
      <c r="A63" s="2568"/>
      <c r="B63" s="2569"/>
      <c r="C63" s="2569"/>
      <c r="D63" s="2570"/>
      <c r="E63" s="2569"/>
      <c r="F63" s="2569"/>
      <c r="G63" s="2570"/>
      <c r="H63" s="2571"/>
      <c r="I63" s="2571"/>
      <c r="J63" s="2457"/>
      <c r="K63" s="2423"/>
      <c r="L63" s="2525"/>
      <c r="M63" s="2526"/>
      <c r="N63" s="2565"/>
      <c r="O63" s="2533"/>
      <c r="P63" s="2525"/>
      <c r="Q63" s="2524"/>
      <c r="R63" s="2529"/>
      <c r="S63" s="2553"/>
      <c r="T63" s="2524"/>
      <c r="U63" s="2431"/>
      <c r="V63" s="860" t="s">
        <v>413</v>
      </c>
      <c r="W63" s="802">
        <v>58000000</v>
      </c>
      <c r="X63" s="826">
        <v>53340000</v>
      </c>
      <c r="Y63" s="861">
        <v>8890000</v>
      </c>
      <c r="Z63" s="2520"/>
      <c r="AA63" s="2563"/>
      <c r="AB63" s="2421"/>
      <c r="AC63" s="2502"/>
      <c r="AD63" s="2421"/>
      <c r="AE63" s="2502"/>
      <c r="AF63" s="2421"/>
      <c r="AG63" s="2502"/>
      <c r="AH63" s="2421"/>
      <c r="AI63" s="2502"/>
      <c r="AJ63" s="2421"/>
      <c r="AK63" s="2502"/>
      <c r="AL63" s="2421"/>
      <c r="AM63" s="2502"/>
      <c r="AN63" s="2421"/>
      <c r="AO63" s="2502"/>
      <c r="AP63" s="2421"/>
      <c r="AQ63" s="2502"/>
      <c r="AR63" s="2421"/>
      <c r="AS63" s="2502"/>
      <c r="AT63" s="2421"/>
      <c r="AU63" s="2502"/>
      <c r="AV63" s="2421"/>
      <c r="AW63" s="2502"/>
      <c r="AX63" s="2421"/>
      <c r="AY63" s="2502"/>
      <c r="AZ63" s="2502"/>
      <c r="BA63" s="2557"/>
      <c r="BB63" s="2557"/>
      <c r="BC63" s="2560"/>
      <c r="BD63" s="2502"/>
      <c r="BE63" s="2502"/>
      <c r="BF63" s="2551"/>
      <c r="BG63" s="2552"/>
      <c r="BH63" s="2551"/>
      <c r="BI63" s="2552"/>
      <c r="BJ63" s="2524"/>
    </row>
    <row r="64" spans="1:68" ht="60" customHeight="1" x14ac:dyDescent="0.2">
      <c r="A64" s="2568"/>
      <c r="B64" s="2569"/>
      <c r="C64" s="2569"/>
      <c r="D64" s="2570"/>
      <c r="E64" s="2569"/>
      <c r="F64" s="2569"/>
      <c r="G64" s="2570"/>
      <c r="H64" s="2571"/>
      <c r="I64" s="2571"/>
      <c r="J64" s="2457"/>
      <c r="K64" s="2423"/>
      <c r="L64" s="2525"/>
      <c r="M64" s="2526"/>
      <c r="N64" s="2565"/>
      <c r="O64" s="2533"/>
      <c r="P64" s="2525"/>
      <c r="Q64" s="2524"/>
      <c r="R64" s="2529"/>
      <c r="S64" s="2553"/>
      <c r="T64" s="2524"/>
      <c r="U64" s="2431"/>
      <c r="V64" s="860" t="s">
        <v>414</v>
      </c>
      <c r="W64" s="802">
        <v>29700000</v>
      </c>
      <c r="X64" s="826">
        <v>15840000</v>
      </c>
      <c r="Y64" s="826">
        <v>5280000</v>
      </c>
      <c r="Z64" s="2520"/>
      <c r="AA64" s="2563"/>
      <c r="AB64" s="2421"/>
      <c r="AC64" s="2502"/>
      <c r="AD64" s="2421"/>
      <c r="AE64" s="2502"/>
      <c r="AF64" s="2421"/>
      <c r="AG64" s="2502"/>
      <c r="AH64" s="2421"/>
      <c r="AI64" s="2502"/>
      <c r="AJ64" s="2421"/>
      <c r="AK64" s="2502"/>
      <c r="AL64" s="2421"/>
      <c r="AM64" s="2502"/>
      <c r="AN64" s="2421"/>
      <c r="AO64" s="2502"/>
      <c r="AP64" s="2421"/>
      <c r="AQ64" s="2502"/>
      <c r="AR64" s="2421"/>
      <c r="AS64" s="2502"/>
      <c r="AT64" s="2421"/>
      <c r="AU64" s="2502"/>
      <c r="AV64" s="2421"/>
      <c r="AW64" s="2502"/>
      <c r="AX64" s="2421"/>
      <c r="AY64" s="2502"/>
      <c r="AZ64" s="2502"/>
      <c r="BA64" s="2557"/>
      <c r="BB64" s="2557"/>
      <c r="BC64" s="2560"/>
      <c r="BD64" s="2502"/>
      <c r="BE64" s="2502"/>
      <c r="BF64" s="2551"/>
      <c r="BG64" s="2552"/>
      <c r="BH64" s="2551"/>
      <c r="BI64" s="2552"/>
      <c r="BJ64" s="2524"/>
    </row>
    <row r="65" spans="1:63" ht="66.75" customHeight="1" x14ac:dyDescent="0.2">
      <c r="A65" s="2568"/>
      <c r="B65" s="2569"/>
      <c r="C65" s="2569"/>
      <c r="D65" s="2570"/>
      <c r="E65" s="2569"/>
      <c r="F65" s="2569"/>
      <c r="G65" s="2570"/>
      <c r="H65" s="2571"/>
      <c r="I65" s="2571"/>
      <c r="J65" s="2457"/>
      <c r="K65" s="2423"/>
      <c r="L65" s="2525"/>
      <c r="M65" s="2526"/>
      <c r="N65" s="2565"/>
      <c r="O65" s="2533"/>
      <c r="P65" s="2525"/>
      <c r="Q65" s="2524"/>
      <c r="R65" s="2529"/>
      <c r="S65" s="2553"/>
      <c r="T65" s="2524"/>
      <c r="U65" s="2431"/>
      <c r="V65" s="860" t="s">
        <v>415</v>
      </c>
      <c r="W65" s="802">
        <v>29700000</v>
      </c>
      <c r="X65" s="826">
        <v>15840000</v>
      </c>
      <c r="Y65" s="826">
        <v>5280000</v>
      </c>
      <c r="Z65" s="2520"/>
      <c r="AA65" s="2563"/>
      <c r="AB65" s="2421"/>
      <c r="AC65" s="2502"/>
      <c r="AD65" s="2421"/>
      <c r="AE65" s="2502"/>
      <c r="AF65" s="2421"/>
      <c r="AG65" s="2502"/>
      <c r="AH65" s="2421"/>
      <c r="AI65" s="2502"/>
      <c r="AJ65" s="2421"/>
      <c r="AK65" s="2502"/>
      <c r="AL65" s="2421"/>
      <c r="AM65" s="2502"/>
      <c r="AN65" s="2421"/>
      <c r="AO65" s="2502"/>
      <c r="AP65" s="2421"/>
      <c r="AQ65" s="2502"/>
      <c r="AR65" s="2421"/>
      <c r="AS65" s="2502"/>
      <c r="AT65" s="2421"/>
      <c r="AU65" s="2502"/>
      <c r="AV65" s="2421"/>
      <c r="AW65" s="2502"/>
      <c r="AX65" s="2421"/>
      <c r="AY65" s="2502"/>
      <c r="AZ65" s="2502"/>
      <c r="BA65" s="2557"/>
      <c r="BB65" s="2557"/>
      <c r="BC65" s="2560"/>
      <c r="BD65" s="2502"/>
      <c r="BE65" s="2502"/>
      <c r="BF65" s="2551"/>
      <c r="BG65" s="2552"/>
      <c r="BH65" s="2551"/>
      <c r="BI65" s="2552"/>
      <c r="BJ65" s="2524"/>
    </row>
    <row r="66" spans="1:63" ht="60" customHeight="1" x14ac:dyDescent="0.2">
      <c r="A66" s="2568"/>
      <c r="B66" s="2569"/>
      <c r="C66" s="2569"/>
      <c r="D66" s="2570"/>
      <c r="E66" s="2569"/>
      <c r="F66" s="2569"/>
      <c r="G66" s="2570"/>
      <c r="H66" s="2571"/>
      <c r="I66" s="2571"/>
      <c r="J66" s="2457"/>
      <c r="K66" s="2423"/>
      <c r="L66" s="2525"/>
      <c r="M66" s="2526"/>
      <c r="N66" s="2565"/>
      <c r="O66" s="2533"/>
      <c r="P66" s="2525"/>
      <c r="Q66" s="2524"/>
      <c r="R66" s="2529"/>
      <c r="S66" s="2553"/>
      <c r="T66" s="2524"/>
      <c r="U66" s="2431"/>
      <c r="V66" s="860" t="s">
        <v>416</v>
      </c>
      <c r="W66" s="802">
        <v>29700000</v>
      </c>
      <c r="X66" s="826">
        <v>15840000</v>
      </c>
      <c r="Y66" s="826">
        <v>5280000</v>
      </c>
      <c r="Z66" s="2520"/>
      <c r="AA66" s="2563"/>
      <c r="AB66" s="2421"/>
      <c r="AC66" s="2502"/>
      <c r="AD66" s="2421"/>
      <c r="AE66" s="2502"/>
      <c r="AF66" s="2421"/>
      <c r="AG66" s="2502"/>
      <c r="AH66" s="2421"/>
      <c r="AI66" s="2502"/>
      <c r="AJ66" s="2421"/>
      <c r="AK66" s="2502"/>
      <c r="AL66" s="2421"/>
      <c r="AM66" s="2502"/>
      <c r="AN66" s="2421"/>
      <c r="AO66" s="2502"/>
      <c r="AP66" s="2421"/>
      <c r="AQ66" s="2502"/>
      <c r="AR66" s="2421"/>
      <c r="AS66" s="2502"/>
      <c r="AT66" s="2421"/>
      <c r="AU66" s="2502"/>
      <c r="AV66" s="2421"/>
      <c r="AW66" s="2502"/>
      <c r="AX66" s="2421"/>
      <c r="AY66" s="2502"/>
      <c r="AZ66" s="2502"/>
      <c r="BA66" s="2557"/>
      <c r="BB66" s="2557"/>
      <c r="BC66" s="2560"/>
      <c r="BD66" s="2502"/>
      <c r="BE66" s="2502"/>
      <c r="BF66" s="2551"/>
      <c r="BG66" s="2552"/>
      <c r="BH66" s="2551"/>
      <c r="BI66" s="2552"/>
      <c r="BJ66" s="2524"/>
    </row>
    <row r="67" spans="1:63" ht="42.75" x14ac:dyDescent="0.2">
      <c r="A67" s="2568"/>
      <c r="B67" s="2569"/>
      <c r="C67" s="2569"/>
      <c r="D67" s="2570"/>
      <c r="E67" s="2569"/>
      <c r="F67" s="2569"/>
      <c r="G67" s="2570"/>
      <c r="H67" s="2571"/>
      <c r="I67" s="2571"/>
      <c r="J67" s="2457"/>
      <c r="K67" s="2423"/>
      <c r="L67" s="2525"/>
      <c r="M67" s="2526"/>
      <c r="N67" s="2565"/>
      <c r="O67" s="2503" t="s">
        <v>417</v>
      </c>
      <c r="P67" s="2525"/>
      <c r="Q67" s="2524"/>
      <c r="R67" s="2529"/>
      <c r="S67" s="2553"/>
      <c r="T67" s="2524"/>
      <c r="U67" s="2431"/>
      <c r="V67" s="860" t="s">
        <v>418</v>
      </c>
      <c r="W67" s="862">
        <v>30000000</v>
      </c>
      <c r="X67" s="862"/>
      <c r="Y67" s="862"/>
      <c r="Z67" s="2505">
        <v>88</v>
      </c>
      <c r="AA67" s="2554" t="s">
        <v>419</v>
      </c>
      <c r="AB67" s="2421"/>
      <c r="AC67" s="2502"/>
      <c r="AD67" s="2421"/>
      <c r="AE67" s="2502"/>
      <c r="AF67" s="2421"/>
      <c r="AG67" s="2502"/>
      <c r="AH67" s="2421"/>
      <c r="AI67" s="2502"/>
      <c r="AJ67" s="2421"/>
      <c r="AK67" s="2502"/>
      <c r="AL67" s="2421"/>
      <c r="AM67" s="2502"/>
      <c r="AN67" s="2421"/>
      <c r="AO67" s="2502"/>
      <c r="AP67" s="2421"/>
      <c r="AQ67" s="2502"/>
      <c r="AR67" s="2421"/>
      <c r="AS67" s="2502"/>
      <c r="AT67" s="2421"/>
      <c r="AU67" s="2502"/>
      <c r="AV67" s="2421"/>
      <c r="AW67" s="2502"/>
      <c r="AX67" s="2421"/>
      <c r="AY67" s="2502"/>
      <c r="AZ67" s="2502"/>
      <c r="BA67" s="2557"/>
      <c r="BB67" s="2557"/>
      <c r="BC67" s="2560"/>
      <c r="BD67" s="2502"/>
      <c r="BE67" s="2502"/>
      <c r="BF67" s="2551"/>
      <c r="BG67" s="2552"/>
      <c r="BH67" s="2551"/>
      <c r="BI67" s="2552"/>
      <c r="BJ67" s="2524"/>
    </row>
    <row r="68" spans="1:63" ht="29.25" customHeight="1" x14ac:dyDescent="0.2">
      <c r="A68" s="2568"/>
      <c r="B68" s="2569"/>
      <c r="C68" s="2569"/>
      <c r="D68" s="2570"/>
      <c r="E68" s="2569"/>
      <c r="F68" s="2569"/>
      <c r="G68" s="2570"/>
      <c r="H68" s="2571"/>
      <c r="I68" s="2571"/>
      <c r="J68" s="2457"/>
      <c r="K68" s="2423"/>
      <c r="L68" s="2525"/>
      <c r="M68" s="2526"/>
      <c r="N68" s="2565"/>
      <c r="O68" s="2503"/>
      <c r="P68" s="2525"/>
      <c r="Q68" s="2524"/>
      <c r="R68" s="2529"/>
      <c r="S68" s="2553"/>
      <c r="T68" s="2524"/>
      <c r="U68" s="2431"/>
      <c r="V68" s="860" t="s">
        <v>420</v>
      </c>
      <c r="W68" s="862">
        <v>2500000</v>
      </c>
      <c r="X68" s="862"/>
      <c r="Y68" s="862"/>
      <c r="Z68" s="2505"/>
      <c r="AA68" s="2554"/>
      <c r="AB68" s="2421"/>
      <c r="AC68" s="2502"/>
      <c r="AD68" s="2421"/>
      <c r="AE68" s="2502"/>
      <c r="AF68" s="2421"/>
      <c r="AG68" s="2502"/>
      <c r="AH68" s="2421"/>
      <c r="AI68" s="2502"/>
      <c r="AJ68" s="2421"/>
      <c r="AK68" s="2502"/>
      <c r="AL68" s="2421"/>
      <c r="AM68" s="2502"/>
      <c r="AN68" s="2421"/>
      <c r="AO68" s="2502"/>
      <c r="AP68" s="2421"/>
      <c r="AQ68" s="2502"/>
      <c r="AR68" s="2421"/>
      <c r="AS68" s="2502"/>
      <c r="AT68" s="2421"/>
      <c r="AU68" s="2502"/>
      <c r="AV68" s="2421"/>
      <c r="AW68" s="2502"/>
      <c r="AX68" s="2421"/>
      <c r="AY68" s="2502"/>
      <c r="AZ68" s="2502"/>
      <c r="BA68" s="2557"/>
      <c r="BB68" s="2557"/>
      <c r="BC68" s="2560"/>
      <c r="BD68" s="2502"/>
      <c r="BE68" s="2502"/>
      <c r="BF68" s="2551"/>
      <c r="BG68" s="2552"/>
      <c r="BH68" s="2551"/>
      <c r="BI68" s="2552"/>
      <c r="BJ68" s="2524"/>
    </row>
    <row r="69" spans="1:63" ht="24" customHeight="1" x14ac:dyDescent="0.2">
      <c r="A69" s="2568"/>
      <c r="B69" s="2569"/>
      <c r="C69" s="2569"/>
      <c r="D69" s="2570"/>
      <c r="E69" s="2569"/>
      <c r="F69" s="2569"/>
      <c r="G69" s="2570"/>
      <c r="H69" s="2571"/>
      <c r="I69" s="2571"/>
      <c r="J69" s="2457"/>
      <c r="K69" s="2423"/>
      <c r="L69" s="2525"/>
      <c r="M69" s="2526"/>
      <c r="N69" s="2565"/>
      <c r="O69" s="2503"/>
      <c r="P69" s="2525"/>
      <c r="Q69" s="2524"/>
      <c r="R69" s="2529"/>
      <c r="S69" s="2553"/>
      <c r="T69" s="2524"/>
      <c r="U69" s="2431" t="s">
        <v>421</v>
      </c>
      <c r="V69" s="860" t="s">
        <v>422</v>
      </c>
      <c r="W69" s="826">
        <f>20800000+11200000</f>
        <v>32000000</v>
      </c>
      <c r="X69" s="826"/>
      <c r="Y69" s="826"/>
      <c r="Z69" s="2505"/>
      <c r="AA69" s="2554"/>
      <c r="AB69" s="2421"/>
      <c r="AC69" s="2502"/>
      <c r="AD69" s="2421"/>
      <c r="AE69" s="2502"/>
      <c r="AF69" s="2421"/>
      <c r="AG69" s="2502"/>
      <c r="AH69" s="2421"/>
      <c r="AI69" s="2502"/>
      <c r="AJ69" s="2421"/>
      <c r="AK69" s="2502"/>
      <c r="AL69" s="2421"/>
      <c r="AM69" s="2502"/>
      <c r="AN69" s="2421"/>
      <c r="AO69" s="2502"/>
      <c r="AP69" s="2421"/>
      <c r="AQ69" s="2502"/>
      <c r="AR69" s="2421"/>
      <c r="AS69" s="2502"/>
      <c r="AT69" s="2421"/>
      <c r="AU69" s="2502"/>
      <c r="AV69" s="2421"/>
      <c r="AW69" s="2502"/>
      <c r="AX69" s="2421"/>
      <c r="AY69" s="2502"/>
      <c r="AZ69" s="2502"/>
      <c r="BA69" s="2557"/>
      <c r="BB69" s="2557"/>
      <c r="BC69" s="2560"/>
      <c r="BD69" s="2502"/>
      <c r="BE69" s="2502"/>
      <c r="BF69" s="2551"/>
      <c r="BG69" s="2552"/>
      <c r="BH69" s="2551"/>
      <c r="BI69" s="2552"/>
      <c r="BJ69" s="2524"/>
    </row>
    <row r="70" spans="1:63" ht="29.25" customHeight="1" x14ac:dyDescent="0.2">
      <c r="A70" s="2568"/>
      <c r="B70" s="2569"/>
      <c r="C70" s="2569"/>
      <c r="D70" s="2570"/>
      <c r="E70" s="2569"/>
      <c r="F70" s="2569"/>
      <c r="G70" s="2570"/>
      <c r="H70" s="2571"/>
      <c r="I70" s="2571"/>
      <c r="J70" s="2457"/>
      <c r="K70" s="2423"/>
      <c r="L70" s="2525"/>
      <c r="M70" s="2526"/>
      <c r="N70" s="2565"/>
      <c r="O70" s="2503"/>
      <c r="P70" s="2525"/>
      <c r="Q70" s="2524"/>
      <c r="R70" s="2529"/>
      <c r="S70" s="2553"/>
      <c r="T70" s="2524"/>
      <c r="U70" s="2431"/>
      <c r="V70" s="860" t="s">
        <v>423</v>
      </c>
      <c r="W70" s="826">
        <f>20800000+11200000</f>
        <v>32000000</v>
      </c>
      <c r="X70" s="826"/>
      <c r="Y70" s="826"/>
      <c r="Z70" s="2505"/>
      <c r="AA70" s="2554"/>
      <c r="AB70" s="2421"/>
      <c r="AC70" s="2502"/>
      <c r="AD70" s="2421"/>
      <c r="AE70" s="2502"/>
      <c r="AF70" s="2421"/>
      <c r="AG70" s="2502"/>
      <c r="AH70" s="2421"/>
      <c r="AI70" s="2502"/>
      <c r="AJ70" s="2421"/>
      <c r="AK70" s="2502"/>
      <c r="AL70" s="2421"/>
      <c r="AM70" s="2502"/>
      <c r="AN70" s="2421"/>
      <c r="AO70" s="2502"/>
      <c r="AP70" s="2421"/>
      <c r="AQ70" s="2502"/>
      <c r="AR70" s="2421"/>
      <c r="AS70" s="2502"/>
      <c r="AT70" s="2421"/>
      <c r="AU70" s="2502"/>
      <c r="AV70" s="2421"/>
      <c r="AW70" s="2502"/>
      <c r="AX70" s="2421"/>
      <c r="AY70" s="2502"/>
      <c r="AZ70" s="2502"/>
      <c r="BA70" s="2557"/>
      <c r="BB70" s="2557"/>
      <c r="BC70" s="2560"/>
      <c r="BD70" s="2502"/>
      <c r="BE70" s="2502"/>
      <c r="BF70" s="2551"/>
      <c r="BG70" s="2552"/>
      <c r="BH70" s="2551"/>
      <c r="BI70" s="2552"/>
      <c r="BJ70" s="2524"/>
    </row>
    <row r="71" spans="1:63" ht="36" customHeight="1" x14ac:dyDescent="0.2">
      <c r="A71" s="2568"/>
      <c r="B71" s="2569"/>
      <c r="C71" s="2569"/>
      <c r="D71" s="2570"/>
      <c r="E71" s="2569"/>
      <c r="F71" s="2569"/>
      <c r="G71" s="2570"/>
      <c r="H71" s="2571"/>
      <c r="I71" s="2571"/>
      <c r="J71" s="2457"/>
      <c r="K71" s="2423"/>
      <c r="L71" s="2525"/>
      <c r="M71" s="2526"/>
      <c r="N71" s="2565"/>
      <c r="O71" s="2503"/>
      <c r="P71" s="2525"/>
      <c r="Q71" s="2524"/>
      <c r="R71" s="2529"/>
      <c r="S71" s="2553"/>
      <c r="T71" s="2524"/>
      <c r="U71" s="2431"/>
      <c r="V71" s="860" t="s">
        <v>424</v>
      </c>
      <c r="W71" s="826">
        <f>20800000+11240000</f>
        <v>32040000</v>
      </c>
      <c r="X71" s="826"/>
      <c r="Y71" s="826"/>
      <c r="Z71" s="2505"/>
      <c r="AA71" s="2554"/>
      <c r="AB71" s="2421"/>
      <c r="AC71" s="2502"/>
      <c r="AD71" s="2421"/>
      <c r="AE71" s="2502"/>
      <c r="AF71" s="2421"/>
      <c r="AG71" s="2502"/>
      <c r="AH71" s="2421"/>
      <c r="AI71" s="2502"/>
      <c r="AJ71" s="2421"/>
      <c r="AK71" s="2502"/>
      <c r="AL71" s="2421"/>
      <c r="AM71" s="2502"/>
      <c r="AN71" s="2421"/>
      <c r="AO71" s="2502"/>
      <c r="AP71" s="2421"/>
      <c r="AQ71" s="2502"/>
      <c r="AR71" s="2421"/>
      <c r="AS71" s="2502"/>
      <c r="AT71" s="2421"/>
      <c r="AU71" s="2502"/>
      <c r="AV71" s="2421"/>
      <c r="AW71" s="2502"/>
      <c r="AX71" s="2421"/>
      <c r="AY71" s="2502"/>
      <c r="AZ71" s="2502"/>
      <c r="BA71" s="2557"/>
      <c r="BB71" s="2557"/>
      <c r="BC71" s="2560"/>
      <c r="BD71" s="2502"/>
      <c r="BE71" s="2502"/>
      <c r="BF71" s="2551"/>
      <c r="BG71" s="2552"/>
      <c r="BH71" s="2551"/>
      <c r="BI71" s="2552"/>
      <c r="BJ71" s="2524"/>
    </row>
    <row r="72" spans="1:63" ht="51" customHeight="1" x14ac:dyDescent="0.2">
      <c r="A72" s="2568"/>
      <c r="B72" s="2569"/>
      <c r="C72" s="2569"/>
      <c r="D72" s="2570"/>
      <c r="E72" s="2569"/>
      <c r="F72" s="2569"/>
      <c r="G72" s="2570"/>
      <c r="H72" s="2571"/>
      <c r="I72" s="2571"/>
      <c r="J72" s="2457"/>
      <c r="K72" s="2423"/>
      <c r="L72" s="2525"/>
      <c r="M72" s="2526"/>
      <c r="N72" s="2565"/>
      <c r="O72" s="2503"/>
      <c r="P72" s="2525"/>
      <c r="Q72" s="2524"/>
      <c r="R72" s="2529"/>
      <c r="S72" s="2553"/>
      <c r="T72" s="2524"/>
      <c r="U72" s="2431"/>
      <c r="V72" s="860" t="s">
        <v>425</v>
      </c>
      <c r="W72" s="826">
        <f>20800000+11360000</f>
        <v>32160000</v>
      </c>
      <c r="X72" s="826"/>
      <c r="Y72" s="826"/>
      <c r="Z72" s="2505"/>
      <c r="AA72" s="2554"/>
      <c r="AB72" s="2421"/>
      <c r="AC72" s="2502"/>
      <c r="AD72" s="2421"/>
      <c r="AE72" s="2502"/>
      <c r="AF72" s="2421"/>
      <c r="AG72" s="2502"/>
      <c r="AH72" s="2421"/>
      <c r="AI72" s="2502"/>
      <c r="AJ72" s="2421"/>
      <c r="AK72" s="2502"/>
      <c r="AL72" s="2421"/>
      <c r="AM72" s="2502"/>
      <c r="AN72" s="2421"/>
      <c r="AO72" s="2502"/>
      <c r="AP72" s="2421"/>
      <c r="AQ72" s="2502"/>
      <c r="AR72" s="2421"/>
      <c r="AS72" s="2502"/>
      <c r="AT72" s="2421"/>
      <c r="AU72" s="2502"/>
      <c r="AV72" s="2421"/>
      <c r="AW72" s="2502"/>
      <c r="AX72" s="2421"/>
      <c r="AY72" s="2502"/>
      <c r="AZ72" s="2502"/>
      <c r="BA72" s="2557"/>
      <c r="BB72" s="2557"/>
      <c r="BC72" s="2560"/>
      <c r="BD72" s="2502"/>
      <c r="BE72" s="2502"/>
      <c r="BF72" s="2551"/>
      <c r="BG72" s="2552"/>
      <c r="BH72" s="2551"/>
      <c r="BI72" s="2552"/>
      <c r="BJ72" s="2524"/>
    </row>
    <row r="73" spans="1:63" ht="60" customHeight="1" x14ac:dyDescent="0.2">
      <c r="A73" s="2568"/>
      <c r="B73" s="2569"/>
      <c r="C73" s="2569"/>
      <c r="D73" s="2570"/>
      <c r="E73" s="2569"/>
      <c r="F73" s="2569"/>
      <c r="G73" s="2570"/>
      <c r="H73" s="2571"/>
      <c r="I73" s="2571"/>
      <c r="J73" s="2457"/>
      <c r="K73" s="2423"/>
      <c r="L73" s="2525"/>
      <c r="M73" s="2526"/>
      <c r="N73" s="2565"/>
      <c r="O73" s="2503"/>
      <c r="P73" s="2525"/>
      <c r="Q73" s="2524"/>
      <c r="R73" s="2529"/>
      <c r="S73" s="2553"/>
      <c r="T73" s="2524"/>
      <c r="U73" s="75" t="s">
        <v>426</v>
      </c>
      <c r="V73" s="860" t="s">
        <v>427</v>
      </c>
      <c r="W73" s="802">
        <v>90000000</v>
      </c>
      <c r="X73" s="802">
        <v>47520000</v>
      </c>
      <c r="Y73" s="802">
        <v>13200000</v>
      </c>
      <c r="Z73" s="2505"/>
      <c r="AA73" s="2554"/>
      <c r="AB73" s="2421"/>
      <c r="AC73" s="2502"/>
      <c r="AD73" s="2421"/>
      <c r="AE73" s="2502"/>
      <c r="AF73" s="2421"/>
      <c r="AG73" s="2502"/>
      <c r="AH73" s="2421"/>
      <c r="AI73" s="2502"/>
      <c r="AJ73" s="2421"/>
      <c r="AK73" s="2502"/>
      <c r="AL73" s="2421"/>
      <c r="AM73" s="2502"/>
      <c r="AN73" s="2421"/>
      <c r="AO73" s="2502"/>
      <c r="AP73" s="2421"/>
      <c r="AQ73" s="2502"/>
      <c r="AR73" s="2421"/>
      <c r="AS73" s="2502"/>
      <c r="AT73" s="2421"/>
      <c r="AU73" s="2502"/>
      <c r="AV73" s="2421"/>
      <c r="AW73" s="2502"/>
      <c r="AX73" s="2421"/>
      <c r="AY73" s="2502"/>
      <c r="AZ73" s="2502"/>
      <c r="BA73" s="2557"/>
      <c r="BB73" s="2557"/>
      <c r="BC73" s="2560"/>
      <c r="BD73" s="2502"/>
      <c r="BE73" s="2502"/>
      <c r="BF73" s="2551"/>
      <c r="BG73" s="2552"/>
      <c r="BH73" s="2551"/>
      <c r="BI73" s="2552"/>
      <c r="BJ73" s="2524"/>
    </row>
    <row r="74" spans="1:63" ht="39" customHeight="1" x14ac:dyDescent="0.2">
      <c r="A74" s="2568"/>
      <c r="B74" s="2569"/>
      <c r="C74" s="2569"/>
      <c r="D74" s="2570"/>
      <c r="E74" s="2569"/>
      <c r="F74" s="2569"/>
      <c r="G74" s="2570"/>
      <c r="H74" s="2571"/>
      <c r="I74" s="2571"/>
      <c r="J74" s="2457"/>
      <c r="K74" s="2423"/>
      <c r="L74" s="2525"/>
      <c r="M74" s="2526"/>
      <c r="N74" s="2565"/>
      <c r="O74" s="2503"/>
      <c r="P74" s="2525"/>
      <c r="Q74" s="2524"/>
      <c r="R74" s="2529"/>
      <c r="S74" s="2553"/>
      <c r="T74" s="2524"/>
      <c r="U74" s="75" t="s">
        <v>428</v>
      </c>
      <c r="V74" s="860" t="s">
        <v>429</v>
      </c>
      <c r="W74" s="802">
        <v>203200000</v>
      </c>
      <c r="X74" s="802"/>
      <c r="Y74" s="802"/>
      <c r="Z74" s="2505"/>
      <c r="AA74" s="2554"/>
      <c r="AB74" s="2421"/>
      <c r="AC74" s="2502"/>
      <c r="AD74" s="2421"/>
      <c r="AE74" s="2502"/>
      <c r="AF74" s="2421"/>
      <c r="AG74" s="2502"/>
      <c r="AH74" s="2421"/>
      <c r="AI74" s="2502"/>
      <c r="AJ74" s="2421"/>
      <c r="AK74" s="2502"/>
      <c r="AL74" s="2421"/>
      <c r="AM74" s="2502"/>
      <c r="AN74" s="2421"/>
      <c r="AO74" s="2502"/>
      <c r="AP74" s="2421"/>
      <c r="AQ74" s="2502"/>
      <c r="AR74" s="2421"/>
      <c r="AS74" s="2502"/>
      <c r="AT74" s="2421"/>
      <c r="AU74" s="2502"/>
      <c r="AV74" s="2421"/>
      <c r="AW74" s="2502"/>
      <c r="AX74" s="2421"/>
      <c r="AY74" s="2502"/>
      <c r="AZ74" s="2502"/>
      <c r="BA74" s="2557"/>
      <c r="BB74" s="2557"/>
      <c r="BC74" s="2560"/>
      <c r="BD74" s="2502"/>
      <c r="BE74" s="2502"/>
      <c r="BF74" s="2551"/>
      <c r="BG74" s="2552"/>
      <c r="BH74" s="2551"/>
      <c r="BI74" s="2552"/>
      <c r="BJ74" s="2524"/>
    </row>
    <row r="75" spans="1:63" ht="50.25" customHeight="1" x14ac:dyDescent="0.2">
      <c r="A75" s="2568"/>
      <c r="B75" s="2569"/>
      <c r="C75" s="2569"/>
      <c r="D75" s="2570"/>
      <c r="E75" s="2569"/>
      <c r="F75" s="2569"/>
      <c r="G75" s="2570"/>
      <c r="H75" s="2571"/>
      <c r="I75" s="2571"/>
      <c r="J75" s="2457"/>
      <c r="K75" s="2423"/>
      <c r="L75" s="2525"/>
      <c r="M75" s="2526"/>
      <c r="N75" s="2566"/>
      <c r="O75" s="2504"/>
      <c r="P75" s="2525"/>
      <c r="Q75" s="2524"/>
      <c r="R75" s="2529"/>
      <c r="S75" s="2553"/>
      <c r="T75" s="2524"/>
      <c r="U75" s="75" t="s">
        <v>430</v>
      </c>
      <c r="V75" s="860" t="s">
        <v>431</v>
      </c>
      <c r="W75" s="802">
        <v>26000000</v>
      </c>
      <c r="X75" s="802"/>
      <c r="Y75" s="802"/>
      <c r="Z75" s="2506"/>
      <c r="AA75" s="2555"/>
      <c r="AB75" s="2421"/>
      <c r="AC75" s="2518"/>
      <c r="AD75" s="2421"/>
      <c r="AE75" s="2518"/>
      <c r="AF75" s="2421"/>
      <c r="AG75" s="2518"/>
      <c r="AH75" s="2421"/>
      <c r="AI75" s="2518"/>
      <c r="AJ75" s="2421"/>
      <c r="AK75" s="2518"/>
      <c r="AL75" s="2421"/>
      <c r="AM75" s="2518"/>
      <c r="AN75" s="2421"/>
      <c r="AO75" s="2518"/>
      <c r="AP75" s="2421"/>
      <c r="AQ75" s="2518"/>
      <c r="AR75" s="2421"/>
      <c r="AS75" s="2518"/>
      <c r="AT75" s="2421"/>
      <c r="AU75" s="2518"/>
      <c r="AV75" s="2421"/>
      <c r="AW75" s="2518"/>
      <c r="AX75" s="2421"/>
      <c r="AY75" s="2518"/>
      <c r="AZ75" s="2518"/>
      <c r="BA75" s="2558"/>
      <c r="BB75" s="2558"/>
      <c r="BC75" s="2561"/>
      <c r="BD75" s="2518"/>
      <c r="BE75" s="2518"/>
      <c r="BF75" s="2551"/>
      <c r="BG75" s="2497"/>
      <c r="BH75" s="2551"/>
      <c r="BI75" s="2497"/>
      <c r="BJ75" s="2524"/>
    </row>
    <row r="76" spans="1:63" s="51" customFormat="1" ht="106.5" customHeight="1" x14ac:dyDescent="0.2">
      <c r="A76" s="834"/>
      <c r="B76" s="835"/>
      <c r="C76" s="835"/>
      <c r="D76" s="836"/>
      <c r="E76" s="835"/>
      <c r="F76" s="835"/>
      <c r="G76" s="836"/>
      <c r="H76" s="835"/>
      <c r="I76" s="835"/>
      <c r="J76" s="2421">
        <v>266</v>
      </c>
      <c r="K76" s="2431" t="s">
        <v>432</v>
      </c>
      <c r="L76" s="2430" t="s">
        <v>18</v>
      </c>
      <c r="M76" s="2430">
        <v>1</v>
      </c>
      <c r="N76" s="2549">
        <v>0.15</v>
      </c>
      <c r="O76" s="2532" t="s">
        <v>433</v>
      </c>
      <c r="P76" s="2435">
        <v>13</v>
      </c>
      <c r="Q76" s="2540" t="s">
        <v>434</v>
      </c>
      <c r="R76" s="2545">
        <v>1</v>
      </c>
      <c r="S76" s="2546">
        <f>16000000+20000000</f>
        <v>36000000</v>
      </c>
      <c r="T76" s="2431" t="s">
        <v>435</v>
      </c>
      <c r="U76" s="62" t="s">
        <v>436</v>
      </c>
      <c r="V76" s="62" t="s">
        <v>437</v>
      </c>
      <c r="W76" s="826">
        <v>1750000</v>
      </c>
      <c r="X76" s="826">
        <f>W76</f>
        <v>1750000</v>
      </c>
      <c r="Y76" s="826"/>
      <c r="Z76" s="2547">
        <v>20</v>
      </c>
      <c r="AA76" s="2498" t="s">
        <v>438</v>
      </c>
      <c r="AB76" s="2500"/>
      <c r="AC76" s="2498"/>
      <c r="AD76" s="2500"/>
      <c r="AE76" s="2498"/>
      <c r="AF76" s="2500"/>
      <c r="AG76" s="2498"/>
      <c r="AH76" s="2421">
        <v>50</v>
      </c>
      <c r="AI76" s="2501">
        <v>25</v>
      </c>
      <c r="AJ76" s="2421">
        <v>220</v>
      </c>
      <c r="AK76" s="2501">
        <v>110</v>
      </c>
      <c r="AL76" s="2421">
        <v>49</v>
      </c>
      <c r="AM76" s="2501">
        <v>25</v>
      </c>
      <c r="AN76" s="2500"/>
      <c r="AO76" s="2498"/>
      <c r="AP76" s="2421"/>
      <c r="AQ76" s="2501"/>
      <c r="AR76" s="2500"/>
      <c r="AS76" s="2498"/>
      <c r="AT76" s="2500"/>
      <c r="AU76" s="2498"/>
      <c r="AV76" s="2500"/>
      <c r="AW76" s="2498"/>
      <c r="AX76" s="2500"/>
      <c r="AY76" s="2498"/>
      <c r="AZ76" s="2541">
        <v>1</v>
      </c>
      <c r="BA76" s="2511">
        <f>SUM(X76:X81)</f>
        <v>15840000</v>
      </c>
      <c r="BB76" s="2511">
        <f>SUM(Y76:Y81)</f>
        <v>5280000</v>
      </c>
      <c r="BC76" s="2513">
        <f>BB76/BA76</f>
        <v>0.33333333333333331</v>
      </c>
      <c r="BD76" s="2541">
        <v>20</v>
      </c>
      <c r="BE76" s="2535" t="s">
        <v>305</v>
      </c>
      <c r="BF76" s="2537"/>
      <c r="BG76" s="2538">
        <v>42755</v>
      </c>
      <c r="BH76" s="2537"/>
      <c r="BI76" s="2538">
        <v>42935</v>
      </c>
      <c r="BJ76" s="2540" t="s">
        <v>307</v>
      </c>
      <c r="BK76" s="2530"/>
    </row>
    <row r="77" spans="1:63" s="51" customFormat="1" ht="50.25" customHeight="1" x14ac:dyDescent="0.2">
      <c r="A77" s="834"/>
      <c r="B77" s="835"/>
      <c r="C77" s="835"/>
      <c r="D77" s="836"/>
      <c r="E77" s="835"/>
      <c r="F77" s="835"/>
      <c r="G77" s="836"/>
      <c r="H77" s="835"/>
      <c r="I77" s="835"/>
      <c r="J77" s="2421"/>
      <c r="K77" s="2431"/>
      <c r="L77" s="2430"/>
      <c r="M77" s="2430"/>
      <c r="N77" s="2550"/>
      <c r="O77" s="2533"/>
      <c r="P77" s="2435"/>
      <c r="Q77" s="2540"/>
      <c r="R77" s="2545"/>
      <c r="S77" s="2546"/>
      <c r="T77" s="2540"/>
      <c r="U77" s="2431" t="s">
        <v>439</v>
      </c>
      <c r="V77" s="62" t="s">
        <v>440</v>
      </c>
      <c r="W77" s="826">
        <f>'[2]013 (a) '!$F$8</f>
        <v>3680000</v>
      </c>
      <c r="X77" s="826">
        <f>W77</f>
        <v>3680000</v>
      </c>
      <c r="Y77" s="826">
        <f>'[2]013 (a) '!$I$8</f>
        <v>1900800</v>
      </c>
      <c r="Z77" s="2548"/>
      <c r="AA77" s="2499"/>
      <c r="AB77" s="2500"/>
      <c r="AC77" s="2499"/>
      <c r="AD77" s="2500"/>
      <c r="AE77" s="2499"/>
      <c r="AF77" s="2500"/>
      <c r="AG77" s="2499"/>
      <c r="AH77" s="2421"/>
      <c r="AI77" s="2502"/>
      <c r="AJ77" s="2421"/>
      <c r="AK77" s="2502"/>
      <c r="AL77" s="2421"/>
      <c r="AM77" s="2502"/>
      <c r="AN77" s="2500"/>
      <c r="AO77" s="2499"/>
      <c r="AP77" s="2421"/>
      <c r="AQ77" s="2502"/>
      <c r="AR77" s="2500"/>
      <c r="AS77" s="2499"/>
      <c r="AT77" s="2500"/>
      <c r="AU77" s="2499"/>
      <c r="AV77" s="2500"/>
      <c r="AW77" s="2499"/>
      <c r="AX77" s="2500"/>
      <c r="AY77" s="2499"/>
      <c r="AZ77" s="2542"/>
      <c r="BA77" s="2543"/>
      <c r="BB77" s="2543"/>
      <c r="BC77" s="2544"/>
      <c r="BD77" s="2542"/>
      <c r="BE77" s="2536"/>
      <c r="BF77" s="2537"/>
      <c r="BG77" s="2539"/>
      <c r="BH77" s="2537"/>
      <c r="BI77" s="2539"/>
      <c r="BJ77" s="2540"/>
      <c r="BK77" s="2530"/>
    </row>
    <row r="78" spans="1:63" s="51" customFormat="1" ht="81" customHeight="1" x14ac:dyDescent="0.2">
      <c r="A78" s="834"/>
      <c r="B78" s="835"/>
      <c r="C78" s="835"/>
      <c r="D78" s="836"/>
      <c r="E78" s="835"/>
      <c r="F78" s="835"/>
      <c r="G78" s="836"/>
      <c r="H78" s="835"/>
      <c r="I78" s="835"/>
      <c r="J78" s="2421"/>
      <c r="K78" s="2431"/>
      <c r="L78" s="2430"/>
      <c r="M78" s="2430"/>
      <c r="N78" s="2550"/>
      <c r="O78" s="2533"/>
      <c r="P78" s="2435"/>
      <c r="Q78" s="2540"/>
      <c r="R78" s="2545"/>
      <c r="S78" s="2546"/>
      <c r="T78" s="2540"/>
      <c r="U78" s="2431"/>
      <c r="V78" s="62" t="s">
        <v>441</v>
      </c>
      <c r="W78" s="826">
        <f>'[2]013 (a) '!$F$11</f>
        <v>11120000</v>
      </c>
      <c r="X78" s="826">
        <f>'[2]013 (a) '!$H$11</f>
        <v>7035000</v>
      </c>
      <c r="Y78" s="826">
        <f>'[2]013 (a) '!$I$11</f>
        <v>2323200</v>
      </c>
      <c r="Z78" s="2548"/>
      <c r="AA78" s="2499"/>
      <c r="AB78" s="2500"/>
      <c r="AC78" s="2499"/>
      <c r="AD78" s="2500"/>
      <c r="AE78" s="2499"/>
      <c r="AF78" s="2500"/>
      <c r="AG78" s="2499"/>
      <c r="AH78" s="2421"/>
      <c r="AI78" s="2502"/>
      <c r="AJ78" s="2421"/>
      <c r="AK78" s="2502"/>
      <c r="AL78" s="2421"/>
      <c r="AM78" s="2502"/>
      <c r="AN78" s="2500"/>
      <c r="AO78" s="2499"/>
      <c r="AP78" s="2421"/>
      <c r="AQ78" s="2502"/>
      <c r="AR78" s="2500"/>
      <c r="AS78" s="2499"/>
      <c r="AT78" s="2500"/>
      <c r="AU78" s="2499"/>
      <c r="AV78" s="2500"/>
      <c r="AW78" s="2499"/>
      <c r="AX78" s="2500"/>
      <c r="AY78" s="2499"/>
      <c r="AZ78" s="2542"/>
      <c r="BA78" s="2543"/>
      <c r="BB78" s="2543"/>
      <c r="BC78" s="2544"/>
      <c r="BD78" s="2542"/>
      <c r="BE78" s="2536"/>
      <c r="BF78" s="2537"/>
      <c r="BG78" s="2539"/>
      <c r="BH78" s="2537"/>
      <c r="BI78" s="2539"/>
      <c r="BJ78" s="2540"/>
      <c r="BK78" s="2530"/>
    </row>
    <row r="79" spans="1:63" s="51" customFormat="1" ht="56.25" customHeight="1" x14ac:dyDescent="0.2">
      <c r="A79" s="834"/>
      <c r="B79" s="835"/>
      <c r="C79" s="835"/>
      <c r="D79" s="836"/>
      <c r="E79" s="835"/>
      <c r="F79" s="835"/>
      <c r="G79" s="836"/>
      <c r="H79" s="835"/>
      <c r="I79" s="835"/>
      <c r="J79" s="2421"/>
      <c r="K79" s="2431"/>
      <c r="L79" s="2430"/>
      <c r="M79" s="2430"/>
      <c r="N79" s="2550"/>
      <c r="O79" s="2503" t="s">
        <v>442</v>
      </c>
      <c r="P79" s="2435"/>
      <c r="Q79" s="2540"/>
      <c r="R79" s="2545"/>
      <c r="S79" s="2546"/>
      <c r="T79" s="2540"/>
      <c r="U79" s="2431"/>
      <c r="V79" s="62" t="s">
        <v>443</v>
      </c>
      <c r="W79" s="863">
        <f>'[2]013 (a) '!$F$20</f>
        <v>11040000</v>
      </c>
      <c r="X79" s="863"/>
      <c r="Y79" s="863"/>
      <c r="Z79" s="2531">
        <v>88</v>
      </c>
      <c r="AA79" s="2503" t="s">
        <v>419</v>
      </c>
      <c r="AB79" s="2500"/>
      <c r="AC79" s="2499"/>
      <c r="AD79" s="2500"/>
      <c r="AE79" s="2499"/>
      <c r="AF79" s="2500"/>
      <c r="AG79" s="2499"/>
      <c r="AH79" s="2421"/>
      <c r="AI79" s="2502"/>
      <c r="AJ79" s="2421"/>
      <c r="AK79" s="2502"/>
      <c r="AL79" s="2421"/>
      <c r="AM79" s="2502"/>
      <c r="AN79" s="2500"/>
      <c r="AO79" s="2499"/>
      <c r="AP79" s="2421"/>
      <c r="AQ79" s="2502"/>
      <c r="AR79" s="2500"/>
      <c r="AS79" s="2499"/>
      <c r="AT79" s="2500"/>
      <c r="AU79" s="2499"/>
      <c r="AV79" s="2500"/>
      <c r="AW79" s="2499"/>
      <c r="AX79" s="2500"/>
      <c r="AY79" s="2499"/>
      <c r="AZ79" s="2542"/>
      <c r="BA79" s="2543"/>
      <c r="BB79" s="2543"/>
      <c r="BC79" s="2544"/>
      <c r="BD79" s="2542"/>
      <c r="BE79" s="2536"/>
      <c r="BF79" s="2537"/>
      <c r="BG79" s="2539"/>
      <c r="BH79" s="2537"/>
      <c r="BI79" s="2539"/>
      <c r="BJ79" s="2540"/>
      <c r="BK79" s="2530"/>
    </row>
    <row r="80" spans="1:63" s="51" customFormat="1" ht="56.25" customHeight="1" x14ac:dyDescent="0.2">
      <c r="A80" s="834"/>
      <c r="B80" s="835"/>
      <c r="C80" s="835"/>
      <c r="D80" s="836"/>
      <c r="E80" s="835"/>
      <c r="F80" s="835"/>
      <c r="G80" s="836"/>
      <c r="H80" s="835"/>
      <c r="I80" s="835"/>
      <c r="J80" s="2421"/>
      <c r="K80" s="2431"/>
      <c r="L80" s="2430"/>
      <c r="M80" s="2430"/>
      <c r="N80" s="2550"/>
      <c r="O80" s="2503"/>
      <c r="P80" s="2435"/>
      <c r="Q80" s="2540"/>
      <c r="R80" s="2545"/>
      <c r="S80" s="2546"/>
      <c r="T80" s="2540"/>
      <c r="U80" s="2431"/>
      <c r="V80" s="62" t="s">
        <v>444</v>
      </c>
      <c r="W80" s="863">
        <f>'[2]013 (a) '!$F$28</f>
        <v>8075000</v>
      </c>
      <c r="X80" s="863">
        <f>'[2]013 (a) '!$H$28</f>
        <v>3375000</v>
      </c>
      <c r="Y80" s="863">
        <f>'[2]013 (a) '!$I$28</f>
        <v>1056000</v>
      </c>
      <c r="Z80" s="2531"/>
      <c r="AA80" s="2503"/>
      <c r="AB80" s="2500"/>
      <c r="AC80" s="2499"/>
      <c r="AD80" s="2500"/>
      <c r="AE80" s="2499"/>
      <c r="AF80" s="2500"/>
      <c r="AG80" s="2499"/>
      <c r="AH80" s="2421"/>
      <c r="AI80" s="2502"/>
      <c r="AJ80" s="2421"/>
      <c r="AK80" s="2502"/>
      <c r="AL80" s="2421"/>
      <c r="AM80" s="2502"/>
      <c r="AN80" s="2500"/>
      <c r="AO80" s="2499"/>
      <c r="AP80" s="2421"/>
      <c r="AQ80" s="2502"/>
      <c r="AR80" s="2500"/>
      <c r="AS80" s="2499"/>
      <c r="AT80" s="2500"/>
      <c r="AU80" s="2499"/>
      <c r="AV80" s="2500"/>
      <c r="AW80" s="2499"/>
      <c r="AX80" s="2500"/>
      <c r="AY80" s="2499"/>
      <c r="AZ80" s="2542"/>
      <c r="BA80" s="2543"/>
      <c r="BB80" s="2543"/>
      <c r="BC80" s="2544"/>
      <c r="BD80" s="2542"/>
      <c r="BE80" s="2536"/>
      <c r="BF80" s="2537"/>
      <c r="BG80" s="2539"/>
      <c r="BH80" s="2537"/>
      <c r="BI80" s="2539"/>
      <c r="BJ80" s="2540"/>
      <c r="BK80" s="2530"/>
    </row>
    <row r="81" spans="1:85" s="51" customFormat="1" ht="39" customHeight="1" x14ac:dyDescent="0.2">
      <c r="A81" s="834"/>
      <c r="B81" s="835"/>
      <c r="C81" s="835"/>
      <c r="D81" s="836"/>
      <c r="E81" s="835"/>
      <c r="F81" s="835"/>
      <c r="G81" s="836"/>
      <c r="H81" s="835"/>
      <c r="I81" s="835"/>
      <c r="J81" s="2421"/>
      <c r="K81" s="2431"/>
      <c r="L81" s="2430"/>
      <c r="M81" s="2430"/>
      <c r="N81" s="2550"/>
      <c r="O81" s="2503"/>
      <c r="P81" s="2435"/>
      <c r="Q81" s="2540"/>
      <c r="R81" s="2545"/>
      <c r="S81" s="2546"/>
      <c r="T81" s="2540"/>
      <c r="U81" s="2431"/>
      <c r="V81" s="864" t="s">
        <v>445</v>
      </c>
      <c r="W81" s="863">
        <f>'[2]013 (a) '!$F$33</f>
        <v>335000</v>
      </c>
      <c r="X81" s="863"/>
      <c r="Y81" s="863"/>
      <c r="Z81" s="2531"/>
      <c r="AA81" s="2503"/>
      <c r="AB81" s="2500"/>
      <c r="AC81" s="2499"/>
      <c r="AD81" s="2500"/>
      <c r="AE81" s="2499"/>
      <c r="AF81" s="2500"/>
      <c r="AG81" s="2499"/>
      <c r="AH81" s="2421"/>
      <c r="AI81" s="2502"/>
      <c r="AJ81" s="2421"/>
      <c r="AK81" s="2502"/>
      <c r="AL81" s="2421"/>
      <c r="AM81" s="2502"/>
      <c r="AN81" s="2500"/>
      <c r="AO81" s="2499"/>
      <c r="AP81" s="2421"/>
      <c r="AQ81" s="2502"/>
      <c r="AR81" s="2500"/>
      <c r="AS81" s="2499"/>
      <c r="AT81" s="2500"/>
      <c r="AU81" s="2499"/>
      <c r="AV81" s="2500"/>
      <c r="AW81" s="2499"/>
      <c r="AX81" s="2500"/>
      <c r="AY81" s="2499"/>
      <c r="AZ81" s="2542"/>
      <c r="BA81" s="2543"/>
      <c r="BB81" s="2543"/>
      <c r="BC81" s="2544"/>
      <c r="BD81" s="2542"/>
      <c r="BE81" s="2536"/>
      <c r="BF81" s="2537"/>
      <c r="BG81" s="2539"/>
      <c r="BH81" s="2537"/>
      <c r="BI81" s="2539"/>
      <c r="BJ81" s="2540"/>
      <c r="BK81" s="2530"/>
    </row>
    <row r="82" spans="1:85" ht="81.75" customHeight="1" x14ac:dyDescent="0.2">
      <c r="A82" s="790"/>
      <c r="B82" s="202"/>
      <c r="C82" s="202"/>
      <c r="D82" s="791"/>
      <c r="E82" s="202"/>
      <c r="F82" s="202"/>
      <c r="G82" s="791"/>
      <c r="H82" s="202"/>
      <c r="I82" s="792"/>
      <c r="J82" s="590">
        <v>267</v>
      </c>
      <c r="K82" s="595" t="s">
        <v>446</v>
      </c>
      <c r="L82" s="602" t="s">
        <v>324</v>
      </c>
      <c r="M82" s="865">
        <v>1</v>
      </c>
      <c r="N82" s="865">
        <v>0</v>
      </c>
      <c r="O82" s="2532" t="s">
        <v>447</v>
      </c>
      <c r="P82" s="2525">
        <v>14</v>
      </c>
      <c r="Q82" s="2524" t="s">
        <v>448</v>
      </c>
      <c r="R82" s="594">
        <f>12000000/164300000</f>
        <v>7.3037127206329891E-2</v>
      </c>
      <c r="S82" s="2521">
        <f>SUM(W82:W91)</f>
        <v>164300000</v>
      </c>
      <c r="T82" s="2431" t="s">
        <v>449</v>
      </c>
      <c r="U82" s="595" t="s">
        <v>450</v>
      </c>
      <c r="V82" s="595" t="s">
        <v>451</v>
      </c>
      <c r="W82" s="802">
        <v>12000000</v>
      </c>
      <c r="X82" s="802"/>
      <c r="Y82" s="802"/>
      <c r="Z82" s="2519">
        <v>20</v>
      </c>
      <c r="AA82" s="2519" t="s">
        <v>344</v>
      </c>
      <c r="AB82" s="2421">
        <v>0</v>
      </c>
      <c r="AC82" s="2501"/>
      <c r="AD82" s="2421">
        <v>0</v>
      </c>
      <c r="AE82" s="2501"/>
      <c r="AF82" s="2421">
        <v>0</v>
      </c>
      <c r="AG82" s="2501"/>
      <c r="AH82" s="2421">
        <v>100</v>
      </c>
      <c r="AI82" s="2501">
        <v>14</v>
      </c>
      <c r="AJ82" s="2421">
        <v>250</v>
      </c>
      <c r="AK82" s="2501">
        <v>15</v>
      </c>
      <c r="AL82" s="2421">
        <v>41</v>
      </c>
      <c r="AM82" s="2501">
        <v>5</v>
      </c>
      <c r="AN82" s="2430"/>
      <c r="AO82" s="2509"/>
      <c r="AP82" s="2430"/>
      <c r="AQ82" s="2509"/>
      <c r="AR82" s="2430"/>
      <c r="AS82" s="2509"/>
      <c r="AT82" s="2430"/>
      <c r="AU82" s="2509"/>
      <c r="AV82" s="2430"/>
      <c r="AW82" s="2509"/>
      <c r="AX82" s="2430"/>
      <c r="AY82" s="2509"/>
      <c r="AZ82" s="716"/>
      <c r="BA82" s="866"/>
      <c r="BB82" s="866"/>
      <c r="BC82" s="716"/>
      <c r="BD82" s="716"/>
      <c r="BE82" s="867"/>
      <c r="BF82" s="868">
        <v>42737</v>
      </c>
      <c r="BG82" s="845"/>
      <c r="BH82" s="868">
        <v>43100</v>
      </c>
      <c r="BI82" s="845"/>
      <c r="BJ82" s="2524" t="s">
        <v>307</v>
      </c>
    </row>
    <row r="83" spans="1:85" ht="117.75" customHeight="1" x14ac:dyDescent="0.2">
      <c r="A83" s="790"/>
      <c r="B83" s="202"/>
      <c r="C83" s="202"/>
      <c r="D83" s="791"/>
      <c r="E83" s="202"/>
      <c r="F83" s="202"/>
      <c r="G83" s="791"/>
      <c r="H83" s="202"/>
      <c r="I83" s="792"/>
      <c r="J83" s="590">
        <v>268</v>
      </c>
      <c r="K83" s="595" t="s">
        <v>452</v>
      </c>
      <c r="L83" s="602" t="s">
        <v>324</v>
      </c>
      <c r="M83" s="865">
        <v>12</v>
      </c>
      <c r="N83" s="865">
        <v>0</v>
      </c>
      <c r="O83" s="2533"/>
      <c r="P83" s="2525"/>
      <c r="Q83" s="2524"/>
      <c r="R83" s="594">
        <f>12000000/164300000</f>
        <v>7.3037127206329891E-2</v>
      </c>
      <c r="S83" s="2522"/>
      <c r="T83" s="2431"/>
      <c r="U83" s="2423" t="s">
        <v>453</v>
      </c>
      <c r="V83" s="595" t="s">
        <v>454</v>
      </c>
      <c r="W83" s="802">
        <v>12000000</v>
      </c>
      <c r="X83" s="802"/>
      <c r="Y83" s="802"/>
      <c r="Z83" s="2520"/>
      <c r="AA83" s="2520"/>
      <c r="AB83" s="2421"/>
      <c r="AC83" s="2502"/>
      <c r="AD83" s="2421"/>
      <c r="AE83" s="2502"/>
      <c r="AF83" s="2421"/>
      <c r="AG83" s="2502"/>
      <c r="AH83" s="2421"/>
      <c r="AI83" s="2502"/>
      <c r="AJ83" s="2421"/>
      <c r="AK83" s="2502"/>
      <c r="AL83" s="2421"/>
      <c r="AM83" s="2502"/>
      <c r="AN83" s="2430"/>
      <c r="AO83" s="2517"/>
      <c r="AP83" s="2430"/>
      <c r="AQ83" s="2517"/>
      <c r="AR83" s="2430"/>
      <c r="AS83" s="2517"/>
      <c r="AT83" s="2430"/>
      <c r="AU83" s="2517"/>
      <c r="AV83" s="2430"/>
      <c r="AW83" s="2517"/>
      <c r="AX83" s="2430"/>
      <c r="AY83" s="2517"/>
      <c r="AZ83" s="716"/>
      <c r="BA83" s="866"/>
      <c r="BB83" s="866"/>
      <c r="BC83" s="716"/>
      <c r="BD83" s="716"/>
      <c r="BE83" s="867"/>
      <c r="BF83" s="868">
        <v>42737</v>
      </c>
      <c r="BG83" s="845"/>
      <c r="BH83" s="868">
        <v>43100</v>
      </c>
      <c r="BI83" s="845"/>
      <c r="BJ83" s="2524"/>
    </row>
    <row r="84" spans="1:85" ht="111" customHeight="1" x14ac:dyDescent="0.2">
      <c r="A84" s="790"/>
      <c r="B84" s="202"/>
      <c r="C84" s="202"/>
      <c r="D84" s="791"/>
      <c r="E84" s="202"/>
      <c r="F84" s="202"/>
      <c r="G84" s="791"/>
      <c r="H84" s="202"/>
      <c r="I84" s="792"/>
      <c r="J84" s="590">
        <v>269</v>
      </c>
      <c r="K84" s="595" t="s">
        <v>455</v>
      </c>
      <c r="L84" s="602" t="s">
        <v>324</v>
      </c>
      <c r="M84" s="865">
        <v>12</v>
      </c>
      <c r="N84" s="869">
        <v>0.35</v>
      </c>
      <c r="O84" s="2533"/>
      <c r="P84" s="2525"/>
      <c r="Q84" s="2524"/>
      <c r="R84" s="594">
        <f>12000000/164300000</f>
        <v>7.3037127206329891E-2</v>
      </c>
      <c r="S84" s="2522"/>
      <c r="T84" s="2431"/>
      <c r="U84" s="2423"/>
      <c r="V84" s="595" t="s">
        <v>456</v>
      </c>
      <c r="W84" s="802">
        <v>12000000</v>
      </c>
      <c r="X84" s="802">
        <v>11000000</v>
      </c>
      <c r="Y84" s="802">
        <v>6760000</v>
      </c>
      <c r="Z84" s="2520"/>
      <c r="AA84" s="2520"/>
      <c r="AB84" s="2421"/>
      <c r="AC84" s="2502"/>
      <c r="AD84" s="2421"/>
      <c r="AE84" s="2502"/>
      <c r="AF84" s="2421"/>
      <c r="AG84" s="2502"/>
      <c r="AH84" s="2421"/>
      <c r="AI84" s="2502"/>
      <c r="AJ84" s="2421"/>
      <c r="AK84" s="2502"/>
      <c r="AL84" s="2421"/>
      <c r="AM84" s="2502"/>
      <c r="AN84" s="2430"/>
      <c r="AO84" s="2517"/>
      <c r="AP84" s="2430"/>
      <c r="AQ84" s="2517"/>
      <c r="AR84" s="2430"/>
      <c r="AS84" s="2517"/>
      <c r="AT84" s="2430"/>
      <c r="AU84" s="2517"/>
      <c r="AV84" s="2430"/>
      <c r="AW84" s="2517"/>
      <c r="AX84" s="2430"/>
      <c r="AY84" s="2517"/>
      <c r="AZ84" s="716">
        <v>1</v>
      </c>
      <c r="BA84" s="870">
        <f>X84</f>
        <v>11000000</v>
      </c>
      <c r="BB84" s="870">
        <f>Y84</f>
        <v>6760000</v>
      </c>
      <c r="BC84" s="570">
        <f>BB84/BA84</f>
        <v>0.61454545454545451</v>
      </c>
      <c r="BD84" s="716">
        <v>20</v>
      </c>
      <c r="BE84" s="867" t="s">
        <v>365</v>
      </c>
      <c r="BF84" s="868">
        <v>42737</v>
      </c>
      <c r="BG84" s="845">
        <v>42760</v>
      </c>
      <c r="BH84" s="868">
        <v>43100</v>
      </c>
      <c r="BI84" s="845">
        <v>42940</v>
      </c>
      <c r="BJ84" s="2524"/>
    </row>
    <row r="85" spans="1:85" ht="136.5" customHeight="1" x14ac:dyDescent="0.2">
      <c r="A85" s="790"/>
      <c r="B85" s="202"/>
      <c r="C85" s="202"/>
      <c r="D85" s="791"/>
      <c r="E85" s="202"/>
      <c r="F85" s="202"/>
      <c r="G85" s="791"/>
      <c r="H85" s="202"/>
      <c r="I85" s="792"/>
      <c r="J85" s="590">
        <v>270</v>
      </c>
      <c r="K85" s="595" t="s">
        <v>457</v>
      </c>
      <c r="L85" s="602" t="s">
        <v>324</v>
      </c>
      <c r="M85" s="865">
        <v>12</v>
      </c>
      <c r="N85" s="865">
        <v>0</v>
      </c>
      <c r="O85" s="2533"/>
      <c r="P85" s="2525"/>
      <c r="Q85" s="2524"/>
      <c r="R85" s="594">
        <f>15000000/164300000</f>
        <v>9.129640900791236E-2</v>
      </c>
      <c r="S85" s="2522"/>
      <c r="T85" s="2431"/>
      <c r="U85" s="2423"/>
      <c r="V85" s="595" t="s">
        <v>458</v>
      </c>
      <c r="W85" s="802">
        <v>15000000</v>
      </c>
      <c r="X85" s="802">
        <v>9280000</v>
      </c>
      <c r="Y85" s="802">
        <v>0</v>
      </c>
      <c r="Z85" s="2520"/>
      <c r="AA85" s="2520"/>
      <c r="AB85" s="2421"/>
      <c r="AC85" s="2502"/>
      <c r="AD85" s="2421"/>
      <c r="AE85" s="2502"/>
      <c r="AF85" s="2421"/>
      <c r="AG85" s="2502"/>
      <c r="AH85" s="2421"/>
      <c r="AI85" s="2502"/>
      <c r="AJ85" s="2421"/>
      <c r="AK85" s="2502"/>
      <c r="AL85" s="2421"/>
      <c r="AM85" s="2502"/>
      <c r="AN85" s="2430"/>
      <c r="AO85" s="2517"/>
      <c r="AP85" s="2430"/>
      <c r="AQ85" s="2517"/>
      <c r="AR85" s="2430"/>
      <c r="AS85" s="2517"/>
      <c r="AT85" s="2430"/>
      <c r="AU85" s="2517"/>
      <c r="AV85" s="2430"/>
      <c r="AW85" s="2517"/>
      <c r="AX85" s="2430"/>
      <c r="AY85" s="2517"/>
      <c r="AZ85" s="716">
        <v>1</v>
      </c>
      <c r="BA85" s="870">
        <f>X85</f>
        <v>9280000</v>
      </c>
      <c r="BB85" s="870">
        <f>Y85</f>
        <v>0</v>
      </c>
      <c r="BC85" s="570">
        <v>0</v>
      </c>
      <c r="BD85" s="716">
        <v>20</v>
      </c>
      <c r="BE85" s="867" t="s">
        <v>365</v>
      </c>
      <c r="BF85" s="868">
        <v>42737</v>
      </c>
      <c r="BG85" s="845">
        <v>42760</v>
      </c>
      <c r="BH85" s="868">
        <v>43100</v>
      </c>
      <c r="BI85" s="845">
        <v>42940</v>
      </c>
      <c r="BJ85" s="2524"/>
    </row>
    <row r="86" spans="1:85" ht="74.25" customHeight="1" x14ac:dyDescent="0.2">
      <c r="A86" s="790"/>
      <c r="B86" s="202"/>
      <c r="C86" s="202"/>
      <c r="D86" s="791"/>
      <c r="E86" s="202"/>
      <c r="F86" s="202"/>
      <c r="G86" s="791"/>
      <c r="H86" s="202"/>
      <c r="I86" s="792"/>
      <c r="J86" s="2457">
        <v>271</v>
      </c>
      <c r="K86" s="2423" t="s">
        <v>459</v>
      </c>
      <c r="L86" s="2525" t="s">
        <v>324</v>
      </c>
      <c r="M86" s="2526">
        <v>12</v>
      </c>
      <c r="N86" s="2527">
        <v>12</v>
      </c>
      <c r="O86" s="2533"/>
      <c r="P86" s="2525"/>
      <c r="Q86" s="2524"/>
      <c r="R86" s="2529">
        <f>45992500/164300000</f>
        <v>0.27993000608642726</v>
      </c>
      <c r="S86" s="2522"/>
      <c r="T86" s="2431"/>
      <c r="U86" s="2423"/>
      <c r="V86" s="595" t="s">
        <v>460</v>
      </c>
      <c r="W86" s="826">
        <f>28492500+17500000-W87</f>
        <v>35992500</v>
      </c>
      <c r="X86" s="826">
        <v>16448360</v>
      </c>
      <c r="Y86" s="826">
        <v>6760000</v>
      </c>
      <c r="Z86" s="2520"/>
      <c r="AA86" s="2520"/>
      <c r="AB86" s="2421"/>
      <c r="AC86" s="2502"/>
      <c r="AD86" s="2421"/>
      <c r="AE86" s="2502"/>
      <c r="AF86" s="2421"/>
      <c r="AG86" s="2502"/>
      <c r="AH86" s="2421"/>
      <c r="AI86" s="2502"/>
      <c r="AJ86" s="2421"/>
      <c r="AK86" s="2502"/>
      <c r="AL86" s="2421"/>
      <c r="AM86" s="2502"/>
      <c r="AN86" s="2430"/>
      <c r="AO86" s="2517"/>
      <c r="AP86" s="2430"/>
      <c r="AQ86" s="2517"/>
      <c r="AR86" s="2430"/>
      <c r="AS86" s="2517"/>
      <c r="AT86" s="2430"/>
      <c r="AU86" s="2517"/>
      <c r="AV86" s="2430"/>
      <c r="AW86" s="2517"/>
      <c r="AX86" s="2430"/>
      <c r="AY86" s="2517"/>
      <c r="AZ86" s="2509">
        <v>1</v>
      </c>
      <c r="BA86" s="2511">
        <v>16448360</v>
      </c>
      <c r="BB86" s="2511">
        <v>6760000</v>
      </c>
      <c r="BC86" s="2513">
        <f>BB86/BA86</f>
        <v>0.41098322264347326</v>
      </c>
      <c r="BD86" s="2509">
        <v>20</v>
      </c>
      <c r="BE86" s="2515" t="s">
        <v>305</v>
      </c>
      <c r="BF86" s="2496">
        <v>42737</v>
      </c>
      <c r="BG86" s="2496">
        <v>42755</v>
      </c>
      <c r="BH86" s="2496">
        <v>42735</v>
      </c>
      <c r="BI86" s="2496">
        <v>42900</v>
      </c>
      <c r="BJ86" s="2524"/>
    </row>
    <row r="87" spans="1:85" ht="91.5" customHeight="1" x14ac:dyDescent="0.2">
      <c r="A87" s="790"/>
      <c r="B87" s="202"/>
      <c r="C87" s="202"/>
      <c r="D87" s="791"/>
      <c r="E87" s="202"/>
      <c r="F87" s="202"/>
      <c r="G87" s="791"/>
      <c r="H87" s="202"/>
      <c r="I87" s="792"/>
      <c r="J87" s="2457"/>
      <c r="K87" s="2423"/>
      <c r="L87" s="2525"/>
      <c r="M87" s="2526"/>
      <c r="N87" s="2528"/>
      <c r="O87" s="2503" t="s">
        <v>461</v>
      </c>
      <c r="P87" s="2525"/>
      <c r="Q87" s="2524"/>
      <c r="R87" s="2529"/>
      <c r="S87" s="2522"/>
      <c r="T87" s="2431"/>
      <c r="U87" s="2423"/>
      <c r="V87" s="595" t="s">
        <v>462</v>
      </c>
      <c r="W87" s="826">
        <v>10000000</v>
      </c>
      <c r="X87" s="826"/>
      <c r="Y87" s="826"/>
      <c r="Z87" s="2505">
        <v>88</v>
      </c>
      <c r="AA87" s="2507" t="s">
        <v>350</v>
      </c>
      <c r="AB87" s="2421"/>
      <c r="AC87" s="2502"/>
      <c r="AD87" s="2421"/>
      <c r="AE87" s="2502"/>
      <c r="AF87" s="2421"/>
      <c r="AG87" s="2502"/>
      <c r="AH87" s="2421"/>
      <c r="AI87" s="2502"/>
      <c r="AJ87" s="2421"/>
      <c r="AK87" s="2502"/>
      <c r="AL87" s="2421"/>
      <c r="AM87" s="2502"/>
      <c r="AN87" s="2430"/>
      <c r="AO87" s="2517"/>
      <c r="AP87" s="2430"/>
      <c r="AQ87" s="2517"/>
      <c r="AR87" s="2430"/>
      <c r="AS87" s="2517"/>
      <c r="AT87" s="2430"/>
      <c r="AU87" s="2517"/>
      <c r="AV87" s="2430"/>
      <c r="AW87" s="2517"/>
      <c r="AX87" s="2430"/>
      <c r="AY87" s="2517"/>
      <c r="AZ87" s="2510"/>
      <c r="BA87" s="2512"/>
      <c r="BB87" s="2512"/>
      <c r="BC87" s="2514"/>
      <c r="BD87" s="2510"/>
      <c r="BE87" s="2516"/>
      <c r="BF87" s="2497"/>
      <c r="BG87" s="2497"/>
      <c r="BH87" s="2497"/>
      <c r="BI87" s="2497"/>
      <c r="BJ87" s="2524"/>
    </row>
    <row r="88" spans="1:85" ht="129" customHeight="1" x14ac:dyDescent="0.2">
      <c r="A88" s="790"/>
      <c r="B88" s="202"/>
      <c r="C88" s="202"/>
      <c r="D88" s="791"/>
      <c r="E88" s="202"/>
      <c r="F88" s="202"/>
      <c r="G88" s="791"/>
      <c r="H88" s="202"/>
      <c r="I88" s="792"/>
      <c r="J88" s="590">
        <v>272</v>
      </c>
      <c r="K88" s="595" t="s">
        <v>463</v>
      </c>
      <c r="L88" s="602" t="s">
        <v>324</v>
      </c>
      <c r="M88" s="865">
        <v>12</v>
      </c>
      <c r="N88" s="865">
        <v>4</v>
      </c>
      <c r="O88" s="2503"/>
      <c r="P88" s="2525"/>
      <c r="Q88" s="2524"/>
      <c r="R88" s="594">
        <f>32500000/164300000</f>
        <v>0.1978088861838101</v>
      </c>
      <c r="S88" s="2522"/>
      <c r="T88" s="2431"/>
      <c r="U88" s="2423"/>
      <c r="V88" s="595" t="s">
        <v>464</v>
      </c>
      <c r="W88" s="826">
        <f>15000000+17500000</f>
        <v>32500000</v>
      </c>
      <c r="X88" s="826">
        <v>13745333</v>
      </c>
      <c r="Y88" s="826">
        <v>3380000</v>
      </c>
      <c r="Z88" s="2505"/>
      <c r="AA88" s="2507"/>
      <c r="AB88" s="2421"/>
      <c r="AC88" s="2502"/>
      <c r="AD88" s="2421"/>
      <c r="AE88" s="2502"/>
      <c r="AF88" s="2421"/>
      <c r="AG88" s="2502"/>
      <c r="AH88" s="2421"/>
      <c r="AI88" s="2502"/>
      <c r="AJ88" s="2421"/>
      <c r="AK88" s="2502"/>
      <c r="AL88" s="2421"/>
      <c r="AM88" s="2502"/>
      <c r="AN88" s="2430"/>
      <c r="AO88" s="2517"/>
      <c r="AP88" s="2430"/>
      <c r="AQ88" s="2517"/>
      <c r="AR88" s="2430"/>
      <c r="AS88" s="2517"/>
      <c r="AT88" s="2430"/>
      <c r="AU88" s="2517"/>
      <c r="AV88" s="2430"/>
      <c r="AW88" s="2517"/>
      <c r="AX88" s="2430"/>
      <c r="AY88" s="2517"/>
      <c r="AZ88" s="716">
        <v>1</v>
      </c>
      <c r="BA88" s="866">
        <v>13745333</v>
      </c>
      <c r="BB88" s="866">
        <v>3380000</v>
      </c>
      <c r="BC88" s="570">
        <f>BB88/BA88</f>
        <v>0.24590164530753819</v>
      </c>
      <c r="BD88" s="716">
        <v>20</v>
      </c>
      <c r="BE88" s="871" t="s">
        <v>305</v>
      </c>
      <c r="BF88" s="845">
        <v>42737</v>
      </c>
      <c r="BG88" s="845">
        <v>42768</v>
      </c>
      <c r="BH88" s="845">
        <v>42858</v>
      </c>
      <c r="BI88" s="845">
        <v>42858</v>
      </c>
      <c r="BJ88" s="2524"/>
    </row>
    <row r="89" spans="1:85" ht="122.25" customHeight="1" x14ac:dyDescent="0.2">
      <c r="A89" s="790"/>
      <c r="B89" s="202"/>
      <c r="C89" s="202"/>
      <c r="D89" s="791"/>
      <c r="E89" s="202"/>
      <c r="F89" s="202"/>
      <c r="G89" s="791"/>
      <c r="H89" s="202"/>
      <c r="I89" s="792"/>
      <c r="J89" s="590">
        <v>273</v>
      </c>
      <c r="K89" s="595" t="s">
        <v>465</v>
      </c>
      <c r="L89" s="602" t="s">
        <v>324</v>
      </c>
      <c r="M89" s="865">
        <v>12</v>
      </c>
      <c r="N89" s="865">
        <v>11</v>
      </c>
      <c r="O89" s="2503"/>
      <c r="P89" s="2525"/>
      <c r="Q89" s="2524"/>
      <c r="R89" s="594">
        <f>2672500/164300000</f>
        <v>1.6265976871576385E-2</v>
      </c>
      <c r="S89" s="2522"/>
      <c r="T89" s="2431"/>
      <c r="U89" s="2423"/>
      <c r="V89" s="595" t="s">
        <v>466</v>
      </c>
      <c r="W89" s="802">
        <v>2672500</v>
      </c>
      <c r="X89" s="802"/>
      <c r="Y89" s="802"/>
      <c r="Z89" s="2505"/>
      <c r="AA89" s="2507"/>
      <c r="AB89" s="2421"/>
      <c r="AC89" s="2502"/>
      <c r="AD89" s="2421"/>
      <c r="AE89" s="2502"/>
      <c r="AF89" s="2421"/>
      <c r="AG89" s="2502"/>
      <c r="AH89" s="2421"/>
      <c r="AI89" s="2502"/>
      <c r="AJ89" s="2421"/>
      <c r="AK89" s="2502"/>
      <c r="AL89" s="2421"/>
      <c r="AM89" s="2502"/>
      <c r="AN89" s="2430"/>
      <c r="AO89" s="2517"/>
      <c r="AP89" s="2430"/>
      <c r="AQ89" s="2517"/>
      <c r="AR89" s="2430"/>
      <c r="AS89" s="2517"/>
      <c r="AT89" s="2430"/>
      <c r="AU89" s="2517"/>
      <c r="AV89" s="2430"/>
      <c r="AW89" s="2517"/>
      <c r="AX89" s="2430"/>
      <c r="AY89" s="2517"/>
      <c r="AZ89" s="716"/>
      <c r="BA89" s="866"/>
      <c r="BB89" s="866"/>
      <c r="BC89" s="716"/>
      <c r="BD89" s="716"/>
      <c r="BE89" s="872"/>
      <c r="BF89" s="845">
        <v>42737</v>
      </c>
      <c r="BG89" s="845"/>
      <c r="BH89" s="845">
        <v>42858</v>
      </c>
      <c r="BI89" s="845"/>
      <c r="BJ89" s="2524"/>
    </row>
    <row r="90" spans="1:85" ht="98.25" customHeight="1" x14ac:dyDescent="0.2">
      <c r="A90" s="790"/>
      <c r="B90" s="202"/>
      <c r="C90" s="202"/>
      <c r="D90" s="791"/>
      <c r="E90" s="202"/>
      <c r="F90" s="202"/>
      <c r="G90" s="791"/>
      <c r="H90" s="202"/>
      <c r="I90" s="792"/>
      <c r="J90" s="590">
        <v>274</v>
      </c>
      <c r="K90" s="595" t="s">
        <v>467</v>
      </c>
      <c r="L90" s="602" t="s">
        <v>324</v>
      </c>
      <c r="M90" s="865">
        <v>12</v>
      </c>
      <c r="N90" s="865">
        <v>0</v>
      </c>
      <c r="O90" s="2503"/>
      <c r="P90" s="2525"/>
      <c r="Q90" s="2524"/>
      <c r="R90" s="594">
        <f>14135000/164300000</f>
        <v>8.6031649421789411E-2</v>
      </c>
      <c r="S90" s="2522"/>
      <c r="T90" s="2431"/>
      <c r="U90" s="2423"/>
      <c r="V90" s="595" t="s">
        <v>468</v>
      </c>
      <c r="W90" s="802">
        <v>14135000</v>
      </c>
      <c r="X90" s="802"/>
      <c r="Y90" s="802"/>
      <c r="Z90" s="2505"/>
      <c r="AA90" s="2507"/>
      <c r="AB90" s="2421"/>
      <c r="AC90" s="2502"/>
      <c r="AD90" s="2421"/>
      <c r="AE90" s="2502"/>
      <c r="AF90" s="2421"/>
      <c r="AG90" s="2502"/>
      <c r="AH90" s="2421"/>
      <c r="AI90" s="2502"/>
      <c r="AJ90" s="2421"/>
      <c r="AK90" s="2502"/>
      <c r="AL90" s="2421"/>
      <c r="AM90" s="2502"/>
      <c r="AN90" s="2430"/>
      <c r="AO90" s="2517"/>
      <c r="AP90" s="2430"/>
      <c r="AQ90" s="2517"/>
      <c r="AR90" s="2430"/>
      <c r="AS90" s="2517"/>
      <c r="AT90" s="2430"/>
      <c r="AU90" s="2517"/>
      <c r="AV90" s="2430"/>
      <c r="AW90" s="2517"/>
      <c r="AX90" s="2430"/>
      <c r="AY90" s="2517"/>
      <c r="AZ90" s="716"/>
      <c r="BA90" s="866"/>
      <c r="BB90" s="866"/>
      <c r="BC90" s="716"/>
      <c r="BD90" s="716"/>
      <c r="BE90" s="716"/>
      <c r="BF90" s="845">
        <v>42737</v>
      </c>
      <c r="BG90" s="845"/>
      <c r="BH90" s="845">
        <v>42858</v>
      </c>
      <c r="BI90" s="845"/>
      <c r="BJ90" s="2524"/>
    </row>
    <row r="91" spans="1:85" ht="99.75" customHeight="1" x14ac:dyDescent="0.2">
      <c r="A91" s="873"/>
      <c r="B91" s="804"/>
      <c r="C91" s="804"/>
      <c r="D91" s="803"/>
      <c r="E91" s="804"/>
      <c r="F91" s="804"/>
      <c r="G91" s="803"/>
      <c r="H91" s="804"/>
      <c r="I91" s="805"/>
      <c r="J91" s="590">
        <v>260</v>
      </c>
      <c r="K91" s="595" t="s">
        <v>469</v>
      </c>
      <c r="L91" s="602" t="s">
        <v>324</v>
      </c>
      <c r="M91" s="865">
        <v>12</v>
      </c>
      <c r="N91" s="865">
        <v>0</v>
      </c>
      <c r="O91" s="2504"/>
      <c r="P91" s="2525"/>
      <c r="Q91" s="2524"/>
      <c r="R91" s="594">
        <f>18000000/164300000</f>
        <v>0.10955569080949483</v>
      </c>
      <c r="S91" s="2523"/>
      <c r="T91" s="2534"/>
      <c r="U91" s="2424"/>
      <c r="V91" s="578" t="s">
        <v>470</v>
      </c>
      <c r="W91" s="802">
        <v>18000000</v>
      </c>
      <c r="X91" s="802"/>
      <c r="Y91" s="802"/>
      <c r="Z91" s="2506"/>
      <c r="AA91" s="2508"/>
      <c r="AB91" s="2421"/>
      <c r="AC91" s="2518"/>
      <c r="AD91" s="2421"/>
      <c r="AE91" s="2518"/>
      <c r="AF91" s="2421"/>
      <c r="AG91" s="2518"/>
      <c r="AH91" s="2421"/>
      <c r="AI91" s="2518"/>
      <c r="AJ91" s="2421"/>
      <c r="AK91" s="2518"/>
      <c r="AL91" s="2421"/>
      <c r="AM91" s="2518"/>
      <c r="AN91" s="2430"/>
      <c r="AO91" s="2510"/>
      <c r="AP91" s="2430"/>
      <c r="AQ91" s="2510"/>
      <c r="AR91" s="2430"/>
      <c r="AS91" s="2510"/>
      <c r="AT91" s="2430"/>
      <c r="AU91" s="2510"/>
      <c r="AV91" s="2430"/>
      <c r="AW91" s="2510"/>
      <c r="AX91" s="2430"/>
      <c r="AY91" s="2510"/>
      <c r="AZ91" s="716"/>
      <c r="BA91" s="866"/>
      <c r="BB91" s="866"/>
      <c r="BC91" s="716"/>
      <c r="BD91" s="716"/>
      <c r="BE91" s="716"/>
      <c r="BF91" s="845">
        <v>42737</v>
      </c>
      <c r="BG91" s="845"/>
      <c r="BH91" s="845">
        <v>42858</v>
      </c>
      <c r="BI91" s="845"/>
      <c r="BJ91" s="2524"/>
    </row>
    <row r="92" spans="1:85" s="742" customFormat="1" ht="24.75" customHeight="1" x14ac:dyDescent="0.25">
      <c r="A92" s="874"/>
      <c r="B92" s="733"/>
      <c r="C92" s="733"/>
      <c r="D92" s="733"/>
      <c r="E92" s="733"/>
      <c r="F92" s="733"/>
      <c r="G92" s="733"/>
      <c r="H92" s="733"/>
      <c r="I92" s="733"/>
      <c r="J92" s="733"/>
      <c r="K92" s="875"/>
      <c r="L92" s="876"/>
      <c r="M92" s="876"/>
      <c r="N92" s="876"/>
      <c r="O92" s="876"/>
      <c r="P92" s="877"/>
      <c r="Q92" s="875"/>
      <c r="R92" s="878"/>
      <c r="S92" s="879">
        <f>SUM(S13:S91)</f>
        <v>1530000000</v>
      </c>
      <c r="T92" s="880"/>
      <c r="U92" s="875"/>
      <c r="V92" s="881"/>
      <c r="W92" s="882">
        <f>SUM(W13:W91)</f>
        <v>1530000000</v>
      </c>
      <c r="X92" s="882">
        <f t="shared" ref="X92:Y92" si="1">SUM(X13:X91)</f>
        <v>438535693</v>
      </c>
      <c r="Y92" s="882">
        <f t="shared" si="1"/>
        <v>120950000</v>
      </c>
      <c r="Z92" s="883"/>
      <c r="AA92" s="877"/>
      <c r="AB92" s="733"/>
      <c r="AC92" s="733"/>
      <c r="AD92" s="733"/>
      <c r="AE92" s="733"/>
      <c r="AF92" s="733"/>
      <c r="AG92" s="733"/>
      <c r="AH92" s="733"/>
      <c r="AI92" s="733"/>
      <c r="AJ92" s="733"/>
      <c r="AK92" s="733"/>
      <c r="AL92" s="733"/>
      <c r="AM92" s="733"/>
      <c r="AN92" s="733"/>
      <c r="AO92" s="733"/>
      <c r="AP92" s="733"/>
      <c r="AQ92" s="733"/>
      <c r="AR92" s="733"/>
      <c r="AS92" s="733"/>
      <c r="AT92" s="733"/>
      <c r="AU92" s="733"/>
      <c r="AV92" s="733"/>
      <c r="AW92" s="733"/>
      <c r="AX92" s="733"/>
      <c r="AY92" s="733"/>
      <c r="AZ92" s="737"/>
      <c r="BA92" s="882">
        <f>SUM(BA13:BA91)</f>
        <v>438535693</v>
      </c>
      <c r="BB92" s="882">
        <f>SUM(BB13:BB91)</f>
        <v>120950000</v>
      </c>
      <c r="BC92" s="652">
        <f>BB92/BA92</f>
        <v>0.27580423197160375</v>
      </c>
      <c r="BD92" s="733"/>
      <c r="BE92" s="733"/>
      <c r="BF92" s="884"/>
      <c r="BG92" s="884"/>
      <c r="BH92" s="885"/>
      <c r="BI92" s="885"/>
      <c r="BJ92" s="886"/>
    </row>
    <row r="93" spans="1:85" ht="15" x14ac:dyDescent="0.25">
      <c r="V93" s="890"/>
      <c r="W93" s="891"/>
      <c r="X93" s="891"/>
      <c r="Y93" s="892"/>
      <c r="Z93" s="893"/>
      <c r="BA93" s="894"/>
    </row>
    <row r="94" spans="1:85" x14ac:dyDescent="0.2">
      <c r="W94" s="898"/>
      <c r="X94" s="898"/>
      <c r="Y94" s="898"/>
    </row>
    <row r="96" spans="1:85" ht="15" x14ac:dyDescent="0.25">
      <c r="D96" s="2492" t="s">
        <v>471</v>
      </c>
      <c r="E96" s="2492"/>
      <c r="F96" s="2492"/>
      <c r="G96" s="2492"/>
      <c r="H96" s="2492"/>
      <c r="I96" s="2492"/>
      <c r="P96" s="192"/>
      <c r="Q96" s="887"/>
      <c r="R96" s="900"/>
      <c r="S96" s="901"/>
      <c r="T96" s="902"/>
      <c r="W96" s="199"/>
      <c r="X96" s="199"/>
      <c r="Y96" s="199"/>
      <c r="Z96" s="855"/>
      <c r="AA96" s="855"/>
      <c r="AB96" s="855"/>
      <c r="AC96" s="855"/>
      <c r="AD96" s="899"/>
      <c r="AE96" s="899"/>
      <c r="AF96" s="194"/>
      <c r="AG96" s="194"/>
      <c r="BF96" s="38"/>
      <c r="BG96" s="38"/>
      <c r="BH96" s="38"/>
      <c r="BI96" s="38"/>
      <c r="BJ96" s="38"/>
      <c r="BX96" s="903"/>
      <c r="BY96" s="903"/>
      <c r="CB96" s="155"/>
      <c r="CC96" s="896"/>
      <c r="CD96" s="896"/>
      <c r="CE96" s="897"/>
      <c r="CF96" s="897"/>
      <c r="CG96" s="451"/>
    </row>
    <row r="97" spans="4:85" ht="15" x14ac:dyDescent="0.25">
      <c r="D97" s="2492" t="s">
        <v>472</v>
      </c>
      <c r="E97" s="2492"/>
      <c r="F97" s="2492"/>
      <c r="G97" s="2492"/>
      <c r="H97" s="2492"/>
      <c r="I97" s="2492"/>
      <c r="P97" s="192"/>
      <c r="Q97" s="887"/>
      <c r="R97" s="900"/>
      <c r="S97" s="901"/>
      <c r="T97" s="902"/>
      <c r="W97" s="199"/>
      <c r="X97" s="199"/>
      <c r="Y97" s="199"/>
      <c r="Z97" s="855"/>
      <c r="AA97" s="855"/>
      <c r="AB97" s="855"/>
      <c r="AC97" s="855"/>
      <c r="AD97" s="899"/>
      <c r="AE97" s="899"/>
      <c r="AF97" s="194"/>
      <c r="AG97" s="194"/>
      <c r="BF97" s="38"/>
      <c r="BG97" s="38"/>
      <c r="BH97" s="38"/>
      <c r="BI97" s="38"/>
      <c r="BJ97" s="38"/>
      <c r="BX97" s="903"/>
      <c r="BY97" s="903"/>
      <c r="CB97" s="155"/>
      <c r="CC97" s="896"/>
      <c r="CD97" s="896"/>
      <c r="CE97" s="897"/>
      <c r="CF97" s="897"/>
      <c r="CG97" s="451"/>
    </row>
  </sheetData>
  <sheetProtection password="CBEB" sheet="1" objects="1" scenarios="1"/>
  <mergeCells count="551">
    <mergeCell ref="AB7:AM7"/>
    <mergeCell ref="AN7:AY7"/>
    <mergeCell ref="J59:J61"/>
    <mergeCell ref="K59:K61"/>
    <mergeCell ref="AZ5:BJ6"/>
    <mergeCell ref="A5:M6"/>
    <mergeCell ref="A7:A9"/>
    <mergeCell ref="B7:C9"/>
    <mergeCell ref="D7:D9"/>
    <mergeCell ref="E7:F9"/>
    <mergeCell ref="G7:G9"/>
    <mergeCell ref="H7:I9"/>
    <mergeCell ref="S44:S51"/>
    <mergeCell ref="BF7:BG7"/>
    <mergeCell ref="BH7:BI7"/>
    <mergeCell ref="BJ7:BJ9"/>
    <mergeCell ref="W8:W9"/>
    <mergeCell ref="X8:X9"/>
    <mergeCell ref="Y8:Y9"/>
    <mergeCell ref="AB8:AC8"/>
    <mergeCell ref="AD8:AE8"/>
    <mergeCell ref="AF8:AG8"/>
    <mergeCell ref="AH8:AI8"/>
    <mergeCell ref="W7:Y7"/>
    <mergeCell ref="Z7:Z9"/>
    <mergeCell ref="AA7:AA9"/>
    <mergeCell ref="U34:U38"/>
    <mergeCell ref="J44:J46"/>
    <mergeCell ref="K44:K46"/>
    <mergeCell ref="L44:L46"/>
    <mergeCell ref="M44:M46"/>
    <mergeCell ref="N44:N46"/>
    <mergeCell ref="O44:O47"/>
    <mergeCell ref="R34:R41"/>
    <mergeCell ref="S34:S41"/>
    <mergeCell ref="T34:T41"/>
    <mergeCell ref="S7:S9"/>
    <mergeCell ref="T7:T9"/>
    <mergeCell ref="U7:U9"/>
    <mergeCell ref="V7:V9"/>
    <mergeCell ref="J7:J9"/>
    <mergeCell ref="K7:K9"/>
    <mergeCell ref="L7:L9"/>
    <mergeCell ref="M7:N8"/>
    <mergeCell ref="O7:O9"/>
    <mergeCell ref="P7:P9"/>
    <mergeCell ref="Z34:Z37"/>
    <mergeCell ref="AA34:AA37"/>
    <mergeCell ref="AZ7:BE7"/>
    <mergeCell ref="AJ8:AK8"/>
    <mergeCell ref="AL8:AM8"/>
    <mergeCell ref="AN8:AO8"/>
    <mergeCell ref="AP8:AQ8"/>
    <mergeCell ref="BH8:BH9"/>
    <mergeCell ref="BI8:BI9"/>
    <mergeCell ref="J13:J24"/>
    <mergeCell ref="K13:K24"/>
    <mergeCell ref="L13:L24"/>
    <mergeCell ref="M13:M24"/>
    <mergeCell ref="N13:N24"/>
    <mergeCell ref="O13:O24"/>
    <mergeCell ref="P13:P24"/>
    <mergeCell ref="Q13:Q24"/>
    <mergeCell ref="BB8:BB9"/>
    <mergeCell ref="BC8:BC9"/>
    <mergeCell ref="BD8:BD9"/>
    <mergeCell ref="BE8:BE9"/>
    <mergeCell ref="BF8:BF9"/>
    <mergeCell ref="BG8:BG9"/>
    <mergeCell ref="AR8:AS8"/>
    <mergeCell ref="AT8:AU8"/>
    <mergeCell ref="AV8:AW8"/>
    <mergeCell ref="AX8:AY8"/>
    <mergeCell ref="AZ8:AZ9"/>
    <mergeCell ref="BA8:BA9"/>
    <mergeCell ref="Q7:Q9"/>
    <mergeCell ref="R7:R9"/>
    <mergeCell ref="AB13:AB24"/>
    <mergeCell ref="AC13:AC24"/>
    <mergeCell ref="AD13:AD24"/>
    <mergeCell ref="AE13:AE24"/>
    <mergeCell ref="AF13:AF24"/>
    <mergeCell ref="AG13:AG24"/>
    <mergeCell ref="R13:R24"/>
    <mergeCell ref="S13:S24"/>
    <mergeCell ref="T13:T24"/>
    <mergeCell ref="U13:U17"/>
    <mergeCell ref="Z13:Z24"/>
    <mergeCell ref="AA13:AA24"/>
    <mergeCell ref="AQ13:AQ24"/>
    <mergeCell ref="AR13:AR24"/>
    <mergeCell ref="AS13:AS24"/>
    <mergeCell ref="AH13:AH24"/>
    <mergeCell ref="AI13:AI24"/>
    <mergeCell ref="AJ13:AJ24"/>
    <mergeCell ref="AK13:AK24"/>
    <mergeCell ref="AL13:AL24"/>
    <mergeCell ref="AM13:AM24"/>
    <mergeCell ref="BF13:BF24"/>
    <mergeCell ref="BG13:BG24"/>
    <mergeCell ref="BH13:BH24"/>
    <mergeCell ref="BI13:BI24"/>
    <mergeCell ref="BJ13:BJ24"/>
    <mergeCell ref="B17:C17"/>
    <mergeCell ref="E17:F17"/>
    <mergeCell ref="H17:I17"/>
    <mergeCell ref="U18:U22"/>
    <mergeCell ref="AZ13:AZ24"/>
    <mergeCell ref="BA13:BA24"/>
    <mergeCell ref="BB13:BB24"/>
    <mergeCell ref="BC13:BC24"/>
    <mergeCell ref="BD13:BD24"/>
    <mergeCell ref="BE13:BE24"/>
    <mergeCell ref="AT13:AT24"/>
    <mergeCell ref="AU13:AU24"/>
    <mergeCell ref="AV13:AV24"/>
    <mergeCell ref="AW13:AW24"/>
    <mergeCell ref="AX13:AX24"/>
    <mergeCell ref="AY13:AY24"/>
    <mergeCell ref="AN13:AN24"/>
    <mergeCell ref="AO13:AO24"/>
    <mergeCell ref="AP13:AP24"/>
    <mergeCell ref="P26:P31"/>
    <mergeCell ref="Q26:Q31"/>
    <mergeCell ref="R26:R31"/>
    <mergeCell ref="S26:S31"/>
    <mergeCell ref="T26:T31"/>
    <mergeCell ref="U26:U27"/>
    <mergeCell ref="J26:J31"/>
    <mergeCell ref="K26:K31"/>
    <mergeCell ref="L26:L31"/>
    <mergeCell ref="M26:M31"/>
    <mergeCell ref="N26:N31"/>
    <mergeCell ref="O26:O31"/>
    <mergeCell ref="AF26:AF31"/>
    <mergeCell ref="AG26:AG31"/>
    <mergeCell ref="AH26:AH31"/>
    <mergeCell ref="AI26:AI31"/>
    <mergeCell ref="AJ26:AJ31"/>
    <mergeCell ref="AK26:AK31"/>
    <mergeCell ref="Z26:Z31"/>
    <mergeCell ref="AA26:AA31"/>
    <mergeCell ref="AB26:AB31"/>
    <mergeCell ref="AC26:AC31"/>
    <mergeCell ref="BJ34:BJ41"/>
    <mergeCell ref="O38:O41"/>
    <mergeCell ref="AD26:AD31"/>
    <mergeCell ref="AE26:AE31"/>
    <mergeCell ref="BC26:BC31"/>
    <mergeCell ref="AR26:AR31"/>
    <mergeCell ref="AS26:AS31"/>
    <mergeCell ref="AT26:AT31"/>
    <mergeCell ref="AU26:AU31"/>
    <mergeCell ref="AV26:AV31"/>
    <mergeCell ref="AW26:AW31"/>
    <mergeCell ref="AL26:AL31"/>
    <mergeCell ref="AM26:AM31"/>
    <mergeCell ref="AN26:AN31"/>
    <mergeCell ref="AO26:AO31"/>
    <mergeCell ref="AP26:AP31"/>
    <mergeCell ref="AQ26:AQ31"/>
    <mergeCell ref="AQ34:AQ41"/>
    <mergeCell ref="AR34:AR41"/>
    <mergeCell ref="AS34:AS41"/>
    <mergeCell ref="BJ26:BJ31"/>
    <mergeCell ref="U28:U31"/>
    <mergeCell ref="BE26:BE31"/>
    <mergeCell ref="BF26:BF31"/>
    <mergeCell ref="J34:J41"/>
    <mergeCell ref="K34:K41"/>
    <mergeCell ref="L34:L41"/>
    <mergeCell ref="M34:M41"/>
    <mergeCell ref="N34:N41"/>
    <mergeCell ref="O34:O37"/>
    <mergeCell ref="P34:P41"/>
    <mergeCell ref="Q34:Q41"/>
    <mergeCell ref="BD26:BD31"/>
    <mergeCell ref="AH34:AH41"/>
    <mergeCell ref="AI34:AI41"/>
    <mergeCell ref="AJ34:AJ41"/>
    <mergeCell ref="AK34:AK41"/>
    <mergeCell ref="AL34:AL41"/>
    <mergeCell ref="AM34:AM41"/>
    <mergeCell ref="AN34:AN41"/>
    <mergeCell ref="AO34:AO41"/>
    <mergeCell ref="AP34:AP41"/>
    <mergeCell ref="AT34:AT41"/>
    <mergeCell ref="AU34:AU41"/>
    <mergeCell ref="AV34:AV41"/>
    <mergeCell ref="AW34:AW41"/>
    <mergeCell ref="AE34:AE41"/>
    <mergeCell ref="AF34:AF41"/>
    <mergeCell ref="BG26:BG31"/>
    <mergeCell ref="BH26:BH31"/>
    <mergeCell ref="BI26:BI31"/>
    <mergeCell ref="AX26:AX31"/>
    <mergeCell ref="AY26:AY31"/>
    <mergeCell ref="BF34:BF41"/>
    <mergeCell ref="BG34:BG41"/>
    <mergeCell ref="BH34:BH41"/>
    <mergeCell ref="AZ26:AZ31"/>
    <mergeCell ref="BA26:BA31"/>
    <mergeCell ref="BB26:BB31"/>
    <mergeCell ref="AZ34:AZ41"/>
    <mergeCell ref="BA34:BA41"/>
    <mergeCell ref="BB34:BB41"/>
    <mergeCell ref="BC34:BC41"/>
    <mergeCell ref="BD34:BD41"/>
    <mergeCell ref="BE34:BE41"/>
    <mergeCell ref="AX34:AX41"/>
    <mergeCell ref="AY34:AY41"/>
    <mergeCell ref="BI34:BI41"/>
    <mergeCell ref="AG34:AG41"/>
    <mergeCell ref="AC44:AC51"/>
    <mergeCell ref="AD44:AD51"/>
    <mergeCell ref="AE44:AE51"/>
    <mergeCell ref="P44:P51"/>
    <mergeCell ref="Q44:Q51"/>
    <mergeCell ref="R44:R46"/>
    <mergeCell ref="T44:T51"/>
    <mergeCell ref="U44:U46"/>
    <mergeCell ref="U50:U51"/>
    <mergeCell ref="Z38:Z41"/>
    <mergeCell ref="AA38:AA41"/>
    <mergeCell ref="AB34:AB41"/>
    <mergeCell ref="AC34:AC41"/>
    <mergeCell ref="AD34:AD41"/>
    <mergeCell ref="BC44:BC46"/>
    <mergeCell ref="AZ50:AZ51"/>
    <mergeCell ref="BA50:BA51"/>
    <mergeCell ref="BB50:BB51"/>
    <mergeCell ref="BC50:BC51"/>
    <mergeCell ref="AR44:AR51"/>
    <mergeCell ref="AS44:AS51"/>
    <mergeCell ref="AT44:AT51"/>
    <mergeCell ref="AU44:AU51"/>
    <mergeCell ref="AV44:AV51"/>
    <mergeCell ref="AW44:AW51"/>
    <mergeCell ref="BG50:BG51"/>
    <mergeCell ref="BH50:BH51"/>
    <mergeCell ref="BI50:BI51"/>
    <mergeCell ref="BJ44:BJ51"/>
    <mergeCell ref="O48:O51"/>
    <mergeCell ref="Z48:Z51"/>
    <mergeCell ref="AA48:AA51"/>
    <mergeCell ref="J50:J51"/>
    <mergeCell ref="K50:K51"/>
    <mergeCell ref="L50:L51"/>
    <mergeCell ref="M50:M51"/>
    <mergeCell ref="N50:N51"/>
    <mergeCell ref="R50:R51"/>
    <mergeCell ref="BD44:BD46"/>
    <mergeCell ref="BE44:BE46"/>
    <mergeCell ref="BF44:BF46"/>
    <mergeCell ref="BG44:BG46"/>
    <mergeCell ref="BH44:BH46"/>
    <mergeCell ref="BI44:BI46"/>
    <mergeCell ref="AX44:AX51"/>
    <mergeCell ref="AY44:AY51"/>
    <mergeCell ref="AZ44:AZ46"/>
    <mergeCell ref="BA44:BA46"/>
    <mergeCell ref="BB44:BB46"/>
    <mergeCell ref="E52:F58"/>
    <mergeCell ref="G52:G58"/>
    <mergeCell ref="H52:I58"/>
    <mergeCell ref="J52:J58"/>
    <mergeCell ref="K52:K58"/>
    <mergeCell ref="L52:L58"/>
    <mergeCell ref="BD50:BD51"/>
    <mergeCell ref="BE50:BE51"/>
    <mergeCell ref="BF50:BF51"/>
    <mergeCell ref="AL44:AL51"/>
    <mergeCell ref="AM44:AM51"/>
    <mergeCell ref="AN44:AN51"/>
    <mergeCell ref="AO44:AO51"/>
    <mergeCell ref="AP44:AP51"/>
    <mergeCell ref="AQ44:AQ51"/>
    <mergeCell ref="AF44:AF51"/>
    <mergeCell ref="AG44:AG51"/>
    <mergeCell ref="AH44:AH51"/>
    <mergeCell ref="AI44:AI51"/>
    <mergeCell ref="AJ44:AJ51"/>
    <mergeCell ref="AK44:AK51"/>
    <mergeCell ref="Z44:Z47"/>
    <mergeCell ref="AA44:AA47"/>
    <mergeCell ref="AB44:AB51"/>
    <mergeCell ref="Z52:Z58"/>
    <mergeCell ref="AA52:AA58"/>
    <mergeCell ref="AB52:AB58"/>
    <mergeCell ref="M52:M58"/>
    <mergeCell ref="N52:N58"/>
    <mergeCell ref="O52:O58"/>
    <mergeCell ref="P52:P58"/>
    <mergeCell ref="Q52:Q58"/>
    <mergeCell ref="R52:R58"/>
    <mergeCell ref="U52:U54"/>
    <mergeCell ref="L59:L61"/>
    <mergeCell ref="M59:M61"/>
    <mergeCell ref="N59:N61"/>
    <mergeCell ref="O59:O60"/>
    <mergeCell ref="BB52:BB58"/>
    <mergeCell ref="BC52:BC58"/>
    <mergeCell ref="BD52:BD58"/>
    <mergeCell ref="AU52:AU58"/>
    <mergeCell ref="AV52:AV58"/>
    <mergeCell ref="AW52:AW58"/>
    <mergeCell ref="AX52:AX58"/>
    <mergeCell ref="AY52:AY58"/>
    <mergeCell ref="BA52:BA58"/>
    <mergeCell ref="AO52:AO58"/>
    <mergeCell ref="AP52:AP58"/>
    <mergeCell ref="AQ52:AQ58"/>
    <mergeCell ref="AR52:AR58"/>
    <mergeCell ref="AS52:AS58"/>
    <mergeCell ref="AT52:AT58"/>
    <mergeCell ref="AI52:AI58"/>
    <mergeCell ref="AJ52:AJ58"/>
    <mergeCell ref="AK52:AK58"/>
    <mergeCell ref="P59:P61"/>
    <mergeCell ref="Q59:Q61"/>
    <mergeCell ref="R59:R61"/>
    <mergeCell ref="S59:S61"/>
    <mergeCell ref="T59:T61"/>
    <mergeCell ref="U59:U60"/>
    <mergeCell ref="BH52:BH58"/>
    <mergeCell ref="BI52:BI58"/>
    <mergeCell ref="BJ52:BJ58"/>
    <mergeCell ref="U55:U58"/>
    <mergeCell ref="BE52:BE58"/>
    <mergeCell ref="BF52:BF58"/>
    <mergeCell ref="BG52:BG58"/>
    <mergeCell ref="AL52:AL58"/>
    <mergeCell ref="AM52:AM58"/>
    <mergeCell ref="AN52:AN58"/>
    <mergeCell ref="AC52:AC58"/>
    <mergeCell ref="AD52:AD58"/>
    <mergeCell ref="AE52:AE58"/>
    <mergeCell ref="AF52:AF58"/>
    <mergeCell ref="AG52:AG58"/>
    <mergeCell ref="AH52:AH58"/>
    <mergeCell ref="S52:S58"/>
    <mergeCell ref="T52:T58"/>
    <mergeCell ref="AF59:AF61"/>
    <mergeCell ref="AG59:AG61"/>
    <mergeCell ref="AH59:AH61"/>
    <mergeCell ref="AI59:AI61"/>
    <mergeCell ref="AJ59:AJ61"/>
    <mergeCell ref="AK59:AK61"/>
    <mergeCell ref="Z59:Z60"/>
    <mergeCell ref="AA59:AA60"/>
    <mergeCell ref="AB59:AB61"/>
    <mergeCell ref="AC59:AC61"/>
    <mergeCell ref="AD59:AD61"/>
    <mergeCell ref="AE59:AE61"/>
    <mergeCell ref="AT59:AT61"/>
    <mergeCell ref="AU59:AU61"/>
    <mergeCell ref="AV59:AV61"/>
    <mergeCell ref="AW59:AW61"/>
    <mergeCell ref="AL59:AL61"/>
    <mergeCell ref="AM59:AM61"/>
    <mergeCell ref="AN59:AN61"/>
    <mergeCell ref="AO59:AO61"/>
    <mergeCell ref="AP59:AP61"/>
    <mergeCell ref="AQ59:AQ61"/>
    <mergeCell ref="BJ59:BJ61"/>
    <mergeCell ref="BK59:BK61"/>
    <mergeCell ref="A62:A75"/>
    <mergeCell ref="B62:C75"/>
    <mergeCell ref="D62:D75"/>
    <mergeCell ref="E62:F75"/>
    <mergeCell ref="G62:G75"/>
    <mergeCell ref="H62:I75"/>
    <mergeCell ref="J62:J75"/>
    <mergeCell ref="K62:K75"/>
    <mergeCell ref="BD59:BD61"/>
    <mergeCell ref="BE59:BE61"/>
    <mergeCell ref="BF59:BF61"/>
    <mergeCell ref="BG59:BG61"/>
    <mergeCell ref="BH59:BH61"/>
    <mergeCell ref="BI59:BI61"/>
    <mergeCell ref="AX59:AX61"/>
    <mergeCell ref="AY59:AY61"/>
    <mergeCell ref="AZ59:AZ61"/>
    <mergeCell ref="BA59:BA61"/>
    <mergeCell ref="BB59:BB61"/>
    <mergeCell ref="BC59:BC61"/>
    <mergeCell ref="AR59:AR61"/>
    <mergeCell ref="AS59:AS61"/>
    <mergeCell ref="U62:U68"/>
    <mergeCell ref="Z62:Z66"/>
    <mergeCell ref="AA62:AA66"/>
    <mergeCell ref="L62:L75"/>
    <mergeCell ref="M62:M75"/>
    <mergeCell ref="N62:N75"/>
    <mergeCell ref="O62:O66"/>
    <mergeCell ref="P62:P75"/>
    <mergeCell ref="Q62:Q75"/>
    <mergeCell ref="BI62:BI75"/>
    <mergeCell ref="BJ62:BJ75"/>
    <mergeCell ref="O67:O75"/>
    <mergeCell ref="Z67:Z75"/>
    <mergeCell ref="AA67:AA75"/>
    <mergeCell ref="U69:U72"/>
    <mergeCell ref="AZ62:AZ75"/>
    <mergeCell ref="BA62:BA75"/>
    <mergeCell ref="BB62:BB75"/>
    <mergeCell ref="BC62:BC75"/>
    <mergeCell ref="BD62:BD75"/>
    <mergeCell ref="BE62:BE75"/>
    <mergeCell ref="AT62:AT75"/>
    <mergeCell ref="AU62:AU75"/>
    <mergeCell ref="AV62:AV75"/>
    <mergeCell ref="AW62:AW75"/>
    <mergeCell ref="AX62:AX75"/>
    <mergeCell ref="AY62:AY75"/>
    <mergeCell ref="AN62:AN75"/>
    <mergeCell ref="AO62:AO75"/>
    <mergeCell ref="AP62:AP75"/>
    <mergeCell ref="AQ62:AQ75"/>
    <mergeCell ref="AR62:AR75"/>
    <mergeCell ref="AS62:AS75"/>
    <mergeCell ref="J76:J81"/>
    <mergeCell ref="K76:K81"/>
    <mergeCell ref="L76:L81"/>
    <mergeCell ref="M76:M81"/>
    <mergeCell ref="N76:N81"/>
    <mergeCell ref="O76:O78"/>
    <mergeCell ref="BF62:BF75"/>
    <mergeCell ref="BG62:BG75"/>
    <mergeCell ref="BH62:BH75"/>
    <mergeCell ref="AH62:AH75"/>
    <mergeCell ref="AI62:AI75"/>
    <mergeCell ref="AJ62:AJ75"/>
    <mergeCell ref="AK62:AK75"/>
    <mergeCell ref="AL62:AL75"/>
    <mergeCell ref="AM62:AM75"/>
    <mergeCell ref="AB62:AB75"/>
    <mergeCell ref="AC62:AC75"/>
    <mergeCell ref="AD62:AD75"/>
    <mergeCell ref="AE62:AE75"/>
    <mergeCell ref="AF62:AF75"/>
    <mergeCell ref="AG62:AG75"/>
    <mergeCell ref="R62:R75"/>
    <mergeCell ref="S62:S75"/>
    <mergeCell ref="T62:T75"/>
    <mergeCell ref="AK76:AK81"/>
    <mergeCell ref="AL76:AL81"/>
    <mergeCell ref="AA76:AA78"/>
    <mergeCell ref="AB76:AB81"/>
    <mergeCell ref="AC76:AC81"/>
    <mergeCell ref="AD76:AD81"/>
    <mergeCell ref="AE76:AE81"/>
    <mergeCell ref="AF76:AF81"/>
    <mergeCell ref="P76:P81"/>
    <mergeCell ref="Q76:Q81"/>
    <mergeCell ref="R76:R81"/>
    <mergeCell ref="S76:S81"/>
    <mergeCell ref="T76:T81"/>
    <mergeCell ref="Z76:Z78"/>
    <mergeCell ref="BK76:BK81"/>
    <mergeCell ref="U77:U81"/>
    <mergeCell ref="O79:O81"/>
    <mergeCell ref="Z79:Z81"/>
    <mergeCell ref="AA79:AA81"/>
    <mergeCell ref="O82:O86"/>
    <mergeCell ref="P82:P91"/>
    <mergeCell ref="Q82:Q91"/>
    <mergeCell ref="T82:T91"/>
    <mergeCell ref="Z82:Z86"/>
    <mergeCell ref="BE76:BE81"/>
    <mergeCell ref="BF76:BF81"/>
    <mergeCell ref="BG76:BG81"/>
    <mergeCell ref="BH76:BH81"/>
    <mergeCell ref="BI76:BI81"/>
    <mergeCell ref="BJ76:BJ81"/>
    <mergeCell ref="AY76:AY81"/>
    <mergeCell ref="AZ76:AZ81"/>
    <mergeCell ref="BA76:BA81"/>
    <mergeCell ref="BB76:BB81"/>
    <mergeCell ref="BC76:BC81"/>
    <mergeCell ref="BD76:BD81"/>
    <mergeCell ref="AS76:AS81"/>
    <mergeCell ref="AT76:AT81"/>
    <mergeCell ref="BJ82:BJ91"/>
    <mergeCell ref="U83:U91"/>
    <mergeCell ref="J86:J87"/>
    <mergeCell ref="K86:K87"/>
    <mergeCell ref="L86:L87"/>
    <mergeCell ref="M86:M87"/>
    <mergeCell ref="N86:N87"/>
    <mergeCell ref="R86:R87"/>
    <mergeCell ref="AS82:AS91"/>
    <mergeCell ref="AT82:AT91"/>
    <mergeCell ref="AU82:AU91"/>
    <mergeCell ref="AV82:AV91"/>
    <mergeCell ref="AW82:AW91"/>
    <mergeCell ref="AX82:AX91"/>
    <mergeCell ref="AM82:AM91"/>
    <mergeCell ref="AN82:AN91"/>
    <mergeCell ref="AO82:AO91"/>
    <mergeCell ref="AP82:AP91"/>
    <mergeCell ref="AQ82:AQ91"/>
    <mergeCell ref="AR82:AR91"/>
    <mergeCell ref="AG82:AG91"/>
    <mergeCell ref="AH82:AH91"/>
    <mergeCell ref="AI82:AI91"/>
    <mergeCell ref="BI86:BI87"/>
    <mergeCell ref="O87:O91"/>
    <mergeCell ref="Z87:Z91"/>
    <mergeCell ref="AA87:AA91"/>
    <mergeCell ref="AZ86:AZ87"/>
    <mergeCell ref="BA86:BA87"/>
    <mergeCell ref="BB86:BB87"/>
    <mergeCell ref="BC86:BC87"/>
    <mergeCell ref="BD86:BD87"/>
    <mergeCell ref="BE86:BE87"/>
    <mergeCell ref="AY82:AY91"/>
    <mergeCell ref="AJ82:AJ91"/>
    <mergeCell ref="AK82:AK91"/>
    <mergeCell ref="AL82:AL91"/>
    <mergeCell ref="AA82:AA86"/>
    <mergeCell ref="AB82:AB91"/>
    <mergeCell ref="AC82:AC91"/>
    <mergeCell ref="AD82:AD91"/>
    <mergeCell ref="AE82:AE91"/>
    <mergeCell ref="AF82:AF91"/>
    <mergeCell ref="S82:S91"/>
    <mergeCell ref="D96:I96"/>
    <mergeCell ref="D97:I97"/>
    <mergeCell ref="A1:BH2"/>
    <mergeCell ref="A3:BH3"/>
    <mergeCell ref="A4:BH4"/>
    <mergeCell ref="O5:AA6"/>
    <mergeCell ref="AB5:AY6"/>
    <mergeCell ref="BF86:BF87"/>
    <mergeCell ref="BG86:BG87"/>
    <mergeCell ref="BH86:BH87"/>
    <mergeCell ref="AU76:AU81"/>
    <mergeCell ref="AV76:AV81"/>
    <mergeCell ref="AW76:AW81"/>
    <mergeCell ref="AX76:AX81"/>
    <mergeCell ref="AM76:AM81"/>
    <mergeCell ref="AN76:AN81"/>
    <mergeCell ref="AO76:AO81"/>
    <mergeCell ref="AP76:AP81"/>
    <mergeCell ref="AQ76:AQ81"/>
    <mergeCell ref="AR76:AR81"/>
    <mergeCell ref="AG76:AG81"/>
    <mergeCell ref="AH76:AH81"/>
    <mergeCell ref="AI76:AI81"/>
    <mergeCell ref="AJ76:AJ8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BH37"/>
  <sheetViews>
    <sheetView showGridLines="0" zoomScale="60" zoomScaleNormal="60" zoomScaleSheetLayoutView="90" workbookViewId="0">
      <selection sqref="A1:BF2"/>
    </sheetView>
  </sheetViews>
  <sheetFormatPr baseColWidth="10" defaultColWidth="11.42578125" defaultRowHeight="14.25" x14ac:dyDescent="0.2"/>
  <cols>
    <col min="1" max="1" width="11" style="38" customWidth="1"/>
    <col min="2" max="2" width="16.7109375" style="38" customWidth="1"/>
    <col min="3" max="3" width="11.5703125" style="38" bestFit="1" customWidth="1"/>
    <col min="4" max="4" width="17.140625" style="38" customWidth="1"/>
    <col min="5" max="5" width="4.5703125" style="38" customWidth="1"/>
    <col min="6" max="6" width="10.5703125" style="38" customWidth="1"/>
    <col min="7" max="7" width="20.5703125" style="38" customWidth="1"/>
    <col min="8" max="8" width="18.28515625" style="38" customWidth="1"/>
    <col min="9" max="9" width="19" style="1010" customWidth="1"/>
    <col min="10" max="10" width="14.85546875" style="744" customWidth="1"/>
    <col min="11" max="11" width="12.5703125" style="155" customWidth="1"/>
    <col min="12" max="12" width="12.5703125" style="746" customWidth="1"/>
    <col min="13" max="13" width="21.42578125" style="744" customWidth="1"/>
    <col min="14" max="14" width="11.7109375" style="743" customWidth="1"/>
    <col min="15" max="15" width="21.5703125" style="155" customWidth="1"/>
    <col min="16" max="16" width="14.85546875" style="38" bestFit="1" customWidth="1"/>
    <col min="17" max="17" width="24.85546875" style="748" customWidth="1"/>
    <col min="18" max="18" width="26.85546875" style="450" customWidth="1"/>
    <col min="19" max="19" width="27.42578125" style="450" customWidth="1"/>
    <col min="20" max="20" width="25" style="450" customWidth="1"/>
    <col min="21" max="23" width="24.42578125" style="1011" customWidth="1"/>
    <col min="24" max="24" width="14.7109375" style="1012" customWidth="1"/>
    <col min="25" max="25" width="19.140625" style="38" customWidth="1"/>
    <col min="26" max="27" width="12.7109375" style="38" customWidth="1"/>
    <col min="28" max="29" width="11.42578125" style="38" customWidth="1"/>
    <col min="30" max="33" width="11.5703125" style="38" customWidth="1"/>
    <col min="34" max="35" width="11.42578125" style="38" customWidth="1"/>
    <col min="36" max="41" width="11.5703125" style="38" customWidth="1"/>
    <col min="42" max="47" width="11.42578125" style="38" customWidth="1"/>
    <col min="48" max="48" width="11.5703125" style="38" customWidth="1"/>
    <col min="49" max="49" width="12" style="38" customWidth="1"/>
    <col min="50" max="50" width="21" style="38" customWidth="1"/>
    <col min="51" max="51" width="27" style="748" customWidth="1"/>
    <col min="52" max="52" width="23" style="748" customWidth="1"/>
    <col min="53" max="53" width="21" style="1013" customWidth="1"/>
    <col min="54" max="55" width="21" style="450" customWidth="1"/>
    <col min="56" max="59" width="22.7109375" style="744" customWidth="1"/>
    <col min="60" max="60" width="28.7109375" style="38" customWidth="1"/>
    <col min="61" max="16384" width="11.42578125" style="38"/>
  </cols>
  <sheetData>
    <row r="1" spans="1:60" ht="19.5" customHeight="1" x14ac:dyDescent="0.2">
      <c r="A1" s="2732" t="s">
        <v>141</v>
      </c>
      <c r="B1" s="2733"/>
      <c r="C1" s="2733"/>
      <c r="D1" s="2733"/>
      <c r="E1" s="2733"/>
      <c r="F1" s="2733"/>
      <c r="G1" s="2733"/>
      <c r="H1" s="2733"/>
      <c r="I1" s="2733"/>
      <c r="J1" s="2733"/>
      <c r="K1" s="2733"/>
      <c r="L1" s="2733"/>
      <c r="M1" s="2733"/>
      <c r="N1" s="2733"/>
      <c r="O1" s="2733"/>
      <c r="P1" s="2733"/>
      <c r="Q1" s="2733"/>
      <c r="R1" s="2733"/>
      <c r="S1" s="2733"/>
      <c r="T1" s="2733"/>
      <c r="U1" s="2733"/>
      <c r="V1" s="2733"/>
      <c r="W1" s="2733"/>
      <c r="X1" s="2733"/>
      <c r="Y1" s="2733"/>
      <c r="Z1" s="2733"/>
      <c r="AA1" s="2733"/>
      <c r="AB1" s="2733"/>
      <c r="AC1" s="2733"/>
      <c r="AD1" s="2733"/>
      <c r="AE1" s="2733"/>
      <c r="AF1" s="2733"/>
      <c r="AG1" s="2733"/>
      <c r="AH1" s="2733"/>
      <c r="AI1" s="2733"/>
      <c r="AJ1" s="2733"/>
      <c r="AK1" s="2733"/>
      <c r="AL1" s="2733"/>
      <c r="AM1" s="2733"/>
      <c r="AN1" s="2733"/>
      <c r="AO1" s="2733"/>
      <c r="AP1" s="2733"/>
      <c r="AQ1" s="2733"/>
      <c r="AR1" s="2733"/>
      <c r="AS1" s="2733"/>
      <c r="AT1" s="2733"/>
      <c r="AU1" s="2733"/>
      <c r="AV1" s="2733"/>
      <c r="AW1" s="2733"/>
      <c r="AX1" s="2733"/>
      <c r="AY1" s="2733"/>
      <c r="AZ1" s="2733"/>
      <c r="BA1" s="2733"/>
      <c r="BB1" s="2733"/>
      <c r="BC1" s="2733"/>
      <c r="BD1" s="2733"/>
      <c r="BE1" s="2733"/>
      <c r="BF1" s="2734"/>
      <c r="BG1" s="652" t="s">
        <v>0</v>
      </c>
      <c r="BH1" s="652" t="s">
        <v>1</v>
      </c>
    </row>
    <row r="2" spans="1:60" ht="19.5" customHeight="1" x14ac:dyDescent="0.2">
      <c r="A2" s="2473"/>
      <c r="B2" s="2474"/>
      <c r="C2" s="2474"/>
      <c r="D2" s="2474"/>
      <c r="E2" s="2474"/>
      <c r="F2" s="2474"/>
      <c r="G2" s="2474"/>
      <c r="H2" s="2474"/>
      <c r="I2" s="2474"/>
      <c r="J2" s="2474"/>
      <c r="K2" s="2474"/>
      <c r="L2" s="2474"/>
      <c r="M2" s="2474"/>
      <c r="N2" s="2474"/>
      <c r="O2" s="2474"/>
      <c r="P2" s="2474"/>
      <c r="Q2" s="2474"/>
      <c r="R2" s="2474"/>
      <c r="S2" s="2474"/>
      <c r="T2" s="2474"/>
      <c r="U2" s="2474"/>
      <c r="V2" s="2474"/>
      <c r="W2" s="2474"/>
      <c r="X2" s="2474"/>
      <c r="Y2" s="2474"/>
      <c r="Z2" s="2474"/>
      <c r="AA2" s="2474"/>
      <c r="AB2" s="2474"/>
      <c r="AC2" s="2474"/>
      <c r="AD2" s="2474"/>
      <c r="AE2" s="2474"/>
      <c r="AF2" s="2474"/>
      <c r="AG2" s="2474"/>
      <c r="AH2" s="2474"/>
      <c r="AI2" s="2474"/>
      <c r="AJ2" s="2474"/>
      <c r="AK2" s="2474"/>
      <c r="AL2" s="2474"/>
      <c r="AM2" s="2474"/>
      <c r="AN2" s="2474"/>
      <c r="AO2" s="2474"/>
      <c r="AP2" s="2474"/>
      <c r="AQ2" s="2474"/>
      <c r="AR2" s="2474"/>
      <c r="AS2" s="2474"/>
      <c r="AT2" s="2474"/>
      <c r="AU2" s="2474"/>
      <c r="AV2" s="2474"/>
      <c r="AW2" s="2474"/>
      <c r="AX2" s="2474"/>
      <c r="AY2" s="2474"/>
      <c r="AZ2" s="2474"/>
      <c r="BA2" s="2474"/>
      <c r="BB2" s="2474"/>
      <c r="BC2" s="2474"/>
      <c r="BD2" s="2474"/>
      <c r="BE2" s="2474"/>
      <c r="BF2" s="2475"/>
      <c r="BG2" s="648" t="s">
        <v>2</v>
      </c>
      <c r="BH2" s="650">
        <v>5</v>
      </c>
    </row>
    <row r="3" spans="1:60" ht="19.5" customHeight="1" x14ac:dyDescent="0.2">
      <c r="A3" s="2735" t="s">
        <v>197</v>
      </c>
      <c r="B3" s="2736"/>
      <c r="C3" s="2736"/>
      <c r="D3" s="2736"/>
      <c r="E3" s="2736"/>
      <c r="F3" s="2736"/>
      <c r="G3" s="2736"/>
      <c r="H3" s="2736"/>
      <c r="I3" s="2736"/>
      <c r="J3" s="2736"/>
      <c r="K3" s="2736"/>
      <c r="L3" s="2736"/>
      <c r="M3" s="2736"/>
      <c r="N3" s="2736"/>
      <c r="O3" s="2736"/>
      <c r="P3" s="2736"/>
      <c r="Q3" s="2736"/>
      <c r="R3" s="2736"/>
      <c r="S3" s="2736"/>
      <c r="T3" s="2736"/>
      <c r="U3" s="2736"/>
      <c r="V3" s="2736"/>
      <c r="W3" s="2736"/>
      <c r="X3" s="2736"/>
      <c r="Y3" s="2736"/>
      <c r="Z3" s="2736"/>
      <c r="AA3" s="2736"/>
      <c r="AB3" s="2736"/>
      <c r="AC3" s="2736"/>
      <c r="AD3" s="2736"/>
      <c r="AE3" s="2736"/>
      <c r="AF3" s="2736"/>
      <c r="AG3" s="2736"/>
      <c r="AH3" s="2736"/>
      <c r="AI3" s="2736"/>
      <c r="AJ3" s="2736"/>
      <c r="AK3" s="2736"/>
      <c r="AL3" s="2736"/>
      <c r="AM3" s="2736"/>
      <c r="AN3" s="2736"/>
      <c r="AO3" s="2736"/>
      <c r="AP3" s="2736"/>
      <c r="AQ3" s="2736"/>
      <c r="AR3" s="2736"/>
      <c r="AS3" s="2736"/>
      <c r="AT3" s="2736"/>
      <c r="AU3" s="2736"/>
      <c r="AV3" s="2736"/>
      <c r="AW3" s="2736"/>
      <c r="AX3" s="2736"/>
      <c r="AY3" s="2736"/>
      <c r="AZ3" s="2736"/>
      <c r="BA3" s="2736"/>
      <c r="BB3" s="2736"/>
      <c r="BC3" s="2736"/>
      <c r="BD3" s="2736"/>
      <c r="BE3" s="2736"/>
      <c r="BF3" s="2737"/>
      <c r="BG3" s="652" t="s">
        <v>3</v>
      </c>
      <c r="BH3" s="651" t="s">
        <v>4</v>
      </c>
    </row>
    <row r="4" spans="1:60" s="40" customFormat="1" ht="19.5" customHeight="1" x14ac:dyDescent="0.2">
      <c r="A4" s="2735" t="s">
        <v>139</v>
      </c>
      <c r="B4" s="2736"/>
      <c r="C4" s="2736"/>
      <c r="D4" s="2736"/>
      <c r="E4" s="2736"/>
      <c r="F4" s="2736"/>
      <c r="G4" s="2736"/>
      <c r="H4" s="2736"/>
      <c r="I4" s="2736"/>
      <c r="J4" s="2736"/>
      <c r="K4" s="2736"/>
      <c r="L4" s="2736"/>
      <c r="M4" s="2736"/>
      <c r="N4" s="2736"/>
      <c r="O4" s="2736"/>
      <c r="P4" s="2736"/>
      <c r="Q4" s="2736"/>
      <c r="R4" s="2736"/>
      <c r="S4" s="2736"/>
      <c r="T4" s="2736"/>
      <c r="U4" s="2736"/>
      <c r="V4" s="2736"/>
      <c r="W4" s="2736"/>
      <c r="X4" s="2736"/>
      <c r="Y4" s="2736"/>
      <c r="Z4" s="2736"/>
      <c r="AA4" s="2736"/>
      <c r="AB4" s="2736"/>
      <c r="AC4" s="2736"/>
      <c r="AD4" s="2736"/>
      <c r="AE4" s="2736"/>
      <c r="AF4" s="2736"/>
      <c r="AG4" s="2736"/>
      <c r="AH4" s="2736"/>
      <c r="AI4" s="2736"/>
      <c r="AJ4" s="2736"/>
      <c r="AK4" s="2736"/>
      <c r="AL4" s="2736"/>
      <c r="AM4" s="2736"/>
      <c r="AN4" s="2736"/>
      <c r="AO4" s="2736"/>
      <c r="AP4" s="2736"/>
      <c r="AQ4" s="2736"/>
      <c r="AR4" s="2736"/>
      <c r="AS4" s="2736"/>
      <c r="AT4" s="2736"/>
      <c r="AU4" s="2736"/>
      <c r="AV4" s="2736"/>
      <c r="AW4" s="2736"/>
      <c r="AX4" s="2736"/>
      <c r="AY4" s="2736"/>
      <c r="AZ4" s="2736"/>
      <c r="BA4" s="2736"/>
      <c r="BB4" s="2736"/>
      <c r="BC4" s="2736"/>
      <c r="BD4" s="2736"/>
      <c r="BE4" s="2736"/>
      <c r="BF4" s="2737"/>
      <c r="BG4" s="652" t="s">
        <v>5</v>
      </c>
      <c r="BH4" s="308" t="s">
        <v>6</v>
      </c>
    </row>
    <row r="5" spans="1:60" ht="15" customHeight="1" x14ac:dyDescent="0.2">
      <c r="A5" s="2476" t="s">
        <v>7</v>
      </c>
      <c r="B5" s="2477"/>
      <c r="C5" s="2477"/>
      <c r="D5" s="2477"/>
      <c r="E5" s="2477"/>
      <c r="F5" s="2477"/>
      <c r="G5" s="2477"/>
      <c r="H5" s="2477"/>
      <c r="I5" s="2477"/>
      <c r="J5" s="2477"/>
      <c r="K5" s="2477"/>
      <c r="L5" s="2480"/>
      <c r="M5" s="2476" t="s">
        <v>8</v>
      </c>
      <c r="N5" s="2477"/>
      <c r="O5" s="2477"/>
      <c r="P5" s="2477"/>
      <c r="Q5" s="2477"/>
      <c r="R5" s="2477"/>
      <c r="S5" s="2477"/>
      <c r="T5" s="2477"/>
      <c r="U5" s="2477"/>
      <c r="V5" s="2477"/>
      <c r="W5" s="2477"/>
      <c r="X5" s="2477"/>
      <c r="Y5" s="2480"/>
      <c r="Z5" s="2476" t="s">
        <v>9</v>
      </c>
      <c r="AA5" s="2477"/>
      <c r="AB5" s="2477"/>
      <c r="AC5" s="2477"/>
      <c r="AD5" s="2477"/>
      <c r="AE5" s="2477"/>
      <c r="AF5" s="2477"/>
      <c r="AG5" s="2477"/>
      <c r="AH5" s="2477"/>
      <c r="AI5" s="2477"/>
      <c r="AJ5" s="2477"/>
      <c r="AK5" s="2477"/>
      <c r="AL5" s="2477"/>
      <c r="AM5" s="2477"/>
      <c r="AN5" s="2477"/>
      <c r="AO5" s="2477"/>
      <c r="AP5" s="2477"/>
      <c r="AQ5" s="2477"/>
      <c r="AR5" s="2477"/>
      <c r="AS5" s="2477"/>
      <c r="AT5" s="2477"/>
      <c r="AU5" s="2477"/>
      <c r="AV5" s="2477"/>
      <c r="AW5" s="2480"/>
      <c r="AX5" s="2476"/>
      <c r="AY5" s="2477"/>
      <c r="AZ5" s="2477"/>
      <c r="BA5" s="2477"/>
      <c r="BB5" s="2477"/>
      <c r="BC5" s="2477"/>
      <c r="BD5" s="2477"/>
      <c r="BE5" s="2477"/>
      <c r="BF5" s="2477"/>
      <c r="BG5" s="2477"/>
      <c r="BH5" s="2480"/>
    </row>
    <row r="6" spans="1:60" ht="14.45" customHeight="1" x14ac:dyDescent="0.2">
      <c r="A6" s="2478"/>
      <c r="B6" s="2479"/>
      <c r="C6" s="2479"/>
      <c r="D6" s="2479"/>
      <c r="E6" s="2479"/>
      <c r="F6" s="2479"/>
      <c r="G6" s="2479"/>
      <c r="H6" s="2479"/>
      <c r="I6" s="2479"/>
      <c r="J6" s="2479"/>
      <c r="K6" s="2479"/>
      <c r="L6" s="2481"/>
      <c r="M6" s="2478"/>
      <c r="N6" s="2479"/>
      <c r="O6" s="2479"/>
      <c r="P6" s="2479"/>
      <c r="Q6" s="2479"/>
      <c r="R6" s="2479"/>
      <c r="S6" s="2479"/>
      <c r="T6" s="2479"/>
      <c r="U6" s="2479"/>
      <c r="V6" s="2479"/>
      <c r="W6" s="2479"/>
      <c r="X6" s="2479"/>
      <c r="Y6" s="2481"/>
      <c r="Z6" s="2478"/>
      <c r="AA6" s="2479"/>
      <c r="AB6" s="2479"/>
      <c r="AC6" s="2479"/>
      <c r="AD6" s="2479"/>
      <c r="AE6" s="2479"/>
      <c r="AF6" s="2479"/>
      <c r="AG6" s="2479"/>
      <c r="AH6" s="2479"/>
      <c r="AI6" s="2479"/>
      <c r="AJ6" s="2479"/>
      <c r="AK6" s="2479"/>
      <c r="AL6" s="2479"/>
      <c r="AM6" s="2479"/>
      <c r="AN6" s="2479"/>
      <c r="AO6" s="2479"/>
      <c r="AP6" s="2479"/>
      <c r="AQ6" s="2479"/>
      <c r="AR6" s="2479"/>
      <c r="AS6" s="2479"/>
      <c r="AT6" s="2479"/>
      <c r="AU6" s="2479"/>
      <c r="AV6" s="2479"/>
      <c r="AW6" s="2481"/>
      <c r="AX6" s="2478"/>
      <c r="AY6" s="2479"/>
      <c r="AZ6" s="2479"/>
      <c r="BA6" s="2479"/>
      <c r="BB6" s="2479"/>
      <c r="BC6" s="2479"/>
      <c r="BD6" s="2479"/>
      <c r="BE6" s="2479"/>
      <c r="BF6" s="2479"/>
      <c r="BG6" s="2479"/>
      <c r="BH6" s="2481"/>
    </row>
    <row r="7" spans="1:60" ht="22.5" customHeight="1" x14ac:dyDescent="0.2">
      <c r="A7" s="2450" t="s">
        <v>10</v>
      </c>
      <c r="B7" s="2450" t="s">
        <v>11</v>
      </c>
      <c r="C7" s="2450" t="s">
        <v>10</v>
      </c>
      <c r="D7" s="2450" t="s">
        <v>12</v>
      </c>
      <c r="E7" s="2450"/>
      <c r="F7" s="2450" t="s">
        <v>10</v>
      </c>
      <c r="G7" s="2450" t="s">
        <v>13</v>
      </c>
      <c r="H7" s="2450" t="s">
        <v>10</v>
      </c>
      <c r="I7" s="2739" t="s">
        <v>14</v>
      </c>
      <c r="J7" s="2450" t="s">
        <v>15</v>
      </c>
      <c r="K7" s="2450" t="s">
        <v>16</v>
      </c>
      <c r="L7" s="2450"/>
      <c r="M7" s="2450" t="s">
        <v>17</v>
      </c>
      <c r="N7" s="2726" t="s">
        <v>18</v>
      </c>
      <c r="O7" s="2450" t="s">
        <v>8</v>
      </c>
      <c r="P7" s="2450" t="s">
        <v>19</v>
      </c>
      <c r="Q7" s="2738" t="s">
        <v>20</v>
      </c>
      <c r="R7" s="2450" t="s">
        <v>21</v>
      </c>
      <c r="S7" s="2450" t="s">
        <v>22</v>
      </c>
      <c r="T7" s="2450" t="s">
        <v>23</v>
      </c>
      <c r="U7" s="2450" t="s">
        <v>20</v>
      </c>
      <c r="V7" s="2450"/>
      <c r="W7" s="2450"/>
      <c r="X7" s="2726" t="s">
        <v>10</v>
      </c>
      <c r="Y7" s="2450" t="s">
        <v>24</v>
      </c>
      <c r="Z7" s="2730" t="s">
        <v>25</v>
      </c>
      <c r="AA7" s="2730"/>
      <c r="AB7" s="2730"/>
      <c r="AC7" s="2730"/>
      <c r="AD7" s="2730"/>
      <c r="AE7" s="2730"/>
      <c r="AF7" s="2730"/>
      <c r="AG7" s="2730"/>
      <c r="AH7" s="2730"/>
      <c r="AI7" s="2730"/>
      <c r="AJ7" s="2730"/>
      <c r="AK7" s="2730"/>
      <c r="AL7" s="2730" t="s">
        <v>26</v>
      </c>
      <c r="AM7" s="2730"/>
      <c r="AN7" s="2730"/>
      <c r="AO7" s="2730"/>
      <c r="AP7" s="2730"/>
      <c r="AQ7" s="2730"/>
      <c r="AR7" s="2730"/>
      <c r="AS7" s="2730"/>
      <c r="AT7" s="2730"/>
      <c r="AU7" s="2730"/>
      <c r="AV7" s="2730"/>
      <c r="AW7" s="2730"/>
      <c r="AX7" s="2731" t="s">
        <v>27</v>
      </c>
      <c r="AY7" s="2731"/>
      <c r="AZ7" s="2731"/>
      <c r="BA7" s="2731"/>
      <c r="BB7" s="2731"/>
      <c r="BC7" s="2731"/>
      <c r="BD7" s="2729" t="s">
        <v>28</v>
      </c>
      <c r="BE7" s="2729"/>
      <c r="BF7" s="2729" t="s">
        <v>29</v>
      </c>
      <c r="BG7" s="2729"/>
      <c r="BH7" s="2490" t="s">
        <v>30</v>
      </c>
    </row>
    <row r="8" spans="1:60" ht="31.5" customHeight="1" x14ac:dyDescent="0.2">
      <c r="A8" s="2450"/>
      <c r="B8" s="2450"/>
      <c r="C8" s="2450"/>
      <c r="D8" s="2450"/>
      <c r="E8" s="2450"/>
      <c r="F8" s="2450"/>
      <c r="G8" s="2450"/>
      <c r="H8" s="2450"/>
      <c r="I8" s="2739"/>
      <c r="J8" s="2450"/>
      <c r="K8" s="2450"/>
      <c r="L8" s="2450"/>
      <c r="M8" s="2450"/>
      <c r="N8" s="2726"/>
      <c r="O8" s="2450"/>
      <c r="P8" s="2450"/>
      <c r="Q8" s="2738"/>
      <c r="R8" s="2450"/>
      <c r="S8" s="2450"/>
      <c r="T8" s="2450"/>
      <c r="U8" s="2450"/>
      <c r="V8" s="2450"/>
      <c r="W8" s="2450"/>
      <c r="X8" s="2726"/>
      <c r="Y8" s="2450"/>
      <c r="Z8" s="2729" t="s">
        <v>31</v>
      </c>
      <c r="AA8" s="2729"/>
      <c r="AB8" s="2729" t="s">
        <v>32</v>
      </c>
      <c r="AC8" s="2729"/>
      <c r="AD8" s="2729" t="s">
        <v>33</v>
      </c>
      <c r="AE8" s="2729"/>
      <c r="AF8" s="2729" t="s">
        <v>34</v>
      </c>
      <c r="AG8" s="2729"/>
      <c r="AH8" s="2729" t="s">
        <v>35</v>
      </c>
      <c r="AI8" s="2729"/>
      <c r="AJ8" s="2729" t="s">
        <v>36</v>
      </c>
      <c r="AK8" s="2729"/>
      <c r="AL8" s="2729" t="s">
        <v>37</v>
      </c>
      <c r="AM8" s="2729"/>
      <c r="AN8" s="2729" t="s">
        <v>38</v>
      </c>
      <c r="AO8" s="2729"/>
      <c r="AP8" s="2729" t="s">
        <v>39</v>
      </c>
      <c r="AQ8" s="2729"/>
      <c r="AR8" s="2729" t="s">
        <v>40</v>
      </c>
      <c r="AS8" s="2729"/>
      <c r="AT8" s="2729" t="s">
        <v>41</v>
      </c>
      <c r="AU8" s="2729"/>
      <c r="AV8" s="2729" t="s">
        <v>42</v>
      </c>
      <c r="AW8" s="2729"/>
      <c r="AX8" s="2463" t="s">
        <v>43</v>
      </c>
      <c r="AY8" s="2464" t="s">
        <v>44</v>
      </c>
      <c r="AZ8" s="2464" t="s">
        <v>45</v>
      </c>
      <c r="BA8" s="2464" t="s">
        <v>46</v>
      </c>
      <c r="BB8" s="2463" t="s">
        <v>47</v>
      </c>
      <c r="BC8" s="2463" t="s">
        <v>48</v>
      </c>
      <c r="BD8" s="2729"/>
      <c r="BE8" s="2729"/>
      <c r="BF8" s="2729"/>
      <c r="BG8" s="2729"/>
      <c r="BH8" s="2490"/>
    </row>
    <row r="9" spans="1:60" ht="15" x14ac:dyDescent="0.25">
      <c r="A9" s="2450"/>
      <c r="B9" s="2450"/>
      <c r="C9" s="2450"/>
      <c r="D9" s="2450"/>
      <c r="E9" s="2450"/>
      <c r="F9" s="2450"/>
      <c r="G9" s="2450"/>
      <c r="H9" s="2450"/>
      <c r="I9" s="2739"/>
      <c r="J9" s="2450"/>
      <c r="K9" s="752" t="s">
        <v>49</v>
      </c>
      <c r="L9" s="752" t="s">
        <v>50</v>
      </c>
      <c r="M9" s="2450"/>
      <c r="N9" s="2726"/>
      <c r="O9" s="2450"/>
      <c r="P9" s="2450"/>
      <c r="Q9" s="2738"/>
      <c r="R9" s="2450"/>
      <c r="S9" s="2450"/>
      <c r="T9" s="2450"/>
      <c r="U9" s="904" t="s">
        <v>51</v>
      </c>
      <c r="V9" s="905" t="s">
        <v>52</v>
      </c>
      <c r="W9" s="904" t="s">
        <v>53</v>
      </c>
      <c r="X9" s="2726"/>
      <c r="Y9" s="2450"/>
      <c r="Z9" s="752" t="s">
        <v>49</v>
      </c>
      <c r="AA9" s="752" t="s">
        <v>50</v>
      </c>
      <c r="AB9" s="752" t="s">
        <v>49</v>
      </c>
      <c r="AC9" s="752" t="s">
        <v>50</v>
      </c>
      <c r="AD9" s="752" t="s">
        <v>49</v>
      </c>
      <c r="AE9" s="752" t="s">
        <v>50</v>
      </c>
      <c r="AF9" s="752" t="s">
        <v>49</v>
      </c>
      <c r="AG9" s="752" t="s">
        <v>50</v>
      </c>
      <c r="AH9" s="752" t="s">
        <v>49</v>
      </c>
      <c r="AI9" s="752" t="s">
        <v>50</v>
      </c>
      <c r="AJ9" s="752" t="s">
        <v>49</v>
      </c>
      <c r="AK9" s="752" t="s">
        <v>50</v>
      </c>
      <c r="AL9" s="752" t="s">
        <v>49</v>
      </c>
      <c r="AM9" s="752" t="s">
        <v>50</v>
      </c>
      <c r="AN9" s="752" t="s">
        <v>49</v>
      </c>
      <c r="AO9" s="752" t="s">
        <v>50</v>
      </c>
      <c r="AP9" s="752" t="s">
        <v>49</v>
      </c>
      <c r="AQ9" s="752" t="s">
        <v>50</v>
      </c>
      <c r="AR9" s="752" t="s">
        <v>49</v>
      </c>
      <c r="AS9" s="752" t="s">
        <v>50</v>
      </c>
      <c r="AT9" s="752" t="s">
        <v>49</v>
      </c>
      <c r="AU9" s="752" t="s">
        <v>50</v>
      </c>
      <c r="AV9" s="752" t="s">
        <v>49</v>
      </c>
      <c r="AW9" s="752" t="s">
        <v>50</v>
      </c>
      <c r="AX9" s="2463"/>
      <c r="AY9" s="2464"/>
      <c r="AZ9" s="2464"/>
      <c r="BA9" s="2464"/>
      <c r="BB9" s="2463"/>
      <c r="BC9" s="2463"/>
      <c r="BD9" s="906" t="s">
        <v>49</v>
      </c>
      <c r="BE9" s="906" t="s">
        <v>50</v>
      </c>
      <c r="BF9" s="906" t="s">
        <v>49</v>
      </c>
      <c r="BG9" s="906" t="s">
        <v>50</v>
      </c>
      <c r="BH9" s="2490"/>
    </row>
    <row r="10" spans="1:60" s="916" customFormat="1" ht="18.75" customHeight="1" x14ac:dyDescent="0.25">
      <c r="A10" s="907" t="s">
        <v>198</v>
      </c>
      <c r="B10" s="317" t="s">
        <v>199</v>
      </c>
      <c r="C10" s="908"/>
      <c r="D10" s="754"/>
      <c r="E10" s="754"/>
      <c r="F10" s="754"/>
      <c r="G10" s="754"/>
      <c r="H10" s="754"/>
      <c r="I10" s="46"/>
      <c r="J10" s="756"/>
      <c r="K10" s="756"/>
      <c r="L10" s="754"/>
      <c r="M10" s="756"/>
      <c r="N10" s="908"/>
      <c r="O10" s="756"/>
      <c r="P10" s="755"/>
      <c r="Q10" s="909"/>
      <c r="R10" s="755"/>
      <c r="S10" s="755"/>
      <c r="T10" s="755"/>
      <c r="U10" s="910"/>
      <c r="V10" s="911"/>
      <c r="W10" s="912"/>
      <c r="X10" s="759"/>
      <c r="Y10" s="754"/>
      <c r="Z10" s="754"/>
      <c r="AA10" s="754"/>
      <c r="AB10" s="754"/>
      <c r="AC10" s="754"/>
      <c r="AD10" s="754"/>
      <c r="AE10" s="754"/>
      <c r="AF10" s="754"/>
      <c r="AG10" s="754"/>
      <c r="AH10" s="754"/>
      <c r="AI10" s="754"/>
      <c r="AJ10" s="754"/>
      <c r="AK10" s="756"/>
      <c r="AL10" s="756"/>
      <c r="AM10" s="913"/>
      <c r="AN10" s="914"/>
      <c r="AO10" s="913"/>
      <c r="AP10" s="913"/>
      <c r="AQ10" s="913"/>
      <c r="AR10" s="913"/>
      <c r="AS10" s="913"/>
      <c r="AT10" s="913"/>
      <c r="AU10" s="913"/>
      <c r="AV10" s="913"/>
      <c r="AW10" s="913"/>
      <c r="AX10" s="913"/>
      <c r="AY10" s="909"/>
      <c r="AZ10" s="909"/>
      <c r="BA10" s="909"/>
      <c r="BB10" s="1590"/>
      <c r="BC10" s="1590"/>
      <c r="BD10" s="913"/>
      <c r="BE10" s="913"/>
      <c r="BF10" s="913"/>
      <c r="BG10" s="913"/>
      <c r="BH10" s="915"/>
    </row>
    <row r="11" spans="1:60" s="746" customFormat="1" ht="18.75" customHeight="1" x14ac:dyDescent="0.25">
      <c r="A11" s="917"/>
      <c r="B11" s="918"/>
      <c r="C11" s="919">
        <v>28</v>
      </c>
      <c r="D11" s="920" t="s">
        <v>200</v>
      </c>
      <c r="E11" s="920"/>
      <c r="F11" s="921"/>
      <c r="G11" s="921"/>
      <c r="H11" s="921"/>
      <c r="I11" s="922"/>
      <c r="J11" s="923"/>
      <c r="K11" s="923"/>
      <c r="L11" s="921"/>
      <c r="M11" s="923"/>
      <c r="N11" s="924"/>
      <c r="O11" s="923"/>
      <c r="P11" s="921"/>
      <c r="Q11" s="925"/>
      <c r="R11" s="1959"/>
      <c r="S11" s="1959"/>
      <c r="T11" s="1959"/>
      <c r="U11" s="925"/>
      <c r="V11" s="926"/>
      <c r="W11" s="925"/>
      <c r="X11" s="927"/>
      <c r="Y11" s="921"/>
      <c r="Z11" s="921"/>
      <c r="AA11" s="921"/>
      <c r="AB11" s="921"/>
      <c r="AC11" s="921"/>
      <c r="AD11" s="921"/>
      <c r="AE11" s="921"/>
      <c r="AF11" s="921"/>
      <c r="AG11" s="921"/>
      <c r="AH11" s="921"/>
      <c r="AI11" s="921"/>
      <c r="AJ11" s="921"/>
      <c r="AK11" s="921"/>
      <c r="AL11" s="921"/>
      <c r="AM11" s="921"/>
      <c r="AN11" s="921"/>
      <c r="AO11" s="921"/>
      <c r="AP11" s="921"/>
      <c r="AQ11" s="921"/>
      <c r="AR11" s="921"/>
      <c r="AS11" s="921"/>
      <c r="AT11" s="921"/>
      <c r="AU11" s="921"/>
      <c r="AV11" s="921"/>
      <c r="AW11" s="921"/>
      <c r="AX11" s="921"/>
      <c r="AY11" s="925"/>
      <c r="AZ11" s="928"/>
      <c r="BA11" s="928"/>
      <c r="BB11" s="1959"/>
      <c r="BC11" s="1959"/>
      <c r="BD11" s="923"/>
      <c r="BE11" s="923"/>
      <c r="BF11" s="923"/>
      <c r="BG11" s="921"/>
      <c r="BH11" s="929"/>
    </row>
    <row r="12" spans="1:60" s="746" customFormat="1" ht="18.75" customHeight="1" x14ac:dyDescent="0.25">
      <c r="A12" s="930"/>
      <c r="B12" s="931"/>
      <c r="C12" s="917"/>
      <c r="D12" s="932"/>
      <c r="E12" s="918"/>
      <c r="F12" s="500">
        <v>88</v>
      </c>
      <c r="G12" s="2727" t="s">
        <v>201</v>
      </c>
      <c r="H12" s="2728"/>
      <c r="I12" s="933"/>
      <c r="J12" s="934"/>
      <c r="K12" s="934"/>
      <c r="L12" s="935"/>
      <c r="M12" s="934"/>
      <c r="N12" s="936"/>
      <c r="O12" s="934"/>
      <c r="P12" s="935"/>
      <c r="Q12" s="937"/>
      <c r="R12" s="1591"/>
      <c r="S12" s="1591"/>
      <c r="T12" s="1591"/>
      <c r="U12" s="937"/>
      <c r="V12" s="938"/>
      <c r="W12" s="937"/>
      <c r="X12" s="939"/>
      <c r="Y12" s="935"/>
      <c r="Z12" s="935"/>
      <c r="AA12" s="935"/>
      <c r="AB12" s="935"/>
      <c r="AC12" s="935"/>
      <c r="AD12" s="935"/>
      <c r="AE12" s="935"/>
      <c r="AF12" s="935"/>
      <c r="AG12" s="935"/>
      <c r="AH12" s="935"/>
      <c r="AI12" s="935"/>
      <c r="AJ12" s="935"/>
      <c r="AK12" s="935"/>
      <c r="AL12" s="935"/>
      <c r="AM12" s="935"/>
      <c r="AN12" s="935"/>
      <c r="AO12" s="935"/>
      <c r="AP12" s="935"/>
      <c r="AQ12" s="935"/>
      <c r="AR12" s="935"/>
      <c r="AS12" s="935"/>
      <c r="AT12" s="935"/>
      <c r="AU12" s="935"/>
      <c r="AV12" s="935"/>
      <c r="AW12" s="935"/>
      <c r="AX12" s="935"/>
      <c r="AY12" s="937"/>
      <c r="AZ12" s="937"/>
      <c r="BA12" s="937"/>
      <c r="BB12" s="1591"/>
      <c r="BC12" s="1591"/>
      <c r="BD12" s="934"/>
      <c r="BE12" s="934"/>
      <c r="BF12" s="934"/>
      <c r="BG12" s="935"/>
      <c r="BH12" s="940"/>
    </row>
    <row r="13" spans="1:60" ht="240.75" customHeight="1" x14ac:dyDescent="0.2">
      <c r="A13" s="41"/>
      <c r="B13" s="688"/>
      <c r="C13" s="41"/>
      <c r="D13" s="688"/>
      <c r="E13" s="688"/>
      <c r="F13" s="686"/>
      <c r="G13" s="941"/>
      <c r="H13" s="2723">
        <v>275</v>
      </c>
      <c r="I13" s="2534" t="s">
        <v>202</v>
      </c>
      <c r="J13" s="2535" t="s">
        <v>203</v>
      </c>
      <c r="K13" s="2535">
        <v>4</v>
      </c>
      <c r="L13" s="2415">
        <v>1.2</v>
      </c>
      <c r="M13" s="2420" t="s">
        <v>1953</v>
      </c>
      <c r="N13" s="2501">
        <v>16</v>
      </c>
      <c r="O13" s="2534" t="s">
        <v>204</v>
      </c>
      <c r="P13" s="2559">
        <f>U14/Q13</f>
        <v>0.69238642872312373</v>
      </c>
      <c r="Q13" s="2720">
        <f>SUM(U13:U23)</f>
        <v>1763466107</v>
      </c>
      <c r="R13" s="2534" t="s">
        <v>205</v>
      </c>
      <c r="S13" s="2534" t="s">
        <v>206</v>
      </c>
      <c r="T13" s="942" t="s">
        <v>207</v>
      </c>
      <c r="U13" s="943">
        <v>0</v>
      </c>
      <c r="V13" s="944">
        <v>0</v>
      </c>
      <c r="W13" s="944">
        <v>0</v>
      </c>
      <c r="X13" s="2691">
        <v>20</v>
      </c>
      <c r="Y13" s="2535" t="s">
        <v>208</v>
      </c>
      <c r="Z13" s="2685">
        <v>64149</v>
      </c>
      <c r="AA13" s="2702">
        <f>+Z13*13%</f>
        <v>8339.3700000000008</v>
      </c>
      <c r="AB13" s="2701">
        <v>72224</v>
      </c>
      <c r="AC13" s="2702">
        <f>+AB13*13%</f>
        <v>9389.1200000000008</v>
      </c>
      <c r="AD13" s="2702">
        <v>27477</v>
      </c>
      <c r="AE13" s="2702">
        <f>+AD13*13%</f>
        <v>3572.01</v>
      </c>
      <c r="AF13" s="2701">
        <v>86843</v>
      </c>
      <c r="AG13" s="2702">
        <f>+AF13*13%</f>
        <v>11289.59</v>
      </c>
      <c r="AH13" s="2701">
        <v>236429</v>
      </c>
      <c r="AI13" s="2702">
        <f>+AH13*13%</f>
        <v>30735.77</v>
      </c>
      <c r="AJ13" s="2701">
        <v>81384</v>
      </c>
      <c r="AK13" s="2702">
        <f>+AJ13*13%</f>
        <v>10579.92</v>
      </c>
      <c r="AL13" s="2701">
        <v>13208</v>
      </c>
      <c r="AM13" s="2714">
        <f>+AL13*13%</f>
        <v>1717.04</v>
      </c>
      <c r="AN13" s="2701">
        <v>1187</v>
      </c>
      <c r="AO13" s="2415">
        <f>+AN13*13%</f>
        <v>154.31</v>
      </c>
      <c r="AP13" s="2701">
        <v>0</v>
      </c>
      <c r="AQ13" s="2705"/>
      <c r="AR13" s="2701">
        <v>0</v>
      </c>
      <c r="AS13" s="2705"/>
      <c r="AT13" s="2701">
        <v>16897</v>
      </c>
      <c r="AU13" s="2702">
        <f>+AT13*13%</f>
        <v>2196.61</v>
      </c>
      <c r="AV13" s="2701">
        <v>81384</v>
      </c>
      <c r="AW13" s="2702">
        <f>+AV13*13%</f>
        <v>10579.92</v>
      </c>
      <c r="AX13" s="2415">
        <v>11</v>
      </c>
      <c r="AY13" s="2708">
        <v>960575692</v>
      </c>
      <c r="AZ13" s="2708">
        <v>27142000</v>
      </c>
      <c r="BA13" s="2710">
        <f>AZ13/AY13</f>
        <v>2.8255972148835098E-2</v>
      </c>
      <c r="BB13" s="2712" t="s">
        <v>121</v>
      </c>
      <c r="BC13" s="2712" t="s">
        <v>209</v>
      </c>
      <c r="BD13" s="2697">
        <v>42754</v>
      </c>
      <c r="BE13" s="2699">
        <v>42754</v>
      </c>
      <c r="BF13" s="2697">
        <v>43100</v>
      </c>
      <c r="BG13" s="2699">
        <v>43100</v>
      </c>
      <c r="BH13" s="2706" t="s">
        <v>210</v>
      </c>
    </row>
    <row r="14" spans="1:60" ht="77.25" customHeight="1" x14ac:dyDescent="0.2">
      <c r="A14" s="41"/>
      <c r="B14" s="688"/>
      <c r="C14" s="41"/>
      <c r="D14" s="688"/>
      <c r="E14" s="688"/>
      <c r="F14" s="41"/>
      <c r="G14" s="689"/>
      <c r="H14" s="2724"/>
      <c r="I14" s="2694"/>
      <c r="J14" s="2536"/>
      <c r="K14" s="2536"/>
      <c r="L14" s="2416"/>
      <c r="M14" s="2420"/>
      <c r="N14" s="2502"/>
      <c r="O14" s="2694"/>
      <c r="P14" s="2561"/>
      <c r="Q14" s="2721"/>
      <c r="R14" s="2694"/>
      <c r="S14" s="2695"/>
      <c r="T14" s="945" t="s">
        <v>211</v>
      </c>
      <c r="U14" s="946">
        <v>1221000000</v>
      </c>
      <c r="V14" s="944">
        <v>960575692</v>
      </c>
      <c r="W14" s="947">
        <v>27142000</v>
      </c>
      <c r="X14" s="2693"/>
      <c r="Y14" s="2664"/>
      <c r="Z14" s="2686"/>
      <c r="AA14" s="2703"/>
      <c r="AB14" s="2701"/>
      <c r="AC14" s="2703"/>
      <c r="AD14" s="2703"/>
      <c r="AE14" s="2703"/>
      <c r="AF14" s="2701"/>
      <c r="AG14" s="2703"/>
      <c r="AH14" s="2701"/>
      <c r="AI14" s="2703"/>
      <c r="AJ14" s="2701"/>
      <c r="AK14" s="2703"/>
      <c r="AL14" s="2701"/>
      <c r="AM14" s="2715"/>
      <c r="AN14" s="2701"/>
      <c r="AO14" s="2416"/>
      <c r="AP14" s="2701"/>
      <c r="AQ14" s="2705"/>
      <c r="AR14" s="2701"/>
      <c r="AS14" s="2705"/>
      <c r="AT14" s="2701"/>
      <c r="AU14" s="2703"/>
      <c r="AV14" s="2701"/>
      <c r="AW14" s="2703"/>
      <c r="AX14" s="2417"/>
      <c r="AY14" s="2709"/>
      <c r="AZ14" s="2709"/>
      <c r="BA14" s="2711"/>
      <c r="BB14" s="2713"/>
      <c r="BC14" s="2713"/>
      <c r="BD14" s="2698"/>
      <c r="BE14" s="2700"/>
      <c r="BF14" s="2698"/>
      <c r="BG14" s="2700"/>
      <c r="BH14" s="2707"/>
    </row>
    <row r="15" spans="1:60" ht="77.25" customHeight="1" x14ac:dyDescent="0.2">
      <c r="A15" s="41"/>
      <c r="B15" s="688"/>
      <c r="C15" s="41"/>
      <c r="D15" s="688"/>
      <c r="E15" s="688"/>
      <c r="F15" s="41"/>
      <c r="G15" s="689"/>
      <c r="H15" s="2456">
        <v>276</v>
      </c>
      <c r="I15" s="2431" t="s">
        <v>212</v>
      </c>
      <c r="J15" s="2420" t="s">
        <v>203</v>
      </c>
      <c r="K15" s="2420">
        <v>1</v>
      </c>
      <c r="L15" s="2696">
        <v>0.5</v>
      </c>
      <c r="M15" s="2420"/>
      <c r="N15" s="2502"/>
      <c r="O15" s="2694"/>
      <c r="P15" s="2717">
        <f>U17/Q13</f>
        <v>0.14755032657965339</v>
      </c>
      <c r="Q15" s="2721"/>
      <c r="R15" s="2694"/>
      <c r="S15" s="2534" t="s">
        <v>213</v>
      </c>
      <c r="T15" s="2431" t="s">
        <v>214</v>
      </c>
      <c r="U15" s="943">
        <v>0</v>
      </c>
      <c r="V15" s="944"/>
      <c r="W15" s="947"/>
      <c r="X15" s="948"/>
      <c r="Y15" s="569"/>
      <c r="Z15" s="2686"/>
      <c r="AA15" s="2703"/>
      <c r="AB15" s="2701"/>
      <c r="AC15" s="2703"/>
      <c r="AD15" s="2703"/>
      <c r="AE15" s="2703"/>
      <c r="AF15" s="2701"/>
      <c r="AG15" s="2703"/>
      <c r="AH15" s="2701"/>
      <c r="AI15" s="2703"/>
      <c r="AJ15" s="2701"/>
      <c r="AK15" s="2703"/>
      <c r="AL15" s="2701"/>
      <c r="AM15" s="2715"/>
      <c r="AN15" s="2701"/>
      <c r="AO15" s="2416"/>
      <c r="AP15" s="2701"/>
      <c r="AQ15" s="2705"/>
      <c r="AR15" s="2701"/>
      <c r="AS15" s="2705"/>
      <c r="AT15" s="2701"/>
      <c r="AU15" s="2703"/>
      <c r="AV15" s="2701"/>
      <c r="AW15" s="2703"/>
      <c r="AX15" s="586"/>
      <c r="AY15" s="699"/>
      <c r="AZ15" s="699"/>
      <c r="BA15" s="949"/>
      <c r="BB15" s="645"/>
      <c r="BC15" s="644"/>
      <c r="BD15" s="950"/>
      <c r="BE15" s="951"/>
      <c r="BF15" s="950"/>
      <c r="BG15" s="951"/>
      <c r="BH15" s="952"/>
    </row>
    <row r="16" spans="1:60" ht="121.5" customHeight="1" x14ac:dyDescent="0.2">
      <c r="A16" s="41"/>
      <c r="B16" s="688"/>
      <c r="C16" s="41"/>
      <c r="D16" s="688"/>
      <c r="E16" s="688"/>
      <c r="F16" s="41"/>
      <c r="G16" s="689"/>
      <c r="H16" s="2456"/>
      <c r="I16" s="2431"/>
      <c r="J16" s="2420"/>
      <c r="K16" s="2420"/>
      <c r="L16" s="2696"/>
      <c r="M16" s="2420"/>
      <c r="N16" s="2502"/>
      <c r="O16" s="2694"/>
      <c r="P16" s="2718"/>
      <c r="Q16" s="2721"/>
      <c r="R16" s="2694"/>
      <c r="S16" s="2694"/>
      <c r="T16" s="2431"/>
      <c r="U16" s="943">
        <v>0</v>
      </c>
      <c r="V16" s="944">
        <v>0</v>
      </c>
      <c r="W16" s="947">
        <v>0</v>
      </c>
      <c r="X16" s="2691" t="s">
        <v>215</v>
      </c>
      <c r="Y16" s="2535" t="s">
        <v>216</v>
      </c>
      <c r="Z16" s="2686"/>
      <c r="AA16" s="2703"/>
      <c r="AB16" s="2701"/>
      <c r="AC16" s="2703"/>
      <c r="AD16" s="2703"/>
      <c r="AE16" s="2703"/>
      <c r="AF16" s="2701"/>
      <c r="AG16" s="2703"/>
      <c r="AH16" s="2701"/>
      <c r="AI16" s="2703"/>
      <c r="AJ16" s="2701"/>
      <c r="AK16" s="2703"/>
      <c r="AL16" s="2701"/>
      <c r="AM16" s="2715"/>
      <c r="AN16" s="2701"/>
      <c r="AO16" s="2416"/>
      <c r="AP16" s="2701"/>
      <c r="AQ16" s="2705"/>
      <c r="AR16" s="2701"/>
      <c r="AS16" s="2705"/>
      <c r="AT16" s="2701"/>
      <c r="AU16" s="2703"/>
      <c r="AV16" s="2701"/>
      <c r="AW16" s="2703"/>
      <c r="AX16" s="577">
        <v>0</v>
      </c>
      <c r="AY16" s="953">
        <v>0</v>
      </c>
      <c r="AZ16" s="953">
        <v>0</v>
      </c>
      <c r="BA16" s="949"/>
      <c r="BB16" s="647" t="s">
        <v>217</v>
      </c>
      <c r="BC16" s="2534" t="s">
        <v>209</v>
      </c>
      <c r="BD16" s="955"/>
      <c r="BE16" s="956"/>
      <c r="BF16" s="955"/>
      <c r="BG16" s="956"/>
      <c r="BH16" s="2706" t="s">
        <v>210</v>
      </c>
    </row>
    <row r="17" spans="1:60" ht="105" customHeight="1" x14ac:dyDescent="0.2">
      <c r="A17" s="41"/>
      <c r="B17" s="688"/>
      <c r="C17" s="41"/>
      <c r="D17" s="688"/>
      <c r="E17" s="688"/>
      <c r="F17" s="41"/>
      <c r="G17" s="689"/>
      <c r="H17" s="2456"/>
      <c r="I17" s="2431"/>
      <c r="J17" s="2420"/>
      <c r="K17" s="2420"/>
      <c r="L17" s="2696"/>
      <c r="M17" s="2420"/>
      <c r="N17" s="2502"/>
      <c r="O17" s="2694"/>
      <c r="P17" s="2719"/>
      <c r="Q17" s="2721"/>
      <c r="R17" s="2694"/>
      <c r="S17" s="2695"/>
      <c r="T17" s="702" t="s">
        <v>218</v>
      </c>
      <c r="U17" s="943">
        <v>260200000</v>
      </c>
      <c r="V17" s="944">
        <v>145020000</v>
      </c>
      <c r="W17" s="947">
        <v>30500000</v>
      </c>
      <c r="X17" s="2693"/>
      <c r="Y17" s="2664"/>
      <c r="Z17" s="2686"/>
      <c r="AA17" s="2703"/>
      <c r="AB17" s="2701"/>
      <c r="AC17" s="2703"/>
      <c r="AD17" s="2703"/>
      <c r="AE17" s="2703"/>
      <c r="AF17" s="2701"/>
      <c r="AG17" s="2703"/>
      <c r="AH17" s="2701"/>
      <c r="AI17" s="2703"/>
      <c r="AJ17" s="2701"/>
      <c r="AK17" s="2703"/>
      <c r="AL17" s="2701"/>
      <c r="AM17" s="2715"/>
      <c r="AN17" s="2701"/>
      <c r="AO17" s="2416"/>
      <c r="AP17" s="2701"/>
      <c r="AQ17" s="2705"/>
      <c r="AR17" s="2701"/>
      <c r="AS17" s="2705"/>
      <c r="AT17" s="2701"/>
      <c r="AU17" s="2703"/>
      <c r="AV17" s="2701"/>
      <c r="AW17" s="2703"/>
      <c r="AX17" s="706">
        <v>10</v>
      </c>
      <c r="AY17" s="947">
        <v>145020000</v>
      </c>
      <c r="AZ17" s="947">
        <v>30500000</v>
      </c>
      <c r="BA17" s="957">
        <f>AZ17/AY17</f>
        <v>0.21031581850779202</v>
      </c>
      <c r="BB17" s="702" t="s">
        <v>219</v>
      </c>
      <c r="BC17" s="2695"/>
      <c r="BD17" s="950">
        <v>42754</v>
      </c>
      <c r="BE17" s="951">
        <v>42754</v>
      </c>
      <c r="BF17" s="950">
        <v>42962</v>
      </c>
      <c r="BG17" s="951">
        <v>42962</v>
      </c>
      <c r="BH17" s="2707"/>
    </row>
    <row r="18" spans="1:60" s="51" customFormat="1" ht="108" customHeight="1" x14ac:dyDescent="0.2">
      <c r="A18" s="836"/>
      <c r="B18" s="835"/>
      <c r="C18" s="836"/>
      <c r="D18" s="835"/>
      <c r="E18" s="835"/>
      <c r="F18" s="836"/>
      <c r="G18" s="958"/>
      <c r="H18" s="2723">
        <v>277</v>
      </c>
      <c r="I18" s="2534" t="s">
        <v>220</v>
      </c>
      <c r="J18" s="2535" t="s">
        <v>203</v>
      </c>
      <c r="K18" s="2535">
        <v>1</v>
      </c>
      <c r="L18" s="2541">
        <v>0.5</v>
      </c>
      <c r="M18" s="2420"/>
      <c r="N18" s="2502"/>
      <c r="O18" s="2694"/>
      <c r="P18" s="2559">
        <f>(U21+U22+U23)/Q13</f>
        <v>0.16006324469722286</v>
      </c>
      <c r="Q18" s="2721"/>
      <c r="R18" s="2694"/>
      <c r="S18" s="2534" t="s">
        <v>221</v>
      </c>
      <c r="T18" s="2431" t="s">
        <v>222</v>
      </c>
      <c r="U18" s="959">
        <v>0</v>
      </c>
      <c r="V18" s="944">
        <v>0</v>
      </c>
      <c r="W18" s="947">
        <v>0</v>
      </c>
      <c r="X18" s="2691" t="s">
        <v>223</v>
      </c>
      <c r="Y18" s="960" t="s">
        <v>208</v>
      </c>
      <c r="Z18" s="2686"/>
      <c r="AA18" s="2703"/>
      <c r="AB18" s="2701"/>
      <c r="AC18" s="2703"/>
      <c r="AD18" s="2703"/>
      <c r="AE18" s="2703"/>
      <c r="AF18" s="2701"/>
      <c r="AG18" s="2703"/>
      <c r="AH18" s="2701"/>
      <c r="AI18" s="2703"/>
      <c r="AJ18" s="2701"/>
      <c r="AK18" s="2703"/>
      <c r="AL18" s="2701"/>
      <c r="AM18" s="2715"/>
      <c r="AN18" s="2701"/>
      <c r="AO18" s="2416"/>
      <c r="AP18" s="2701"/>
      <c r="AQ18" s="2705"/>
      <c r="AR18" s="2701"/>
      <c r="AS18" s="2705"/>
      <c r="AT18" s="2701"/>
      <c r="AU18" s="2703"/>
      <c r="AV18" s="2701"/>
      <c r="AW18" s="2703"/>
      <c r="AX18" s="706">
        <v>0</v>
      </c>
      <c r="AY18" s="947">
        <v>0</v>
      </c>
      <c r="AZ18" s="947">
        <v>0</v>
      </c>
      <c r="BA18" s="961"/>
      <c r="BB18" s="702" t="s">
        <v>121</v>
      </c>
      <c r="BC18" s="2534" t="s">
        <v>209</v>
      </c>
      <c r="BD18" s="724"/>
      <c r="BE18" s="610"/>
      <c r="BF18" s="724"/>
      <c r="BG18" s="610"/>
      <c r="BH18" s="2680" t="s">
        <v>210</v>
      </c>
    </row>
    <row r="19" spans="1:60" s="192" customFormat="1" ht="49.5" customHeight="1" x14ac:dyDescent="0.2">
      <c r="A19" s="791"/>
      <c r="B19" s="202"/>
      <c r="C19" s="791"/>
      <c r="D19" s="202"/>
      <c r="E19" s="202"/>
      <c r="F19" s="791"/>
      <c r="G19" s="792"/>
      <c r="H19" s="2724"/>
      <c r="I19" s="2694"/>
      <c r="J19" s="2536"/>
      <c r="K19" s="2536"/>
      <c r="L19" s="2542"/>
      <c r="M19" s="2420"/>
      <c r="N19" s="2502"/>
      <c r="O19" s="2694"/>
      <c r="P19" s="2560"/>
      <c r="Q19" s="2721"/>
      <c r="R19" s="2694"/>
      <c r="S19" s="2694"/>
      <c r="T19" s="2431"/>
      <c r="U19" s="962">
        <v>0</v>
      </c>
      <c r="V19" s="963">
        <v>0</v>
      </c>
      <c r="W19" s="964">
        <v>0</v>
      </c>
      <c r="X19" s="2692"/>
      <c r="Y19" s="88" t="s">
        <v>224</v>
      </c>
      <c r="Z19" s="2686"/>
      <c r="AA19" s="2703"/>
      <c r="AB19" s="2701"/>
      <c r="AC19" s="2703"/>
      <c r="AD19" s="2703"/>
      <c r="AE19" s="2703"/>
      <c r="AF19" s="2701"/>
      <c r="AG19" s="2703"/>
      <c r="AH19" s="2701"/>
      <c r="AI19" s="2703"/>
      <c r="AJ19" s="2701"/>
      <c r="AK19" s="2703"/>
      <c r="AL19" s="2701"/>
      <c r="AM19" s="2715"/>
      <c r="AN19" s="2701"/>
      <c r="AO19" s="2416"/>
      <c r="AP19" s="2701"/>
      <c r="AQ19" s="2705"/>
      <c r="AR19" s="2701"/>
      <c r="AS19" s="2705"/>
      <c r="AT19" s="2701"/>
      <c r="AU19" s="2703"/>
      <c r="AV19" s="2701"/>
      <c r="AW19" s="2703"/>
      <c r="AX19" s="602">
        <v>0</v>
      </c>
      <c r="AY19" s="964"/>
      <c r="AZ19" s="964"/>
      <c r="BA19" s="961"/>
      <c r="BB19" s="646" t="s">
        <v>225</v>
      </c>
      <c r="BC19" s="2694"/>
      <c r="BD19" s="712"/>
      <c r="BE19" s="965"/>
      <c r="BF19" s="712"/>
      <c r="BG19" s="965"/>
      <c r="BH19" s="2680"/>
    </row>
    <row r="20" spans="1:60" s="51" customFormat="1" ht="102" customHeight="1" x14ac:dyDescent="0.2">
      <c r="A20" s="836"/>
      <c r="B20" s="835"/>
      <c r="C20" s="836"/>
      <c r="D20" s="835"/>
      <c r="E20" s="835"/>
      <c r="F20" s="836"/>
      <c r="G20" s="958"/>
      <c r="H20" s="2724"/>
      <c r="I20" s="2694"/>
      <c r="J20" s="2536"/>
      <c r="K20" s="2536"/>
      <c r="L20" s="2542"/>
      <c r="M20" s="2420"/>
      <c r="N20" s="2502"/>
      <c r="O20" s="2694"/>
      <c r="P20" s="2560"/>
      <c r="Q20" s="2721"/>
      <c r="R20" s="2694"/>
      <c r="S20" s="2694"/>
      <c r="T20" s="2431"/>
      <c r="U20" s="966">
        <v>0</v>
      </c>
      <c r="V20" s="944">
        <v>0</v>
      </c>
      <c r="W20" s="947">
        <v>0</v>
      </c>
      <c r="X20" s="2692"/>
      <c r="Y20" s="75" t="s">
        <v>226</v>
      </c>
      <c r="Z20" s="2686"/>
      <c r="AA20" s="2703"/>
      <c r="AB20" s="2701"/>
      <c r="AC20" s="2703"/>
      <c r="AD20" s="2703"/>
      <c r="AE20" s="2703"/>
      <c r="AF20" s="2701"/>
      <c r="AG20" s="2703"/>
      <c r="AH20" s="2701"/>
      <c r="AI20" s="2703"/>
      <c r="AJ20" s="2701"/>
      <c r="AK20" s="2703"/>
      <c r="AL20" s="2701"/>
      <c r="AM20" s="2715"/>
      <c r="AN20" s="2701"/>
      <c r="AO20" s="2416"/>
      <c r="AP20" s="2701"/>
      <c r="AQ20" s="2705"/>
      <c r="AR20" s="2701"/>
      <c r="AS20" s="2705"/>
      <c r="AT20" s="2701"/>
      <c r="AU20" s="2703"/>
      <c r="AV20" s="2701"/>
      <c r="AW20" s="2703"/>
      <c r="AX20" s="706">
        <v>0</v>
      </c>
      <c r="AY20" s="947">
        <v>0</v>
      </c>
      <c r="AZ20" s="947">
        <v>0</v>
      </c>
      <c r="BA20" s="961"/>
      <c r="BB20" s="702" t="s">
        <v>227</v>
      </c>
      <c r="BC20" s="2694"/>
      <c r="BD20" s="724"/>
      <c r="BE20" s="610"/>
      <c r="BF20" s="724"/>
      <c r="BG20" s="610"/>
      <c r="BH20" s="2680"/>
    </row>
    <row r="21" spans="1:60" s="51" customFormat="1" ht="41.25" customHeight="1" x14ac:dyDescent="0.2">
      <c r="A21" s="836"/>
      <c r="B21" s="835"/>
      <c r="C21" s="836"/>
      <c r="D21" s="835"/>
      <c r="E21" s="835"/>
      <c r="F21" s="836"/>
      <c r="G21" s="958"/>
      <c r="H21" s="2724"/>
      <c r="I21" s="2694"/>
      <c r="J21" s="2536"/>
      <c r="K21" s="2536"/>
      <c r="L21" s="2542"/>
      <c r="M21" s="2420"/>
      <c r="N21" s="2502"/>
      <c r="O21" s="2694"/>
      <c r="P21" s="2560"/>
      <c r="Q21" s="2721"/>
      <c r="R21" s="2694"/>
      <c r="S21" s="2694"/>
      <c r="T21" s="2694" t="s">
        <v>228</v>
      </c>
      <c r="U21" s="966">
        <v>5733586</v>
      </c>
      <c r="V21" s="944">
        <v>5633333</v>
      </c>
      <c r="W21" s="947">
        <v>0</v>
      </c>
      <c r="X21" s="2692"/>
      <c r="Y21" s="75" t="s">
        <v>229</v>
      </c>
      <c r="Z21" s="2686"/>
      <c r="AA21" s="2703"/>
      <c r="AB21" s="2701"/>
      <c r="AC21" s="2703"/>
      <c r="AD21" s="2703"/>
      <c r="AE21" s="2703"/>
      <c r="AF21" s="2701"/>
      <c r="AG21" s="2703"/>
      <c r="AH21" s="2701"/>
      <c r="AI21" s="2703"/>
      <c r="AJ21" s="2701"/>
      <c r="AK21" s="2703"/>
      <c r="AL21" s="2701"/>
      <c r="AM21" s="2715"/>
      <c r="AN21" s="2701"/>
      <c r="AO21" s="2416"/>
      <c r="AP21" s="2701"/>
      <c r="AQ21" s="2705"/>
      <c r="AR21" s="2701"/>
      <c r="AS21" s="2705"/>
      <c r="AT21" s="2701"/>
      <c r="AU21" s="2703"/>
      <c r="AV21" s="2701"/>
      <c r="AW21" s="2703"/>
      <c r="AX21" s="706">
        <v>1</v>
      </c>
      <c r="AY21" s="947">
        <v>5633333</v>
      </c>
      <c r="AZ21" s="947">
        <v>0</v>
      </c>
      <c r="BA21" s="961">
        <v>0</v>
      </c>
      <c r="BB21" s="702" t="s">
        <v>230</v>
      </c>
      <c r="BC21" s="2694"/>
      <c r="BD21" s="724">
        <v>42816</v>
      </c>
      <c r="BE21" s="610">
        <v>42816</v>
      </c>
      <c r="BF21" s="724">
        <v>42917</v>
      </c>
      <c r="BG21" s="610">
        <v>42917</v>
      </c>
      <c r="BH21" s="2680"/>
    </row>
    <row r="22" spans="1:60" s="51" customFormat="1" ht="41.25" customHeight="1" x14ac:dyDescent="0.2">
      <c r="A22" s="836"/>
      <c r="B22" s="835"/>
      <c r="C22" s="836"/>
      <c r="D22" s="835"/>
      <c r="E22" s="835"/>
      <c r="F22" s="836"/>
      <c r="G22" s="958"/>
      <c r="H22" s="2724"/>
      <c r="I22" s="2694"/>
      <c r="J22" s="2536"/>
      <c r="K22" s="2536"/>
      <c r="L22" s="2542"/>
      <c r="M22" s="2420"/>
      <c r="N22" s="2502"/>
      <c r="O22" s="2694"/>
      <c r="P22" s="2560"/>
      <c r="Q22" s="2721"/>
      <c r="R22" s="2694"/>
      <c r="S22" s="2694"/>
      <c r="T22" s="2694"/>
      <c r="U22" s="966">
        <f>41200000+35332521</f>
        <v>76532521</v>
      </c>
      <c r="V22" s="944">
        <v>25980000</v>
      </c>
      <c r="W22" s="947">
        <v>6688333</v>
      </c>
      <c r="X22" s="2692"/>
      <c r="Y22" s="75" t="s">
        <v>231</v>
      </c>
      <c r="Z22" s="2686"/>
      <c r="AA22" s="2703"/>
      <c r="AB22" s="2701"/>
      <c r="AC22" s="2703"/>
      <c r="AD22" s="2703"/>
      <c r="AE22" s="2703"/>
      <c r="AF22" s="2701"/>
      <c r="AG22" s="2703"/>
      <c r="AH22" s="2701"/>
      <c r="AI22" s="2703"/>
      <c r="AJ22" s="2701"/>
      <c r="AK22" s="2703"/>
      <c r="AL22" s="2701"/>
      <c r="AM22" s="2715"/>
      <c r="AN22" s="2701"/>
      <c r="AO22" s="2416"/>
      <c r="AP22" s="2701"/>
      <c r="AQ22" s="2705"/>
      <c r="AR22" s="2701"/>
      <c r="AS22" s="2705"/>
      <c r="AT22" s="2701"/>
      <c r="AU22" s="2703"/>
      <c r="AV22" s="2701"/>
      <c r="AW22" s="2703"/>
      <c r="AX22" s="706">
        <v>2</v>
      </c>
      <c r="AY22" s="947">
        <v>25980000</v>
      </c>
      <c r="AZ22" s="947">
        <v>6688333</v>
      </c>
      <c r="BA22" s="961">
        <f>AZ22/AY22</f>
        <v>0.25744160892994611</v>
      </c>
      <c r="BB22" s="702" t="s">
        <v>225</v>
      </c>
      <c r="BC22" s="2694"/>
      <c r="BD22" s="724">
        <v>42754</v>
      </c>
      <c r="BE22" s="610">
        <v>42754</v>
      </c>
      <c r="BF22" s="724">
        <v>42940</v>
      </c>
      <c r="BG22" s="610">
        <v>42940</v>
      </c>
      <c r="BH22" s="2680"/>
    </row>
    <row r="23" spans="1:60" s="51" customFormat="1" ht="78.75" customHeight="1" x14ac:dyDescent="0.2">
      <c r="A23" s="836"/>
      <c r="B23" s="835"/>
      <c r="C23" s="836"/>
      <c r="D23" s="835"/>
      <c r="E23" s="835"/>
      <c r="F23" s="836"/>
      <c r="G23" s="958"/>
      <c r="H23" s="2725"/>
      <c r="I23" s="2695"/>
      <c r="J23" s="2664"/>
      <c r="K23" s="2664"/>
      <c r="L23" s="2627"/>
      <c r="M23" s="2420"/>
      <c r="N23" s="2518"/>
      <c r="O23" s="2695"/>
      <c r="P23" s="2561"/>
      <c r="Q23" s="2722"/>
      <c r="R23" s="2695"/>
      <c r="S23" s="2695"/>
      <c r="T23" s="2695"/>
      <c r="U23" s="966">
        <v>200000000</v>
      </c>
      <c r="V23" s="944">
        <v>128115000</v>
      </c>
      <c r="W23" s="947">
        <v>0</v>
      </c>
      <c r="X23" s="2693"/>
      <c r="Y23" s="75" t="s">
        <v>226</v>
      </c>
      <c r="Z23" s="2687"/>
      <c r="AA23" s="2704"/>
      <c r="AB23" s="2701"/>
      <c r="AC23" s="2704"/>
      <c r="AD23" s="2704"/>
      <c r="AE23" s="2704"/>
      <c r="AF23" s="2701"/>
      <c r="AG23" s="2704"/>
      <c r="AH23" s="2701"/>
      <c r="AI23" s="2704"/>
      <c r="AJ23" s="2701"/>
      <c r="AK23" s="2704"/>
      <c r="AL23" s="2701"/>
      <c r="AM23" s="2716"/>
      <c r="AN23" s="2701"/>
      <c r="AO23" s="2417"/>
      <c r="AP23" s="2701"/>
      <c r="AQ23" s="2705"/>
      <c r="AR23" s="2701"/>
      <c r="AS23" s="2705"/>
      <c r="AT23" s="2701"/>
      <c r="AU23" s="2704"/>
      <c r="AV23" s="2701"/>
      <c r="AW23" s="2704"/>
      <c r="AX23" s="706">
        <v>9</v>
      </c>
      <c r="AY23" s="947">
        <v>128115000</v>
      </c>
      <c r="AZ23" s="947">
        <v>0</v>
      </c>
      <c r="BA23" s="961"/>
      <c r="BB23" s="702" t="s">
        <v>227</v>
      </c>
      <c r="BC23" s="2695"/>
      <c r="BD23" s="724">
        <v>42823</v>
      </c>
      <c r="BE23" s="610">
        <v>42823</v>
      </c>
      <c r="BF23" s="724">
        <v>43021</v>
      </c>
      <c r="BG23" s="610">
        <v>43021</v>
      </c>
      <c r="BH23" s="2680"/>
    </row>
    <row r="24" spans="1:60" ht="150.75" customHeight="1" x14ac:dyDescent="0.2">
      <c r="A24" s="41"/>
      <c r="B24" s="688"/>
      <c r="C24" s="41"/>
      <c r="D24" s="688"/>
      <c r="E24" s="688"/>
      <c r="F24" s="41"/>
      <c r="G24" s="689"/>
      <c r="H24" s="597">
        <v>278</v>
      </c>
      <c r="I24" s="62" t="s">
        <v>232</v>
      </c>
      <c r="J24" s="574" t="s">
        <v>203</v>
      </c>
      <c r="K24" s="574">
        <v>1</v>
      </c>
      <c r="L24" s="577">
        <v>0</v>
      </c>
      <c r="M24" s="2420" t="s">
        <v>233</v>
      </c>
      <c r="N24" s="2421">
        <v>17</v>
      </c>
      <c r="O24" s="2431" t="s">
        <v>234</v>
      </c>
      <c r="P24" s="726">
        <f>+U24/Q24</f>
        <v>0.10689798506945687</v>
      </c>
      <c r="Q24" s="2688">
        <v>374188531</v>
      </c>
      <c r="R24" s="2431" t="s">
        <v>235</v>
      </c>
      <c r="S24" s="702" t="s">
        <v>236</v>
      </c>
      <c r="T24" s="642" t="s">
        <v>237</v>
      </c>
      <c r="U24" s="967">
        <v>40000000</v>
      </c>
      <c r="V24" s="944">
        <v>0</v>
      </c>
      <c r="W24" s="947">
        <v>0</v>
      </c>
      <c r="X24" s="968">
        <v>20</v>
      </c>
      <c r="Y24" s="62" t="s">
        <v>208</v>
      </c>
      <c r="Z24" s="2685">
        <v>64149</v>
      </c>
      <c r="AA24" s="2685">
        <f>+Z24*50%</f>
        <v>32074.5</v>
      </c>
      <c r="AB24" s="2685">
        <v>72224</v>
      </c>
      <c r="AC24" s="2685">
        <f>+AB24*50%</f>
        <v>36112</v>
      </c>
      <c r="AD24" s="2685">
        <v>27477</v>
      </c>
      <c r="AE24" s="2685">
        <f>+AD24*50%</f>
        <v>13738.5</v>
      </c>
      <c r="AF24" s="2685">
        <v>86843</v>
      </c>
      <c r="AG24" s="2685">
        <f>+AF24*50%</f>
        <v>43421.5</v>
      </c>
      <c r="AH24" s="2685">
        <v>236429</v>
      </c>
      <c r="AI24" s="2685">
        <f>+AH24*50%</f>
        <v>118214.5</v>
      </c>
      <c r="AJ24" s="2685">
        <v>81384</v>
      </c>
      <c r="AK24" s="2685">
        <f>+AJ24*50%</f>
        <v>40692</v>
      </c>
      <c r="AL24" s="2685">
        <v>13208</v>
      </c>
      <c r="AM24" s="2685">
        <f>+AL24*50%</f>
        <v>6604</v>
      </c>
      <c r="AN24" s="2685">
        <v>1817</v>
      </c>
      <c r="AO24" s="2685">
        <f>+AN24*50%</f>
        <v>908.5</v>
      </c>
      <c r="AP24" s="2685">
        <v>0</v>
      </c>
      <c r="AQ24" s="2685"/>
      <c r="AR24" s="2685">
        <v>0</v>
      </c>
      <c r="AS24" s="2685"/>
      <c r="AT24" s="2685">
        <v>16897</v>
      </c>
      <c r="AU24" s="2685">
        <f>+AT24*50%</f>
        <v>8448.5</v>
      </c>
      <c r="AV24" s="2685">
        <v>81384</v>
      </c>
      <c r="AW24" s="2685">
        <f>+AV24*50%</f>
        <v>40692</v>
      </c>
      <c r="AX24" s="577">
        <v>0</v>
      </c>
      <c r="AY24" s="953">
        <v>0</v>
      </c>
      <c r="AZ24" s="953">
        <v>0</v>
      </c>
      <c r="BA24" s="961">
        <v>0</v>
      </c>
      <c r="BB24" s="647" t="s">
        <v>121</v>
      </c>
      <c r="BC24" s="647" t="s">
        <v>238</v>
      </c>
      <c r="BD24" s="724"/>
      <c r="BE24" s="577"/>
      <c r="BF24" s="724"/>
      <c r="BG24" s="969"/>
      <c r="BH24" s="970" t="s">
        <v>210</v>
      </c>
    </row>
    <row r="25" spans="1:60" ht="114.75" customHeight="1" x14ac:dyDescent="0.2">
      <c r="A25" s="41"/>
      <c r="B25" s="688"/>
      <c r="C25" s="41"/>
      <c r="D25" s="688"/>
      <c r="E25" s="688"/>
      <c r="F25" s="41"/>
      <c r="G25" s="689"/>
      <c r="H25" s="2456">
        <v>279</v>
      </c>
      <c r="I25" s="2431" t="s">
        <v>239</v>
      </c>
      <c r="J25" s="2420" t="s">
        <v>203</v>
      </c>
      <c r="K25" s="2420">
        <v>1</v>
      </c>
      <c r="L25" s="2696">
        <v>0.4</v>
      </c>
      <c r="M25" s="2420"/>
      <c r="N25" s="2421"/>
      <c r="O25" s="2431"/>
      <c r="P25" s="2689">
        <f>+(U25+U26)/Q24</f>
        <v>0.89310201493054309</v>
      </c>
      <c r="Q25" s="2688"/>
      <c r="R25" s="2431"/>
      <c r="S25" s="2690" t="s">
        <v>240</v>
      </c>
      <c r="T25" s="2424" t="s">
        <v>241</v>
      </c>
      <c r="U25" s="946">
        <v>268800000</v>
      </c>
      <c r="V25" s="944">
        <v>133620000</v>
      </c>
      <c r="W25" s="947">
        <v>28930000</v>
      </c>
      <c r="X25" s="968">
        <v>20</v>
      </c>
      <c r="Y25" s="62" t="s">
        <v>208</v>
      </c>
      <c r="Z25" s="2686"/>
      <c r="AA25" s="2686"/>
      <c r="AB25" s="2686"/>
      <c r="AC25" s="2686"/>
      <c r="AD25" s="2686"/>
      <c r="AE25" s="2686"/>
      <c r="AF25" s="2686"/>
      <c r="AG25" s="2686"/>
      <c r="AH25" s="2686"/>
      <c r="AI25" s="2686"/>
      <c r="AJ25" s="2686"/>
      <c r="AK25" s="2686"/>
      <c r="AL25" s="2686"/>
      <c r="AM25" s="2686"/>
      <c r="AN25" s="2686"/>
      <c r="AO25" s="2686"/>
      <c r="AP25" s="2686"/>
      <c r="AQ25" s="2686"/>
      <c r="AR25" s="2686"/>
      <c r="AS25" s="2686"/>
      <c r="AT25" s="2686"/>
      <c r="AU25" s="2686"/>
      <c r="AV25" s="2686"/>
      <c r="AW25" s="2686"/>
      <c r="AX25" s="577">
        <v>10</v>
      </c>
      <c r="AY25" s="953">
        <v>133620000</v>
      </c>
      <c r="AZ25" s="953">
        <v>28930000</v>
      </c>
      <c r="BA25" s="961">
        <f>AZ25/AY25</f>
        <v>0.21650950456518486</v>
      </c>
      <c r="BB25" s="647" t="s">
        <v>121</v>
      </c>
      <c r="BC25" s="2679" t="s">
        <v>238</v>
      </c>
      <c r="BD25" s="724">
        <v>42759</v>
      </c>
      <c r="BE25" s="567">
        <v>42759</v>
      </c>
      <c r="BF25" s="724">
        <v>43021</v>
      </c>
      <c r="BG25" s="567">
        <v>43021</v>
      </c>
      <c r="BH25" s="2680" t="s">
        <v>210</v>
      </c>
    </row>
    <row r="26" spans="1:60" ht="38.25" customHeight="1" x14ac:dyDescent="0.2">
      <c r="A26" s="41"/>
      <c r="B26" s="688"/>
      <c r="C26" s="41"/>
      <c r="D26" s="688"/>
      <c r="E26" s="688"/>
      <c r="F26" s="41"/>
      <c r="G26" s="689"/>
      <c r="H26" s="2456"/>
      <c r="I26" s="2431"/>
      <c r="J26" s="2420"/>
      <c r="K26" s="2420"/>
      <c r="L26" s="2696"/>
      <c r="M26" s="2420"/>
      <c r="N26" s="2421"/>
      <c r="O26" s="2431"/>
      <c r="P26" s="2689"/>
      <c r="Q26" s="2688"/>
      <c r="R26" s="2431"/>
      <c r="S26" s="2690"/>
      <c r="T26" s="2429"/>
      <c r="U26" s="946">
        <v>65388531</v>
      </c>
      <c r="V26" s="944">
        <v>0</v>
      </c>
      <c r="W26" s="947">
        <v>0</v>
      </c>
      <c r="X26" s="971">
        <v>88</v>
      </c>
      <c r="Y26" s="972" t="s">
        <v>242</v>
      </c>
      <c r="Z26" s="2687"/>
      <c r="AA26" s="2687"/>
      <c r="AB26" s="2687"/>
      <c r="AC26" s="2687"/>
      <c r="AD26" s="2687"/>
      <c r="AE26" s="2687"/>
      <c r="AF26" s="2687"/>
      <c r="AG26" s="2687"/>
      <c r="AH26" s="2687"/>
      <c r="AI26" s="2687"/>
      <c r="AJ26" s="2687"/>
      <c r="AK26" s="2687"/>
      <c r="AL26" s="2687"/>
      <c r="AM26" s="2687"/>
      <c r="AN26" s="2687"/>
      <c r="AO26" s="2687"/>
      <c r="AP26" s="2687"/>
      <c r="AQ26" s="2687"/>
      <c r="AR26" s="2687"/>
      <c r="AS26" s="2687"/>
      <c r="AT26" s="2687"/>
      <c r="AU26" s="2687"/>
      <c r="AV26" s="2687"/>
      <c r="AW26" s="2687"/>
      <c r="AX26" s="577">
        <v>0</v>
      </c>
      <c r="AY26" s="973"/>
      <c r="AZ26" s="973"/>
      <c r="BA26" s="961"/>
      <c r="BB26" s="1126" t="s">
        <v>243</v>
      </c>
      <c r="BC26" s="2679"/>
      <c r="BD26" s="577"/>
      <c r="BE26" s="577"/>
      <c r="BF26" s="577"/>
      <c r="BG26" s="969"/>
      <c r="BH26" s="2680"/>
    </row>
    <row r="27" spans="1:60" x14ac:dyDescent="0.2">
      <c r="A27" s="41"/>
      <c r="B27" s="688"/>
      <c r="C27" s="727"/>
      <c r="D27" s="728"/>
      <c r="E27" s="728"/>
      <c r="F27" s="727"/>
      <c r="G27" s="729"/>
      <c r="H27" s="65"/>
      <c r="I27" s="974"/>
      <c r="J27" s="568"/>
      <c r="K27" s="568"/>
      <c r="L27" s="585"/>
      <c r="M27" s="568"/>
      <c r="N27" s="975"/>
      <c r="O27" s="568"/>
      <c r="P27" s="976"/>
      <c r="Q27" s="977"/>
      <c r="R27" s="643"/>
      <c r="S27" s="1960"/>
      <c r="T27" s="643"/>
      <c r="U27" s="946"/>
      <c r="V27" s="978"/>
      <c r="W27" s="979"/>
      <c r="X27" s="980"/>
      <c r="Y27" s="981"/>
      <c r="Z27" s="981"/>
      <c r="AA27" s="981"/>
      <c r="AB27" s="981"/>
      <c r="AC27" s="981"/>
      <c r="AD27" s="981"/>
      <c r="AE27" s="981"/>
      <c r="AF27" s="981"/>
      <c r="AG27" s="981"/>
      <c r="AH27" s="981"/>
      <c r="AI27" s="981"/>
      <c r="AJ27" s="981"/>
      <c r="AK27" s="981"/>
      <c r="AL27" s="981"/>
      <c r="AM27" s="981"/>
      <c r="AN27" s="981"/>
      <c r="AO27" s="981"/>
      <c r="AP27" s="981"/>
      <c r="AQ27" s="981"/>
      <c r="AR27" s="981"/>
      <c r="AS27" s="981"/>
      <c r="AT27" s="981"/>
      <c r="AU27" s="981"/>
      <c r="AV27" s="981"/>
      <c r="AW27" s="981"/>
      <c r="AX27" s="981"/>
      <c r="AY27" s="973"/>
      <c r="AZ27" s="973"/>
      <c r="BA27" s="982"/>
      <c r="BB27" s="1592"/>
      <c r="BC27" s="1592"/>
      <c r="BD27" s="577"/>
      <c r="BE27" s="577"/>
      <c r="BF27" s="577"/>
      <c r="BG27" s="969"/>
      <c r="BH27" s="969"/>
    </row>
    <row r="28" spans="1:60" s="746" customFormat="1" ht="30" customHeight="1" x14ac:dyDescent="0.25">
      <c r="A28" s="983"/>
      <c r="B28" s="984"/>
      <c r="C28" s="985"/>
      <c r="D28" s="985"/>
      <c r="E28" s="985"/>
      <c r="F28" s="985"/>
      <c r="G28" s="985"/>
      <c r="H28" s="984"/>
      <c r="I28" s="986"/>
      <c r="J28" s="987"/>
      <c r="K28" s="987"/>
      <c r="L28" s="984"/>
      <c r="M28" s="987"/>
      <c r="N28" s="988"/>
      <c r="O28" s="2681" t="s">
        <v>140</v>
      </c>
      <c r="P28" s="2682"/>
      <c r="Q28" s="989">
        <f>SUM(Q13:Q26)</f>
        <v>2137654638</v>
      </c>
      <c r="R28" s="1961"/>
      <c r="S28" s="1962"/>
      <c r="T28" s="1963"/>
      <c r="U28" s="991">
        <f>SUM(U13:U26)</f>
        <v>2137654638</v>
      </c>
      <c r="V28" s="992">
        <f>SUM(V13:V27)</f>
        <v>1398944025</v>
      </c>
      <c r="W28" s="993">
        <f>SUM(W13:W27)</f>
        <v>93260333</v>
      </c>
      <c r="X28" s="994"/>
      <c r="Y28" s="984"/>
      <c r="Z28" s="984"/>
      <c r="AA28" s="984"/>
      <c r="AB28" s="984"/>
      <c r="AC28" s="984"/>
      <c r="AD28" s="984"/>
      <c r="AE28" s="984"/>
      <c r="AF28" s="984"/>
      <c r="AG28" s="984"/>
      <c r="AH28" s="984"/>
      <c r="AI28" s="984"/>
      <c r="AJ28" s="984"/>
      <c r="AK28" s="984"/>
      <c r="AL28" s="984"/>
      <c r="AM28" s="984"/>
      <c r="AN28" s="984"/>
      <c r="AO28" s="984"/>
      <c r="AP28" s="984"/>
      <c r="AQ28" s="984"/>
      <c r="AR28" s="984"/>
      <c r="AS28" s="984"/>
      <c r="AT28" s="984"/>
      <c r="AU28" s="984"/>
      <c r="AV28" s="984"/>
      <c r="AW28" s="984"/>
      <c r="AX28" s="990"/>
      <c r="AY28" s="995">
        <f>SUM(AY13:AY26)</f>
        <v>1398944025</v>
      </c>
      <c r="AZ28" s="739">
        <f>SUM(AZ13:AZ26)</f>
        <v>93260333</v>
      </c>
      <c r="BA28" s="996">
        <f>AZ28/AY28</f>
        <v>6.6664806692319237E-2</v>
      </c>
      <c r="BB28" s="1962"/>
      <c r="BC28" s="1962"/>
      <c r="BD28" s="987"/>
      <c r="BE28" s="987"/>
      <c r="BF28" s="987"/>
      <c r="BG28" s="984"/>
      <c r="BH28" s="990"/>
    </row>
    <row r="29" spans="1:60" ht="15" x14ac:dyDescent="0.2">
      <c r="A29" s="688"/>
      <c r="B29" s="688"/>
      <c r="C29" s="688"/>
      <c r="D29" s="688"/>
      <c r="E29" s="688"/>
      <c r="F29" s="688"/>
      <c r="G29" s="688"/>
      <c r="H29" s="688"/>
      <c r="I29" s="997"/>
      <c r="J29" s="998"/>
      <c r="K29" s="999"/>
      <c r="L29" s="916"/>
      <c r="M29" s="998"/>
      <c r="N29" s="1000"/>
      <c r="O29" s="999"/>
      <c r="P29" s="688"/>
      <c r="Q29" s="1001"/>
      <c r="R29" s="1964"/>
      <c r="S29" s="1964"/>
      <c r="T29" s="1964"/>
      <c r="U29" s="1002"/>
      <c r="V29" s="1003"/>
      <c r="W29" s="1004"/>
      <c r="X29" s="1005"/>
      <c r="Y29" s="688"/>
      <c r="Z29" s="688"/>
      <c r="AA29" s="688"/>
      <c r="AB29" s="688"/>
      <c r="AC29" s="688"/>
      <c r="AD29" s="688"/>
      <c r="AE29" s="688"/>
      <c r="AF29" s="688"/>
      <c r="AG29" s="688"/>
      <c r="AH29" s="688"/>
      <c r="AI29" s="688"/>
      <c r="AJ29" s="688"/>
      <c r="AK29" s="688"/>
      <c r="AL29" s="688"/>
      <c r="AM29" s="688"/>
      <c r="AN29" s="688"/>
      <c r="AO29" s="688"/>
      <c r="AP29" s="688"/>
      <c r="AQ29" s="688"/>
      <c r="AR29" s="688"/>
      <c r="AS29" s="688"/>
      <c r="AT29" s="688"/>
      <c r="AU29" s="688"/>
      <c r="AV29" s="688"/>
      <c r="AW29" s="688"/>
      <c r="AX29" s="688"/>
      <c r="AY29" s="1006"/>
      <c r="AZ29" s="1006"/>
      <c r="BA29" s="1007"/>
      <c r="BB29" s="1964"/>
      <c r="BC29" s="1964"/>
      <c r="BD29" s="998"/>
      <c r="BE29" s="998"/>
      <c r="BF29" s="998"/>
      <c r="BG29" s="688"/>
      <c r="BH29" s="688"/>
    </row>
    <row r="30" spans="1:60" ht="15" x14ac:dyDescent="0.2">
      <c r="A30" s="688"/>
      <c r="B30" s="688"/>
      <c r="C30" s="688"/>
      <c r="D30" s="688"/>
      <c r="E30" s="688"/>
      <c r="F30" s="688"/>
      <c r="G30" s="688"/>
      <c r="H30" s="688"/>
      <c r="I30" s="997"/>
      <c r="J30" s="998"/>
      <c r="K30" s="999"/>
      <c r="L30" s="916"/>
      <c r="M30" s="998"/>
      <c r="N30" s="1000"/>
      <c r="O30" s="999"/>
      <c r="P30" s="688"/>
      <c r="Q30" s="1001"/>
      <c r="R30" s="1964"/>
      <c r="S30" s="1964"/>
      <c r="T30" s="1964"/>
      <c r="U30" s="1002"/>
      <c r="V30" s="1003"/>
      <c r="W30" s="1004"/>
      <c r="X30" s="1005"/>
      <c r="Y30" s="688"/>
      <c r="Z30" s="688"/>
      <c r="AA30" s="688"/>
      <c r="AB30" s="688"/>
      <c r="AC30" s="688"/>
      <c r="AD30" s="688"/>
      <c r="AE30" s="688"/>
      <c r="AF30" s="688"/>
      <c r="AG30" s="688"/>
      <c r="AH30" s="688"/>
      <c r="AI30" s="688"/>
      <c r="AJ30" s="688"/>
      <c r="AK30" s="688"/>
      <c r="AL30" s="688"/>
      <c r="AM30" s="688"/>
      <c r="AN30" s="688"/>
      <c r="AO30" s="688"/>
      <c r="AP30" s="688"/>
      <c r="AQ30" s="688"/>
      <c r="AR30" s="688"/>
      <c r="AS30" s="688"/>
      <c r="AT30" s="688"/>
      <c r="AU30" s="688"/>
      <c r="AV30" s="688"/>
      <c r="AW30" s="688"/>
      <c r="AX30" s="688"/>
      <c r="AY30" s="1006"/>
      <c r="AZ30" s="1006"/>
      <c r="BA30" s="1007"/>
      <c r="BB30" s="1964"/>
      <c r="BC30" s="1964"/>
      <c r="BD30" s="998"/>
      <c r="BE30" s="998"/>
      <c r="BF30" s="998"/>
      <c r="BG30" s="688"/>
      <c r="BH30" s="688"/>
    </row>
    <row r="31" spans="1:60" ht="15" x14ac:dyDescent="0.2">
      <c r="A31" s="688"/>
      <c r="B31" s="688"/>
      <c r="C31" s="688"/>
      <c r="D31" s="688"/>
      <c r="E31" s="688"/>
      <c r="F31" s="688"/>
      <c r="G31" s="688"/>
      <c r="H31" s="688"/>
      <c r="I31" s="997"/>
      <c r="J31" s="998"/>
      <c r="K31" s="999"/>
      <c r="L31" s="916"/>
      <c r="M31" s="998"/>
      <c r="N31" s="1000"/>
      <c r="O31" s="999"/>
      <c r="P31" s="688"/>
      <c r="Q31" s="1001"/>
      <c r="R31" s="1964"/>
      <c r="S31" s="1964"/>
      <c r="T31" s="1964"/>
      <c r="U31" s="1002"/>
      <c r="V31" s="1003"/>
      <c r="W31" s="1004"/>
      <c r="X31" s="1005"/>
      <c r="Y31" s="688"/>
      <c r="Z31" s="688"/>
      <c r="AA31" s="688"/>
      <c r="AB31" s="688"/>
      <c r="AC31" s="688"/>
      <c r="AD31" s="688"/>
      <c r="AE31" s="688"/>
      <c r="AF31" s="688"/>
      <c r="AG31" s="688"/>
      <c r="AH31" s="688"/>
      <c r="AI31" s="688"/>
      <c r="AJ31" s="688"/>
      <c r="AK31" s="688"/>
      <c r="AL31" s="688"/>
      <c r="AM31" s="688"/>
      <c r="AN31" s="688"/>
      <c r="AO31" s="688"/>
      <c r="AP31" s="688"/>
      <c r="AQ31" s="688"/>
      <c r="AR31" s="688"/>
      <c r="AS31" s="688"/>
      <c r="AT31" s="688"/>
      <c r="AU31" s="688"/>
      <c r="AV31" s="688"/>
      <c r="AW31" s="688"/>
      <c r="AX31" s="688"/>
      <c r="AY31" s="1006"/>
      <c r="AZ31" s="1006"/>
      <c r="BA31" s="1007"/>
      <c r="BB31" s="1964"/>
      <c r="BC31" s="1964"/>
      <c r="BD31" s="998"/>
      <c r="BE31" s="998"/>
      <c r="BF31" s="998"/>
      <c r="BG31" s="688"/>
      <c r="BH31" s="688"/>
    </row>
    <row r="32" spans="1:60" x14ac:dyDescent="0.2">
      <c r="A32" s="688"/>
      <c r="B32" s="688"/>
      <c r="C32" s="688"/>
      <c r="D32" s="688"/>
      <c r="E32" s="688"/>
      <c r="F32" s="688"/>
      <c r="G32" s="688"/>
      <c r="H32" s="688"/>
      <c r="I32" s="997"/>
      <c r="J32" s="998"/>
      <c r="K32" s="999"/>
      <c r="L32" s="916"/>
      <c r="M32" s="998"/>
      <c r="N32" s="1000"/>
      <c r="O32" s="999"/>
      <c r="P32" s="688"/>
      <c r="Q32" s="1006"/>
      <c r="R32" s="1964"/>
      <c r="S32" s="1964"/>
      <c r="T32" s="1965"/>
      <c r="U32" s="1009"/>
      <c r="V32" s="1009"/>
      <c r="W32" s="1009"/>
      <c r="X32" s="1005"/>
      <c r="Y32" s="688"/>
      <c r="Z32" s="688"/>
      <c r="AA32" s="688"/>
      <c r="AB32" s="688"/>
      <c r="AC32" s="688"/>
      <c r="AD32" s="688"/>
      <c r="AE32" s="688"/>
      <c r="AF32" s="688"/>
      <c r="AG32" s="688"/>
      <c r="AH32" s="688"/>
      <c r="AI32" s="688"/>
      <c r="AJ32" s="688"/>
      <c r="AK32" s="688"/>
      <c r="AL32" s="688"/>
      <c r="AM32" s="688"/>
      <c r="AN32" s="688"/>
      <c r="AO32" s="688"/>
      <c r="AP32" s="688"/>
      <c r="AQ32" s="688"/>
      <c r="AR32" s="688"/>
      <c r="AS32" s="688"/>
      <c r="AT32" s="688"/>
      <c r="AU32" s="688"/>
      <c r="AV32" s="688"/>
      <c r="AW32" s="688"/>
      <c r="AX32" s="688"/>
      <c r="AY32" s="1006"/>
      <c r="AZ32" s="1006"/>
      <c r="BA32" s="1007"/>
      <c r="BB32" s="1964"/>
      <c r="BC32" s="1964"/>
      <c r="BD32" s="998"/>
      <c r="BE32" s="998"/>
      <c r="BF32" s="998"/>
      <c r="BG32" s="688"/>
      <c r="BH32" s="688"/>
    </row>
    <row r="33" spans="1:60" x14ac:dyDescent="0.2">
      <c r="A33" s="688"/>
      <c r="B33" s="688"/>
      <c r="C33" s="688"/>
      <c r="D33" s="688"/>
      <c r="E33" s="688"/>
      <c r="F33" s="688"/>
      <c r="G33" s="688"/>
      <c r="H33" s="688"/>
      <c r="I33" s="997"/>
      <c r="J33" s="998"/>
      <c r="K33" s="999"/>
      <c r="L33" s="916"/>
      <c r="M33" s="998"/>
      <c r="N33" s="1000"/>
      <c r="O33" s="999"/>
      <c r="P33" s="688"/>
      <c r="Q33" s="1006"/>
      <c r="R33" s="1964"/>
      <c r="S33" s="1964"/>
      <c r="T33" s="1965"/>
      <c r="U33" s="1009"/>
      <c r="V33" s="1009"/>
      <c r="W33" s="1009"/>
      <c r="X33" s="1005"/>
      <c r="Y33" s="688"/>
      <c r="Z33" s="688"/>
      <c r="AA33" s="688"/>
      <c r="AB33" s="688"/>
      <c r="AC33" s="688"/>
      <c r="AD33" s="688"/>
      <c r="AE33" s="688"/>
      <c r="AF33" s="688"/>
      <c r="AG33" s="688"/>
      <c r="AH33" s="688"/>
      <c r="AI33" s="688"/>
      <c r="AJ33" s="688"/>
      <c r="AK33" s="688"/>
      <c r="AL33" s="688"/>
      <c r="AM33" s="688"/>
      <c r="AN33" s="688"/>
      <c r="AO33" s="688"/>
      <c r="AP33" s="688"/>
      <c r="AQ33" s="688"/>
      <c r="AR33" s="688"/>
      <c r="AS33" s="688"/>
      <c r="AT33" s="688"/>
      <c r="AU33" s="688"/>
      <c r="AV33" s="688"/>
      <c r="AW33" s="688"/>
      <c r="AX33" s="688"/>
      <c r="AY33" s="1006"/>
      <c r="AZ33" s="1006"/>
      <c r="BA33" s="1007"/>
      <c r="BB33" s="1964"/>
      <c r="BC33" s="1964"/>
      <c r="BD33" s="998"/>
      <c r="BE33" s="998"/>
      <c r="BF33" s="998"/>
      <c r="BG33" s="688"/>
      <c r="BH33" s="688"/>
    </row>
    <row r="34" spans="1:60" x14ac:dyDescent="0.2">
      <c r="A34" s="688"/>
      <c r="B34" s="688"/>
      <c r="C34" s="688"/>
      <c r="D34" s="688"/>
      <c r="E34" s="688"/>
      <c r="F34" s="688"/>
      <c r="G34" s="688"/>
      <c r="H34" s="688"/>
      <c r="I34" s="997"/>
      <c r="J34" s="998"/>
      <c r="K34" s="999"/>
      <c r="L34" s="916"/>
      <c r="M34" s="998"/>
      <c r="N34" s="1000"/>
      <c r="O34" s="999"/>
      <c r="P34" s="688"/>
      <c r="Q34" s="1006"/>
      <c r="R34" s="1964"/>
      <c r="S34" s="1964"/>
      <c r="T34" s="1965"/>
      <c r="U34" s="1009"/>
      <c r="V34" s="1009"/>
      <c r="W34" s="1009"/>
      <c r="X34" s="1005"/>
      <c r="Y34" s="688"/>
      <c r="Z34" s="688"/>
      <c r="AA34" s="688"/>
      <c r="AB34" s="688"/>
      <c r="AC34" s="688"/>
      <c r="AD34" s="688"/>
      <c r="AE34" s="688"/>
      <c r="AF34" s="688"/>
      <c r="AG34" s="688"/>
      <c r="AH34" s="688"/>
      <c r="AI34" s="688"/>
      <c r="AJ34" s="688"/>
      <c r="AK34" s="688"/>
      <c r="AL34" s="688"/>
      <c r="AM34" s="688"/>
      <c r="AN34" s="688"/>
      <c r="AO34" s="688"/>
      <c r="AP34" s="688"/>
      <c r="AQ34" s="688"/>
      <c r="AR34" s="688"/>
      <c r="AS34" s="688"/>
      <c r="AT34" s="688"/>
      <c r="AU34" s="688"/>
      <c r="AV34" s="688"/>
      <c r="AW34" s="688"/>
      <c r="AX34" s="688"/>
      <c r="AY34" s="1006"/>
      <c r="AZ34" s="1006"/>
      <c r="BA34" s="1007"/>
      <c r="BB34" s="1964"/>
      <c r="BC34" s="1964"/>
      <c r="BD34" s="998"/>
      <c r="BE34" s="998"/>
      <c r="BF34" s="998"/>
      <c r="BG34" s="688"/>
      <c r="BH34" s="688"/>
    </row>
    <row r="35" spans="1:60" x14ac:dyDescent="0.2">
      <c r="BG35" s="38"/>
    </row>
    <row r="36" spans="1:60" ht="15" x14ac:dyDescent="0.2">
      <c r="K36" s="2683" t="s">
        <v>244</v>
      </c>
      <c r="L36" s="2683"/>
      <c r="M36" s="2683"/>
      <c r="N36" s="2683"/>
    </row>
    <row r="37" spans="1:60" x14ac:dyDescent="0.2">
      <c r="K37" s="2684" t="s">
        <v>197</v>
      </c>
      <c r="L37" s="2684"/>
      <c r="M37" s="2684"/>
      <c r="N37" s="2684"/>
    </row>
  </sheetData>
  <sheetProtection password="CBEB" sheet="1" objects="1" scenarios="1"/>
  <mergeCells count="168">
    <mergeCell ref="A7:A9"/>
    <mergeCell ref="B7:B9"/>
    <mergeCell ref="C7:C9"/>
    <mergeCell ref="D7:E9"/>
    <mergeCell ref="F7:F9"/>
    <mergeCell ref="G7:G9"/>
    <mergeCell ref="A1:BF2"/>
    <mergeCell ref="A3:BF3"/>
    <mergeCell ref="A4:BF4"/>
    <mergeCell ref="A5:L6"/>
    <mergeCell ref="M5:Y6"/>
    <mergeCell ref="Z5:AW6"/>
    <mergeCell ref="O7:O9"/>
    <mergeCell ref="P7:P9"/>
    <mergeCell ref="Q7:Q9"/>
    <mergeCell ref="R7:R9"/>
    <mergeCell ref="S7:S9"/>
    <mergeCell ref="T7:T9"/>
    <mergeCell ref="H7:H9"/>
    <mergeCell ref="I7:I9"/>
    <mergeCell ref="J7:J9"/>
    <mergeCell ref="K7:L8"/>
    <mergeCell ref="BD7:BE8"/>
    <mergeCell ref="BF7:BG8"/>
    <mergeCell ref="N13:N23"/>
    <mergeCell ref="O13:O23"/>
    <mergeCell ref="BH7:BH9"/>
    <mergeCell ref="Z8:AA8"/>
    <mergeCell ref="AB8:AC8"/>
    <mergeCell ref="AD8:AE8"/>
    <mergeCell ref="AF8:AG8"/>
    <mergeCell ref="AH8:AI8"/>
    <mergeCell ref="AJ8:AK8"/>
    <mergeCell ref="AL8:AM8"/>
    <mergeCell ref="Z7:AK7"/>
    <mergeCell ref="AL7:AW7"/>
    <mergeCell ref="AX7:BC7"/>
    <mergeCell ref="AN8:AO8"/>
    <mergeCell ref="AP8:AQ8"/>
    <mergeCell ref="AR8:AS8"/>
    <mergeCell ref="AT8:AU8"/>
    <mergeCell ref="BC8:BC9"/>
    <mergeCell ref="AV8:AW8"/>
    <mergeCell ref="AX8:AX9"/>
    <mergeCell ref="AY8:AY9"/>
    <mergeCell ref="AZ8:AZ9"/>
    <mergeCell ref="BA8:BA9"/>
    <mergeCell ref="BB8:BB9"/>
    <mergeCell ref="Z13:Z23"/>
    <mergeCell ref="AA13:AA23"/>
    <mergeCell ref="AB13:AB23"/>
    <mergeCell ref="AC13:AC23"/>
    <mergeCell ref="AD13:AD23"/>
    <mergeCell ref="AE13:AE23"/>
    <mergeCell ref="U7:W8"/>
    <mergeCell ref="H18:H23"/>
    <mergeCell ref="M7:M9"/>
    <mergeCell ref="N7:N9"/>
    <mergeCell ref="X7:X9"/>
    <mergeCell ref="Y7:Y9"/>
    <mergeCell ref="P18:P23"/>
    <mergeCell ref="I18:I23"/>
    <mergeCell ref="J18:J23"/>
    <mergeCell ref="K18:K23"/>
    <mergeCell ref="L18:L23"/>
    <mergeCell ref="G12:H12"/>
    <mergeCell ref="H13:H14"/>
    <mergeCell ref="I13:I14"/>
    <mergeCell ref="J13:J14"/>
    <mergeCell ref="K13:K14"/>
    <mergeCell ref="L13:L14"/>
    <mergeCell ref="M13:M23"/>
    <mergeCell ref="S13:S14"/>
    <mergeCell ref="X13:X14"/>
    <mergeCell ref="Y13:Y14"/>
    <mergeCell ref="P15:P17"/>
    <mergeCell ref="S15:S17"/>
    <mergeCell ref="T15:T16"/>
    <mergeCell ref="P13:P14"/>
    <mergeCell ref="Q13:Q23"/>
    <mergeCell ref="R13:R23"/>
    <mergeCell ref="S18:S23"/>
    <mergeCell ref="BH13:BH14"/>
    <mergeCell ref="H15:H17"/>
    <mergeCell ref="I15:I17"/>
    <mergeCell ref="J15:J17"/>
    <mergeCell ref="K15:K17"/>
    <mergeCell ref="L15:L17"/>
    <mergeCell ref="AX13:AX14"/>
    <mergeCell ref="AY13:AY14"/>
    <mergeCell ref="AZ13:AZ14"/>
    <mergeCell ref="BA13:BA14"/>
    <mergeCell ref="BB13:BB14"/>
    <mergeCell ref="BC13:BC14"/>
    <mergeCell ref="AR13:AR23"/>
    <mergeCell ref="AS13:AS23"/>
    <mergeCell ref="AT13:AT23"/>
    <mergeCell ref="AU13:AU23"/>
    <mergeCell ref="AV13:AV23"/>
    <mergeCell ref="AW13:AW23"/>
    <mergeCell ref="AL13:AL23"/>
    <mergeCell ref="AM13:AM23"/>
    <mergeCell ref="X16:X17"/>
    <mergeCell ref="Y16:Y17"/>
    <mergeCell ref="BC16:BC17"/>
    <mergeCell ref="BH16:BH17"/>
    <mergeCell ref="BD13:BD14"/>
    <mergeCell ref="BE13:BE14"/>
    <mergeCell ref="BF13:BF14"/>
    <mergeCell ref="BG13:BG14"/>
    <mergeCell ref="AF13:AF23"/>
    <mergeCell ref="AG13:AG23"/>
    <mergeCell ref="AH13:AH23"/>
    <mergeCell ref="AI13:AI23"/>
    <mergeCell ref="AJ13:AJ23"/>
    <mergeCell ref="AK13:AK23"/>
    <mergeCell ref="AP13:AP23"/>
    <mergeCell ref="AQ13:AQ23"/>
    <mergeCell ref="AN13:AN23"/>
    <mergeCell ref="AO13:AO23"/>
    <mergeCell ref="H25:H26"/>
    <mergeCell ref="I25:I26"/>
    <mergeCell ref="J25:J26"/>
    <mergeCell ref="K25:K26"/>
    <mergeCell ref="L25:L26"/>
    <mergeCell ref="AM24:AM26"/>
    <mergeCell ref="AN24:AN26"/>
    <mergeCell ref="AO24:AO26"/>
    <mergeCell ref="AP24:AP26"/>
    <mergeCell ref="AG24:AG26"/>
    <mergeCell ref="AH24:AH26"/>
    <mergeCell ref="AI24:AI26"/>
    <mergeCell ref="AJ24:AJ26"/>
    <mergeCell ref="AK24:AK26"/>
    <mergeCell ref="AL24:AL26"/>
    <mergeCell ref="AA24:AA26"/>
    <mergeCell ref="AB24:AB26"/>
    <mergeCell ref="AC24:AC26"/>
    <mergeCell ref="AD24:AD26"/>
    <mergeCell ref="AE24:AE26"/>
    <mergeCell ref="AF24:AF26"/>
    <mergeCell ref="M24:M26"/>
    <mergeCell ref="N24:N26"/>
    <mergeCell ref="O24:O26"/>
    <mergeCell ref="AX5:BH6"/>
    <mergeCell ref="BC25:BC26"/>
    <mergeCell ref="BH25:BH26"/>
    <mergeCell ref="O28:P28"/>
    <mergeCell ref="K36:N36"/>
    <mergeCell ref="K37:N37"/>
    <mergeCell ref="AS24:AS26"/>
    <mergeCell ref="AT24:AT26"/>
    <mergeCell ref="AU24:AU26"/>
    <mergeCell ref="AV24:AV26"/>
    <mergeCell ref="AW24:AW26"/>
    <mergeCell ref="AQ24:AQ26"/>
    <mergeCell ref="AR24:AR26"/>
    <mergeCell ref="Q24:Q26"/>
    <mergeCell ref="R24:R26"/>
    <mergeCell ref="Z24:Z26"/>
    <mergeCell ref="P25:P26"/>
    <mergeCell ref="S25:S26"/>
    <mergeCell ref="T25:T26"/>
    <mergeCell ref="T18:T20"/>
    <mergeCell ref="X18:X23"/>
    <mergeCell ref="BC18:BC23"/>
    <mergeCell ref="BH18:BH23"/>
    <mergeCell ref="T21:T23"/>
  </mergeCells>
  <pageMargins left="0.70866141732283472" right="0.70866141732283472" top="0.74803149606299213" bottom="0.74803149606299213" header="0.31496062992125984" footer="0.31496062992125984"/>
  <pageSetup scale="10" orientation="portrait" r:id="rId1"/>
  <rowBreaks count="1" manualBreakCount="1">
    <brk id="19" max="59" man="1"/>
  </rowBreaks>
  <colBreaks count="1" manualBreakCount="1">
    <brk id="52" max="3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BH72"/>
  <sheetViews>
    <sheetView zoomScale="60" zoomScaleNormal="60" workbookViewId="0">
      <selection sqref="A1:BD4"/>
    </sheetView>
  </sheetViews>
  <sheetFormatPr baseColWidth="10" defaultColWidth="11.42578125" defaultRowHeight="15" x14ac:dyDescent="0.2"/>
  <cols>
    <col min="1" max="1" width="8.42578125" style="194" customWidth="1"/>
    <col min="2" max="2" width="14.5703125" style="1081" customWidth="1"/>
    <col min="3" max="3" width="8.28515625" style="194" customWidth="1"/>
    <col min="4" max="4" width="12.42578125" style="194" customWidth="1"/>
    <col min="5" max="5" width="11.42578125" style="194" customWidth="1"/>
    <col min="6" max="6" width="10.5703125" style="194" customWidth="1"/>
    <col min="7" max="7" width="13.7109375" style="194" customWidth="1"/>
    <col min="8" max="8" width="9" style="194" customWidth="1"/>
    <col min="9" max="9" width="15.5703125" style="196" customWidth="1"/>
    <col min="10" max="10" width="13.28515625" style="192" customWidth="1"/>
    <col min="11" max="11" width="9.7109375" style="192" customWidth="1"/>
    <col min="12" max="12" width="7.5703125" style="194" customWidth="1"/>
    <col min="13" max="13" width="23.140625" style="192" customWidth="1"/>
    <col min="14" max="14" width="6.85546875" style="194" customWidth="1"/>
    <col min="15" max="15" width="15.140625" style="196" customWidth="1"/>
    <col min="16" max="16" width="8.42578125" style="194" customWidth="1"/>
    <col min="17" max="17" width="23.42578125" style="194" customWidth="1"/>
    <col min="18" max="18" width="21.5703125" style="196" customWidth="1"/>
    <col min="19" max="19" width="46" style="196" customWidth="1"/>
    <col min="20" max="20" width="23" style="192" customWidth="1"/>
    <col min="21" max="21" width="19.7109375" style="1089" customWidth="1"/>
    <col min="22" max="22" width="20.85546875" style="1085" customWidth="1"/>
    <col min="23" max="23" width="18.42578125" style="194" customWidth="1"/>
    <col min="24" max="24" width="13.85546875" style="887" customWidth="1"/>
    <col min="25" max="25" width="10.42578125" style="887" customWidth="1"/>
    <col min="26" max="49" width="10.140625" style="192" customWidth="1"/>
    <col min="50" max="50" width="16" style="1087" customWidth="1"/>
    <col min="51" max="51" width="21" style="192" customWidth="1"/>
    <col min="52" max="52" width="17.7109375" style="1088" customWidth="1"/>
    <col min="53" max="53" width="11.7109375" style="192" customWidth="1"/>
    <col min="54" max="54" width="15.140625" style="196" customWidth="1"/>
    <col min="55" max="55" width="13.7109375" style="887" customWidth="1"/>
    <col min="56" max="56" width="16" style="194" customWidth="1"/>
    <col min="57" max="57" width="15.7109375" style="194" customWidth="1"/>
    <col min="58" max="58" width="14.85546875" style="194" customWidth="1"/>
    <col min="59" max="59" width="17.7109375" style="194" customWidth="1"/>
    <col min="60" max="60" width="28.7109375" style="192" customWidth="1"/>
    <col min="61" max="16384" width="11.42578125" style="192"/>
  </cols>
  <sheetData>
    <row r="1" spans="1:60" ht="15" customHeight="1" x14ac:dyDescent="0.25">
      <c r="A1" s="2569" t="s">
        <v>1539</v>
      </c>
      <c r="B1" s="2569"/>
      <c r="C1" s="2569"/>
      <c r="D1" s="2569"/>
      <c r="E1" s="2569"/>
      <c r="F1" s="2569"/>
      <c r="G1" s="2569"/>
      <c r="H1" s="2569"/>
      <c r="I1" s="2569"/>
      <c r="J1" s="2569"/>
      <c r="K1" s="2569"/>
      <c r="L1" s="2569"/>
      <c r="M1" s="2569"/>
      <c r="N1" s="2569"/>
      <c r="O1" s="2569"/>
      <c r="P1" s="2569"/>
      <c r="Q1" s="2569"/>
      <c r="R1" s="2569"/>
      <c r="S1" s="2569"/>
      <c r="T1" s="2569"/>
      <c r="U1" s="2569"/>
      <c r="V1" s="2569"/>
      <c r="W1" s="2569"/>
      <c r="X1" s="2569"/>
      <c r="Y1" s="2569"/>
      <c r="Z1" s="2569"/>
      <c r="AA1" s="2569"/>
      <c r="AB1" s="2569"/>
      <c r="AC1" s="2569"/>
      <c r="AD1" s="2569"/>
      <c r="AE1" s="2569"/>
      <c r="AF1" s="2569"/>
      <c r="AG1" s="2569"/>
      <c r="AH1" s="2569"/>
      <c r="AI1" s="2569"/>
      <c r="AJ1" s="2569"/>
      <c r="AK1" s="2569"/>
      <c r="AL1" s="2569"/>
      <c r="AM1" s="2569"/>
      <c r="AN1" s="2569"/>
      <c r="AO1" s="2569"/>
      <c r="AP1" s="2569"/>
      <c r="AQ1" s="2569"/>
      <c r="AR1" s="2569"/>
      <c r="AS1" s="2569"/>
      <c r="AT1" s="2569"/>
      <c r="AU1" s="2569"/>
      <c r="AV1" s="2569"/>
      <c r="AW1" s="2569"/>
      <c r="AX1" s="2569"/>
      <c r="AY1" s="2569"/>
      <c r="AZ1" s="2569"/>
      <c r="BA1" s="2569"/>
      <c r="BB1" s="2569"/>
      <c r="BC1" s="2569"/>
      <c r="BD1" s="2569"/>
      <c r="BE1" s="777"/>
      <c r="BF1" s="192"/>
      <c r="BG1" s="1014" t="s">
        <v>0</v>
      </c>
      <c r="BH1" s="1014" t="s">
        <v>1</v>
      </c>
    </row>
    <row r="2" spans="1:60" x14ac:dyDescent="0.25">
      <c r="A2" s="2569"/>
      <c r="B2" s="2569"/>
      <c r="C2" s="2569"/>
      <c r="D2" s="2569"/>
      <c r="E2" s="2569"/>
      <c r="F2" s="2569"/>
      <c r="G2" s="2569"/>
      <c r="H2" s="2569"/>
      <c r="I2" s="2569"/>
      <c r="J2" s="2569"/>
      <c r="K2" s="2569"/>
      <c r="L2" s="2569"/>
      <c r="M2" s="2569"/>
      <c r="N2" s="2569"/>
      <c r="O2" s="2569"/>
      <c r="P2" s="2569"/>
      <c r="Q2" s="2569"/>
      <c r="R2" s="2569"/>
      <c r="S2" s="2569"/>
      <c r="T2" s="2569"/>
      <c r="U2" s="2569"/>
      <c r="V2" s="2569"/>
      <c r="W2" s="2569"/>
      <c r="X2" s="2569"/>
      <c r="Y2" s="2569"/>
      <c r="Z2" s="2569"/>
      <c r="AA2" s="2569"/>
      <c r="AB2" s="2569"/>
      <c r="AC2" s="2569"/>
      <c r="AD2" s="2569"/>
      <c r="AE2" s="2569"/>
      <c r="AF2" s="2569"/>
      <c r="AG2" s="2569"/>
      <c r="AH2" s="2569"/>
      <c r="AI2" s="2569"/>
      <c r="AJ2" s="2569"/>
      <c r="AK2" s="2569"/>
      <c r="AL2" s="2569"/>
      <c r="AM2" s="2569"/>
      <c r="AN2" s="2569"/>
      <c r="AO2" s="2569"/>
      <c r="AP2" s="2569"/>
      <c r="AQ2" s="2569"/>
      <c r="AR2" s="2569"/>
      <c r="AS2" s="2569"/>
      <c r="AT2" s="2569"/>
      <c r="AU2" s="2569"/>
      <c r="AV2" s="2569"/>
      <c r="AW2" s="2569"/>
      <c r="AX2" s="2569"/>
      <c r="AY2" s="2569"/>
      <c r="AZ2" s="2569"/>
      <c r="BA2" s="2569"/>
      <c r="BB2" s="2569"/>
      <c r="BC2" s="2569"/>
      <c r="BD2" s="2569"/>
      <c r="BE2" s="777"/>
      <c r="BF2" s="192"/>
      <c r="BG2" s="1015" t="s">
        <v>2</v>
      </c>
      <c r="BH2" s="1016">
        <v>5</v>
      </c>
    </row>
    <row r="3" spans="1:60" x14ac:dyDescent="0.25">
      <c r="A3" s="2569"/>
      <c r="B3" s="2569"/>
      <c r="C3" s="2569"/>
      <c r="D3" s="2569"/>
      <c r="E3" s="2569"/>
      <c r="F3" s="2569"/>
      <c r="G3" s="2569"/>
      <c r="H3" s="2569"/>
      <c r="I3" s="2569"/>
      <c r="J3" s="2569"/>
      <c r="K3" s="2569"/>
      <c r="L3" s="2569"/>
      <c r="M3" s="2569"/>
      <c r="N3" s="2569"/>
      <c r="O3" s="2569"/>
      <c r="P3" s="2569"/>
      <c r="Q3" s="2569"/>
      <c r="R3" s="2569"/>
      <c r="S3" s="2569"/>
      <c r="T3" s="2569"/>
      <c r="U3" s="2569"/>
      <c r="V3" s="2569"/>
      <c r="W3" s="2569"/>
      <c r="X3" s="2569"/>
      <c r="Y3" s="2569"/>
      <c r="Z3" s="2569"/>
      <c r="AA3" s="2569"/>
      <c r="AB3" s="2569"/>
      <c r="AC3" s="2569"/>
      <c r="AD3" s="2569"/>
      <c r="AE3" s="2569"/>
      <c r="AF3" s="2569"/>
      <c r="AG3" s="2569"/>
      <c r="AH3" s="2569"/>
      <c r="AI3" s="2569"/>
      <c r="AJ3" s="2569"/>
      <c r="AK3" s="2569"/>
      <c r="AL3" s="2569"/>
      <c r="AM3" s="2569"/>
      <c r="AN3" s="2569"/>
      <c r="AO3" s="2569"/>
      <c r="AP3" s="2569"/>
      <c r="AQ3" s="2569"/>
      <c r="AR3" s="2569"/>
      <c r="AS3" s="2569"/>
      <c r="AT3" s="2569"/>
      <c r="AU3" s="2569"/>
      <c r="AV3" s="2569"/>
      <c r="AW3" s="2569"/>
      <c r="AX3" s="2569"/>
      <c r="AY3" s="2569"/>
      <c r="AZ3" s="2569"/>
      <c r="BA3" s="2569"/>
      <c r="BB3" s="2569"/>
      <c r="BC3" s="2569"/>
      <c r="BD3" s="2569"/>
      <c r="BE3" s="777"/>
      <c r="BF3" s="192"/>
      <c r="BG3" s="1014" t="s">
        <v>3</v>
      </c>
      <c r="BH3" s="1017" t="s">
        <v>4</v>
      </c>
    </row>
    <row r="4" spans="1:60" s="1019" customFormat="1" ht="21" customHeight="1" x14ac:dyDescent="0.2">
      <c r="A4" s="2744"/>
      <c r="B4" s="2744"/>
      <c r="C4" s="2744"/>
      <c r="D4" s="2744"/>
      <c r="E4" s="2744"/>
      <c r="F4" s="2744"/>
      <c r="G4" s="2744"/>
      <c r="H4" s="2744"/>
      <c r="I4" s="2744"/>
      <c r="J4" s="2744"/>
      <c r="K4" s="2744"/>
      <c r="L4" s="2744"/>
      <c r="M4" s="2744"/>
      <c r="N4" s="2744"/>
      <c r="O4" s="2744"/>
      <c r="P4" s="2744"/>
      <c r="Q4" s="2744"/>
      <c r="R4" s="2744"/>
      <c r="S4" s="2744"/>
      <c r="T4" s="2744"/>
      <c r="U4" s="2744"/>
      <c r="V4" s="2744"/>
      <c r="W4" s="2744"/>
      <c r="X4" s="2744"/>
      <c r="Y4" s="2744"/>
      <c r="Z4" s="2744"/>
      <c r="AA4" s="2744"/>
      <c r="AB4" s="2744"/>
      <c r="AC4" s="2744"/>
      <c r="AD4" s="2744"/>
      <c r="AE4" s="2744"/>
      <c r="AF4" s="2744"/>
      <c r="AG4" s="2744"/>
      <c r="AH4" s="2744"/>
      <c r="AI4" s="2744"/>
      <c r="AJ4" s="2744"/>
      <c r="AK4" s="2744"/>
      <c r="AL4" s="2744"/>
      <c r="AM4" s="2744"/>
      <c r="AN4" s="2744"/>
      <c r="AO4" s="2744"/>
      <c r="AP4" s="2744"/>
      <c r="AQ4" s="2744"/>
      <c r="AR4" s="2744"/>
      <c r="AS4" s="2744"/>
      <c r="AT4" s="2744"/>
      <c r="AU4" s="2744"/>
      <c r="AV4" s="2744"/>
      <c r="AW4" s="2744"/>
      <c r="AX4" s="2744"/>
      <c r="AY4" s="2744"/>
      <c r="AZ4" s="2744"/>
      <c r="BA4" s="2744"/>
      <c r="BB4" s="2744"/>
      <c r="BC4" s="2744"/>
      <c r="BD4" s="2744"/>
      <c r="BE4" s="1018"/>
      <c r="BG4" s="1020" t="s">
        <v>5</v>
      </c>
      <c r="BH4" s="1021" t="s">
        <v>6</v>
      </c>
    </row>
    <row r="5" spans="1:60" x14ac:dyDescent="0.2">
      <c r="A5" s="2745" t="s">
        <v>7</v>
      </c>
      <c r="B5" s="2745"/>
      <c r="C5" s="2745"/>
      <c r="D5" s="2745"/>
      <c r="E5" s="2745"/>
      <c r="F5" s="2745"/>
      <c r="G5" s="2745"/>
      <c r="H5" s="2745"/>
      <c r="I5" s="2745"/>
      <c r="J5" s="2745"/>
      <c r="K5" s="2745"/>
      <c r="L5" s="1022"/>
      <c r="M5" s="1022"/>
      <c r="N5" s="1022"/>
      <c r="O5" s="2745" t="s">
        <v>8</v>
      </c>
      <c r="P5" s="2745"/>
      <c r="Q5" s="2745"/>
      <c r="R5" s="2745"/>
      <c r="S5" s="2745"/>
      <c r="T5" s="2745"/>
      <c r="U5" s="2745"/>
      <c r="V5" s="2745"/>
      <c r="W5" s="2745"/>
      <c r="X5" s="2745"/>
      <c r="Y5" s="2745"/>
      <c r="Z5" s="2745"/>
      <c r="AA5" s="2745"/>
      <c r="AB5" s="2745"/>
      <c r="AC5" s="2745"/>
      <c r="AD5" s="2745"/>
      <c r="AE5" s="2745"/>
      <c r="AF5" s="2745"/>
      <c r="AG5" s="2745"/>
      <c r="AH5" s="2745"/>
      <c r="AI5" s="2745"/>
      <c r="AJ5" s="2745"/>
      <c r="AK5" s="2745"/>
      <c r="AL5" s="2745"/>
      <c r="AM5" s="2745"/>
      <c r="AN5" s="2745"/>
      <c r="AO5" s="2745"/>
      <c r="AP5" s="2745"/>
      <c r="AQ5" s="2745"/>
      <c r="AR5" s="2745"/>
      <c r="AS5" s="2745"/>
      <c r="AT5" s="2745"/>
      <c r="AU5" s="2745"/>
      <c r="AV5" s="2745"/>
      <c r="AW5" s="2745"/>
      <c r="AX5" s="2745"/>
      <c r="AY5" s="2745"/>
      <c r="AZ5" s="2745"/>
      <c r="BA5" s="2745"/>
      <c r="BB5" s="2745"/>
      <c r="BC5" s="2745"/>
      <c r="BD5" s="2745"/>
      <c r="BE5" s="2745"/>
      <c r="BF5" s="2745"/>
      <c r="BG5" s="2745"/>
      <c r="BH5" s="2745"/>
    </row>
    <row r="6" spans="1:60" ht="14.45" customHeight="1" thickBot="1" x14ac:dyDescent="0.25">
      <c r="A6" s="2745"/>
      <c r="B6" s="2745"/>
      <c r="C6" s="2745"/>
      <c r="D6" s="2745"/>
      <c r="E6" s="2745"/>
      <c r="F6" s="2745"/>
      <c r="G6" s="2745"/>
      <c r="H6" s="2745"/>
      <c r="I6" s="2745"/>
      <c r="J6" s="2745"/>
      <c r="K6" s="2745"/>
      <c r="L6" s="1022"/>
      <c r="M6" s="1022"/>
      <c r="N6" s="1023"/>
      <c r="O6" s="2746"/>
      <c r="P6" s="2747"/>
      <c r="Q6" s="2747"/>
      <c r="R6" s="2747"/>
      <c r="S6" s="2747"/>
      <c r="T6" s="2747"/>
      <c r="U6" s="2747"/>
      <c r="V6" s="2747"/>
      <c r="W6" s="2747"/>
      <c r="X6" s="2747"/>
      <c r="Y6" s="2748"/>
      <c r="Z6" s="2746" t="s">
        <v>9</v>
      </c>
      <c r="AA6" s="2747"/>
      <c r="AB6" s="2747"/>
      <c r="AC6" s="2747"/>
      <c r="AD6" s="2747"/>
      <c r="AE6" s="2747"/>
      <c r="AF6" s="2747"/>
      <c r="AG6" s="2747"/>
      <c r="AH6" s="2747"/>
      <c r="AI6" s="2747"/>
      <c r="AJ6" s="2747"/>
      <c r="AK6" s="2747"/>
      <c r="AL6" s="2747"/>
      <c r="AM6" s="2747"/>
      <c r="AN6" s="2747"/>
      <c r="AO6" s="2747"/>
      <c r="AP6" s="2747"/>
      <c r="AQ6" s="2747"/>
      <c r="AR6" s="2747"/>
      <c r="AS6" s="2747"/>
      <c r="AT6" s="2747"/>
      <c r="AU6" s="2747"/>
      <c r="AV6" s="2747"/>
      <c r="AW6" s="2748"/>
      <c r="AX6" s="1024"/>
      <c r="AY6" s="877"/>
      <c r="AZ6" s="1025"/>
      <c r="BA6" s="877"/>
      <c r="BB6" s="875"/>
      <c r="BC6" s="877"/>
      <c r="BD6" s="2746"/>
      <c r="BE6" s="2747"/>
      <c r="BF6" s="2747"/>
      <c r="BG6" s="2747"/>
      <c r="BH6" s="2748"/>
    </row>
    <row r="7" spans="1:60" ht="22.5" customHeight="1" x14ac:dyDescent="0.2">
      <c r="A7" s="2740" t="s">
        <v>10</v>
      </c>
      <c r="B7" s="2740" t="s">
        <v>11</v>
      </c>
      <c r="C7" s="2743" t="s">
        <v>10</v>
      </c>
      <c r="D7" s="2743" t="s">
        <v>12</v>
      </c>
      <c r="E7" s="2743"/>
      <c r="F7" s="2743" t="s">
        <v>10</v>
      </c>
      <c r="G7" s="2743" t="s">
        <v>13</v>
      </c>
      <c r="H7" s="2743" t="s">
        <v>10</v>
      </c>
      <c r="I7" s="2743" t="s">
        <v>14</v>
      </c>
      <c r="J7" s="2743" t="s">
        <v>15</v>
      </c>
      <c r="K7" s="2768" t="s">
        <v>16</v>
      </c>
      <c r="L7" s="2770"/>
      <c r="M7" s="2743" t="s">
        <v>17</v>
      </c>
      <c r="N7" s="2740" t="s">
        <v>18</v>
      </c>
      <c r="O7" s="2743" t="s">
        <v>8</v>
      </c>
      <c r="P7" s="2743" t="s">
        <v>19</v>
      </c>
      <c r="Q7" s="2743" t="s">
        <v>20</v>
      </c>
      <c r="R7" s="2774" t="s">
        <v>21</v>
      </c>
      <c r="S7" s="2743" t="s">
        <v>22</v>
      </c>
      <c r="T7" s="2743" t="s">
        <v>23</v>
      </c>
      <c r="U7" s="2768" t="s">
        <v>20</v>
      </c>
      <c r="V7" s="2769"/>
      <c r="W7" s="2770"/>
      <c r="X7" s="2740" t="s">
        <v>10</v>
      </c>
      <c r="Y7" s="2743" t="s">
        <v>24</v>
      </c>
      <c r="Z7" s="2756" t="s">
        <v>25</v>
      </c>
      <c r="AA7" s="2757"/>
      <c r="AB7" s="2757"/>
      <c r="AC7" s="2757"/>
      <c r="AD7" s="2757"/>
      <c r="AE7" s="2757"/>
      <c r="AF7" s="2757"/>
      <c r="AG7" s="2757"/>
      <c r="AH7" s="2757"/>
      <c r="AI7" s="2757"/>
      <c r="AJ7" s="2757"/>
      <c r="AK7" s="2758"/>
      <c r="AL7" s="2756" t="s">
        <v>26</v>
      </c>
      <c r="AM7" s="2757"/>
      <c r="AN7" s="2757"/>
      <c r="AO7" s="2757"/>
      <c r="AP7" s="2757"/>
      <c r="AQ7" s="2757"/>
      <c r="AR7" s="2757"/>
      <c r="AS7" s="2757"/>
      <c r="AT7" s="2757"/>
      <c r="AU7" s="2757"/>
      <c r="AV7" s="2757"/>
      <c r="AW7" s="2758"/>
      <c r="AX7" s="2759" t="s">
        <v>27</v>
      </c>
      <c r="AY7" s="2760"/>
      <c r="AZ7" s="2760"/>
      <c r="BA7" s="2760"/>
      <c r="BB7" s="2760"/>
      <c r="BC7" s="2761"/>
      <c r="BD7" s="2749" t="s">
        <v>28</v>
      </c>
      <c r="BE7" s="2750"/>
      <c r="BF7" s="2749" t="s">
        <v>29</v>
      </c>
      <c r="BG7" s="2750"/>
      <c r="BH7" s="2753" t="s">
        <v>30</v>
      </c>
    </row>
    <row r="8" spans="1:60" ht="31.5" customHeight="1" x14ac:dyDescent="0.2">
      <c r="A8" s="2741"/>
      <c r="B8" s="2741"/>
      <c r="C8" s="2743"/>
      <c r="D8" s="2743"/>
      <c r="E8" s="2743"/>
      <c r="F8" s="2743"/>
      <c r="G8" s="2743"/>
      <c r="H8" s="2743"/>
      <c r="I8" s="2743"/>
      <c r="J8" s="2743"/>
      <c r="K8" s="2775"/>
      <c r="L8" s="2776"/>
      <c r="M8" s="2743"/>
      <c r="N8" s="2741"/>
      <c r="O8" s="2743"/>
      <c r="P8" s="2743"/>
      <c r="Q8" s="2743"/>
      <c r="R8" s="2774"/>
      <c r="S8" s="2743"/>
      <c r="T8" s="2743"/>
      <c r="U8" s="2771"/>
      <c r="V8" s="2772"/>
      <c r="W8" s="2773"/>
      <c r="X8" s="2741"/>
      <c r="Y8" s="2743"/>
      <c r="Z8" s="2754" t="s">
        <v>31</v>
      </c>
      <c r="AA8" s="2755"/>
      <c r="AB8" s="2754" t="s">
        <v>32</v>
      </c>
      <c r="AC8" s="2755"/>
      <c r="AD8" s="2754" t="s">
        <v>33</v>
      </c>
      <c r="AE8" s="2755"/>
      <c r="AF8" s="2754" t="s">
        <v>34</v>
      </c>
      <c r="AG8" s="2755"/>
      <c r="AH8" s="2754" t="s">
        <v>35</v>
      </c>
      <c r="AI8" s="2755"/>
      <c r="AJ8" s="2754" t="s">
        <v>36</v>
      </c>
      <c r="AK8" s="2755"/>
      <c r="AL8" s="2754" t="s">
        <v>37</v>
      </c>
      <c r="AM8" s="2755"/>
      <c r="AN8" s="2754" t="s">
        <v>38</v>
      </c>
      <c r="AO8" s="2755"/>
      <c r="AP8" s="2754" t="s">
        <v>39</v>
      </c>
      <c r="AQ8" s="2755"/>
      <c r="AR8" s="2754" t="s">
        <v>40</v>
      </c>
      <c r="AS8" s="2755"/>
      <c r="AT8" s="2754" t="s">
        <v>41</v>
      </c>
      <c r="AU8" s="2755"/>
      <c r="AV8" s="2754" t="s">
        <v>42</v>
      </c>
      <c r="AW8" s="2755"/>
      <c r="AX8" s="2767" t="s">
        <v>43</v>
      </c>
      <c r="AY8" s="2753" t="s">
        <v>44</v>
      </c>
      <c r="AZ8" s="2781" t="s">
        <v>45</v>
      </c>
      <c r="BA8" s="2782" t="s">
        <v>46</v>
      </c>
      <c r="BB8" s="2743" t="s">
        <v>47</v>
      </c>
      <c r="BC8" s="2740" t="s">
        <v>48</v>
      </c>
      <c r="BD8" s="2751"/>
      <c r="BE8" s="2752"/>
      <c r="BF8" s="2751"/>
      <c r="BG8" s="2752"/>
      <c r="BH8" s="2753"/>
    </row>
    <row r="9" spans="1:60" ht="34.5" customHeight="1" x14ac:dyDescent="0.2">
      <c r="A9" s="2742"/>
      <c r="B9" s="2742"/>
      <c r="C9" s="2743"/>
      <c r="D9" s="2743"/>
      <c r="E9" s="2743"/>
      <c r="F9" s="2743"/>
      <c r="G9" s="2743"/>
      <c r="H9" s="2743"/>
      <c r="I9" s="2743"/>
      <c r="J9" s="2743"/>
      <c r="K9" s="1026" t="s">
        <v>49</v>
      </c>
      <c r="L9" s="1026" t="s">
        <v>50</v>
      </c>
      <c r="M9" s="2743"/>
      <c r="N9" s="2742"/>
      <c r="O9" s="2743"/>
      <c r="P9" s="2743"/>
      <c r="Q9" s="2743"/>
      <c r="R9" s="2774"/>
      <c r="S9" s="2743"/>
      <c r="T9" s="2743"/>
      <c r="U9" s="1027" t="s">
        <v>51</v>
      </c>
      <c r="V9" s="1028" t="s">
        <v>52</v>
      </c>
      <c r="W9" s="1026" t="s">
        <v>53</v>
      </c>
      <c r="X9" s="2742"/>
      <c r="Y9" s="2743"/>
      <c r="Z9" s="1026" t="s">
        <v>49</v>
      </c>
      <c r="AA9" s="1029" t="s">
        <v>50</v>
      </c>
      <c r="AB9" s="1026" t="s">
        <v>49</v>
      </c>
      <c r="AC9" s="1029" t="s">
        <v>50</v>
      </c>
      <c r="AD9" s="1026" t="s">
        <v>49</v>
      </c>
      <c r="AE9" s="1029" t="s">
        <v>50</v>
      </c>
      <c r="AF9" s="1026" t="s">
        <v>49</v>
      </c>
      <c r="AG9" s="1029" t="s">
        <v>50</v>
      </c>
      <c r="AH9" s="1026" t="s">
        <v>49</v>
      </c>
      <c r="AI9" s="1029" t="s">
        <v>50</v>
      </c>
      <c r="AJ9" s="1026" t="s">
        <v>49</v>
      </c>
      <c r="AK9" s="1029" t="s">
        <v>50</v>
      </c>
      <c r="AL9" s="1026" t="s">
        <v>49</v>
      </c>
      <c r="AM9" s="1029" t="s">
        <v>50</v>
      </c>
      <c r="AN9" s="1026" t="s">
        <v>49</v>
      </c>
      <c r="AO9" s="1029" t="s">
        <v>50</v>
      </c>
      <c r="AP9" s="1026" t="s">
        <v>49</v>
      </c>
      <c r="AQ9" s="1029" t="s">
        <v>50</v>
      </c>
      <c r="AR9" s="1026" t="s">
        <v>49</v>
      </c>
      <c r="AS9" s="1029" t="s">
        <v>50</v>
      </c>
      <c r="AT9" s="1026" t="s">
        <v>49</v>
      </c>
      <c r="AU9" s="1029" t="s">
        <v>50</v>
      </c>
      <c r="AV9" s="1026" t="s">
        <v>49</v>
      </c>
      <c r="AW9" s="1029" t="s">
        <v>50</v>
      </c>
      <c r="AX9" s="2767"/>
      <c r="AY9" s="2753"/>
      <c r="AZ9" s="2781"/>
      <c r="BA9" s="2782"/>
      <c r="BB9" s="2743"/>
      <c r="BC9" s="2742"/>
      <c r="BD9" s="1030" t="s">
        <v>49</v>
      </c>
      <c r="BE9" s="1030" t="s">
        <v>50</v>
      </c>
      <c r="BF9" s="1030" t="s">
        <v>49</v>
      </c>
      <c r="BG9" s="1030" t="s">
        <v>50</v>
      </c>
      <c r="BH9" s="2753"/>
    </row>
    <row r="10" spans="1:60" s="320" customFormat="1" ht="18" customHeight="1" x14ac:dyDescent="0.2">
      <c r="A10" s="316" t="s">
        <v>1540</v>
      </c>
      <c r="B10" s="317" t="s">
        <v>1541</v>
      </c>
      <c r="C10" s="317"/>
      <c r="D10" s="317"/>
      <c r="E10" s="317"/>
      <c r="F10" s="317"/>
      <c r="G10" s="317"/>
      <c r="H10" s="317"/>
      <c r="I10" s="318"/>
      <c r="J10" s="318"/>
      <c r="K10" s="317"/>
      <c r="L10" s="317"/>
      <c r="M10" s="317"/>
      <c r="N10" s="317"/>
      <c r="O10" s="318"/>
      <c r="P10" s="317"/>
      <c r="Q10" s="317"/>
      <c r="R10" s="318"/>
      <c r="S10" s="318"/>
      <c r="T10" s="317"/>
      <c r="U10" s="317"/>
      <c r="V10" s="317"/>
      <c r="W10" s="319"/>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7"/>
      <c r="AY10" s="317"/>
      <c r="AZ10" s="317"/>
      <c r="BA10" s="317"/>
      <c r="BB10" s="318"/>
      <c r="BC10" s="317"/>
      <c r="BD10" s="317"/>
      <c r="BE10" s="317"/>
      <c r="BF10" s="317"/>
      <c r="BG10" s="317"/>
      <c r="BH10" s="317"/>
    </row>
    <row r="11" spans="1:60" s="320" customFormat="1" ht="18" customHeight="1" x14ac:dyDescent="0.2">
      <c r="A11" s="321"/>
      <c r="B11" s="322"/>
      <c r="C11" s="323" t="s">
        <v>1542</v>
      </c>
      <c r="D11" s="2777" t="s">
        <v>1543</v>
      </c>
      <c r="E11" s="2777"/>
      <c r="F11" s="2778"/>
      <c r="G11" s="2778"/>
      <c r="H11" s="2778"/>
      <c r="I11" s="2778"/>
      <c r="J11" s="2778"/>
      <c r="K11" s="2778"/>
      <c r="L11" s="53"/>
      <c r="M11" s="53"/>
      <c r="N11" s="53"/>
      <c r="O11" s="71"/>
      <c r="P11" s="53"/>
      <c r="Q11" s="53"/>
      <c r="R11" s="71"/>
      <c r="S11" s="71"/>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71"/>
      <c r="BC11" s="53"/>
      <c r="BD11" s="53"/>
      <c r="BE11" s="53"/>
      <c r="BF11" s="53"/>
      <c r="BG11" s="53"/>
      <c r="BH11" s="53"/>
    </row>
    <row r="12" spans="1:60" s="320" customFormat="1" ht="18" customHeight="1" x14ac:dyDescent="0.2">
      <c r="A12" s="324"/>
      <c r="B12" s="325"/>
      <c r="C12" s="322"/>
      <c r="D12" s="2611"/>
      <c r="E12" s="2610"/>
      <c r="F12" s="500" t="s">
        <v>1544</v>
      </c>
      <c r="G12" s="2779" t="s">
        <v>1545</v>
      </c>
      <c r="H12" s="2779"/>
      <c r="I12" s="2780"/>
      <c r="J12" s="2780"/>
      <c r="K12" s="2780"/>
      <c r="L12" s="105"/>
      <c r="M12" s="105"/>
      <c r="N12" s="105"/>
      <c r="O12" s="73"/>
      <c r="P12" s="105"/>
      <c r="Q12" s="105"/>
      <c r="R12" s="73"/>
      <c r="S12" s="73"/>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73"/>
      <c r="BC12" s="105"/>
      <c r="BD12" s="105"/>
      <c r="BE12" s="105"/>
      <c r="BF12" s="105"/>
      <c r="BG12" s="105"/>
      <c r="BH12" s="105"/>
    </row>
    <row r="13" spans="1:60" s="1031" customFormat="1" ht="50.1" customHeight="1" x14ac:dyDescent="0.25">
      <c r="A13" s="2635"/>
      <c r="B13" s="2762"/>
      <c r="C13" s="2635"/>
      <c r="D13" s="2611"/>
      <c r="E13" s="2610"/>
      <c r="F13" s="2634"/>
      <c r="G13" s="2764"/>
      <c r="H13" s="2634">
        <v>9</v>
      </c>
      <c r="I13" s="2424" t="s">
        <v>1546</v>
      </c>
      <c r="J13" s="2595" t="s">
        <v>1547</v>
      </c>
      <c r="K13" s="2634">
        <v>5</v>
      </c>
      <c r="L13" s="2634">
        <v>1</v>
      </c>
      <c r="M13" s="2595" t="s">
        <v>1548</v>
      </c>
      <c r="N13" s="2634">
        <v>22</v>
      </c>
      <c r="O13" s="2424" t="s">
        <v>1549</v>
      </c>
      <c r="P13" s="2787">
        <f>+(U13+U15+U16)/($Q$13+$Q$17)</f>
        <v>0.56874731615190133</v>
      </c>
      <c r="Q13" s="2790">
        <v>827750071</v>
      </c>
      <c r="R13" s="2424" t="s">
        <v>1550</v>
      </c>
      <c r="S13" s="2424" t="s">
        <v>1551</v>
      </c>
      <c r="T13" s="2595" t="s">
        <v>1552</v>
      </c>
      <c r="U13" s="2783">
        <v>316758463</v>
      </c>
      <c r="V13" s="2785">
        <v>0</v>
      </c>
      <c r="W13" s="2527">
        <v>0</v>
      </c>
      <c r="X13" s="2634">
        <v>22</v>
      </c>
      <c r="Y13" s="2634" t="s">
        <v>1553</v>
      </c>
      <c r="Z13" s="2634">
        <v>55079</v>
      </c>
      <c r="AA13" s="2634">
        <v>0</v>
      </c>
      <c r="AB13" s="2634">
        <v>63164</v>
      </c>
      <c r="AC13" s="2634">
        <v>0</v>
      </c>
      <c r="AD13" s="2634">
        <v>45607</v>
      </c>
      <c r="AE13" s="2634">
        <v>0</v>
      </c>
      <c r="AF13" s="2793">
        <v>140912</v>
      </c>
      <c r="AG13" s="2634">
        <v>0</v>
      </c>
      <c r="AH13" s="2634">
        <v>365607</v>
      </c>
      <c r="AI13" s="2634">
        <v>0</v>
      </c>
      <c r="AJ13" s="2634">
        <v>75612</v>
      </c>
      <c r="AK13" s="2634">
        <v>0</v>
      </c>
      <c r="AL13" s="2634">
        <v>12718</v>
      </c>
      <c r="AM13" s="2634">
        <v>0</v>
      </c>
      <c r="AN13" s="2634">
        <v>2145</v>
      </c>
      <c r="AO13" s="2634">
        <v>0</v>
      </c>
      <c r="AP13" s="2634">
        <v>413</v>
      </c>
      <c r="AQ13" s="2634">
        <v>0</v>
      </c>
      <c r="AR13" s="2634">
        <v>0</v>
      </c>
      <c r="AS13" s="2634">
        <v>0</v>
      </c>
      <c r="AT13" s="2634">
        <v>16897</v>
      </c>
      <c r="AU13" s="2634">
        <v>0</v>
      </c>
      <c r="AV13" s="2634">
        <v>75612</v>
      </c>
      <c r="AW13" s="2634">
        <v>0</v>
      </c>
      <c r="AX13" s="2527">
        <v>0</v>
      </c>
      <c r="AY13" s="2634">
        <v>0</v>
      </c>
      <c r="AZ13" s="2796">
        <v>0</v>
      </c>
      <c r="BA13" s="2787">
        <f>AY13/Q13</f>
        <v>0</v>
      </c>
      <c r="BB13" s="599" t="s">
        <v>1554</v>
      </c>
      <c r="BC13" s="602" t="s">
        <v>154</v>
      </c>
      <c r="BD13" s="602" t="s">
        <v>154</v>
      </c>
      <c r="BE13" s="602" t="s">
        <v>154</v>
      </c>
      <c r="BF13" s="602" t="s">
        <v>154</v>
      </c>
      <c r="BG13" s="602" t="s">
        <v>154</v>
      </c>
      <c r="BH13" s="595" t="s">
        <v>1555</v>
      </c>
    </row>
    <row r="14" spans="1:60" s="1031" customFormat="1" ht="58.5" customHeight="1" x14ac:dyDescent="0.25">
      <c r="A14" s="2635"/>
      <c r="B14" s="2762"/>
      <c r="C14" s="2635"/>
      <c r="D14" s="2611"/>
      <c r="E14" s="2610"/>
      <c r="F14" s="2635"/>
      <c r="G14" s="2765"/>
      <c r="H14" s="2635"/>
      <c r="I14" s="2428"/>
      <c r="J14" s="2603"/>
      <c r="K14" s="2635"/>
      <c r="L14" s="2635"/>
      <c r="M14" s="2603"/>
      <c r="N14" s="2635"/>
      <c r="O14" s="2428"/>
      <c r="P14" s="2788"/>
      <c r="Q14" s="2791"/>
      <c r="R14" s="2428"/>
      <c r="S14" s="2429"/>
      <c r="T14" s="2596"/>
      <c r="U14" s="2784"/>
      <c r="V14" s="2786"/>
      <c r="W14" s="2528"/>
      <c r="X14" s="2635"/>
      <c r="Y14" s="2635"/>
      <c r="Z14" s="2635"/>
      <c r="AA14" s="2635"/>
      <c r="AB14" s="2635"/>
      <c r="AC14" s="2635"/>
      <c r="AD14" s="2635"/>
      <c r="AE14" s="2635"/>
      <c r="AF14" s="2794"/>
      <c r="AG14" s="2635"/>
      <c r="AH14" s="2635"/>
      <c r="AI14" s="2635"/>
      <c r="AJ14" s="2635"/>
      <c r="AK14" s="2635"/>
      <c r="AL14" s="2635"/>
      <c r="AM14" s="2635"/>
      <c r="AN14" s="2635"/>
      <c r="AO14" s="2635"/>
      <c r="AP14" s="2635"/>
      <c r="AQ14" s="2635"/>
      <c r="AR14" s="2635"/>
      <c r="AS14" s="2635"/>
      <c r="AT14" s="2635"/>
      <c r="AU14" s="2635"/>
      <c r="AV14" s="2635"/>
      <c r="AW14" s="2635"/>
      <c r="AX14" s="2639"/>
      <c r="AY14" s="2635"/>
      <c r="AZ14" s="2797"/>
      <c r="BA14" s="2788"/>
      <c r="BB14" s="599" t="s">
        <v>1556</v>
      </c>
      <c r="BC14" s="602" t="s">
        <v>154</v>
      </c>
      <c r="BD14" s="602" t="s">
        <v>154</v>
      </c>
      <c r="BE14" s="602" t="s">
        <v>154</v>
      </c>
      <c r="BF14" s="602" t="s">
        <v>154</v>
      </c>
      <c r="BG14" s="602" t="s">
        <v>154</v>
      </c>
      <c r="BH14" s="595" t="s">
        <v>1555</v>
      </c>
    </row>
    <row r="15" spans="1:60" s="1031" customFormat="1" ht="50.1" customHeight="1" x14ac:dyDescent="0.25">
      <c r="A15" s="2635"/>
      <c r="B15" s="2762"/>
      <c r="C15" s="2635"/>
      <c r="D15" s="2611"/>
      <c r="E15" s="2610"/>
      <c r="F15" s="2635"/>
      <c r="G15" s="2765"/>
      <c r="H15" s="2635"/>
      <c r="I15" s="2428"/>
      <c r="J15" s="2603"/>
      <c r="K15" s="2635"/>
      <c r="L15" s="2635"/>
      <c r="M15" s="2603"/>
      <c r="N15" s="2635"/>
      <c r="O15" s="2428"/>
      <c r="P15" s="2788"/>
      <c r="Q15" s="2791"/>
      <c r="R15" s="2428"/>
      <c r="S15" s="2428" t="s">
        <v>1557</v>
      </c>
      <c r="T15" s="84" t="s">
        <v>1558</v>
      </c>
      <c r="U15" s="1033">
        <v>400000000</v>
      </c>
      <c r="V15" s="1034">
        <v>0</v>
      </c>
      <c r="W15" s="865">
        <v>0</v>
      </c>
      <c r="X15" s="2635"/>
      <c r="Y15" s="2635"/>
      <c r="Z15" s="2635"/>
      <c r="AA15" s="2635"/>
      <c r="AB15" s="2635"/>
      <c r="AC15" s="2635"/>
      <c r="AD15" s="2635"/>
      <c r="AE15" s="2635"/>
      <c r="AF15" s="2794"/>
      <c r="AG15" s="2635"/>
      <c r="AH15" s="2635"/>
      <c r="AI15" s="2635"/>
      <c r="AJ15" s="2635"/>
      <c r="AK15" s="2635"/>
      <c r="AL15" s="2635"/>
      <c r="AM15" s="2635"/>
      <c r="AN15" s="2635"/>
      <c r="AO15" s="2635"/>
      <c r="AP15" s="2635"/>
      <c r="AQ15" s="2635"/>
      <c r="AR15" s="2635"/>
      <c r="AS15" s="2635"/>
      <c r="AT15" s="2635"/>
      <c r="AU15" s="2635"/>
      <c r="AV15" s="2635"/>
      <c r="AW15" s="2635"/>
      <c r="AX15" s="2639"/>
      <c r="AY15" s="2635"/>
      <c r="AZ15" s="2797"/>
      <c r="BA15" s="2788"/>
      <c r="BB15" s="599" t="s">
        <v>1559</v>
      </c>
      <c r="BC15" s="602" t="s">
        <v>154</v>
      </c>
      <c r="BD15" s="602" t="s">
        <v>154</v>
      </c>
      <c r="BE15" s="602" t="s">
        <v>154</v>
      </c>
      <c r="BF15" s="602" t="s">
        <v>154</v>
      </c>
      <c r="BG15" s="602" t="s">
        <v>154</v>
      </c>
      <c r="BH15" s="595" t="s">
        <v>1555</v>
      </c>
    </row>
    <row r="16" spans="1:60" s="1031" customFormat="1" ht="50.1" customHeight="1" x14ac:dyDescent="0.25">
      <c r="A16" s="2635"/>
      <c r="B16" s="2762"/>
      <c r="C16" s="2635"/>
      <c r="D16" s="2611"/>
      <c r="E16" s="2610"/>
      <c r="F16" s="2635"/>
      <c r="G16" s="2765"/>
      <c r="H16" s="2636"/>
      <c r="I16" s="2429"/>
      <c r="J16" s="2603"/>
      <c r="K16" s="2635"/>
      <c r="L16" s="2635"/>
      <c r="M16" s="2603"/>
      <c r="N16" s="2636"/>
      <c r="O16" s="2429"/>
      <c r="P16" s="2789"/>
      <c r="Q16" s="2792"/>
      <c r="R16" s="2428"/>
      <c r="S16" s="2428"/>
      <c r="T16" s="1035" t="s">
        <v>1560</v>
      </c>
      <c r="U16" s="1033">
        <v>110991608</v>
      </c>
      <c r="V16" s="1034">
        <v>0</v>
      </c>
      <c r="W16" s="865">
        <v>0</v>
      </c>
      <c r="X16" s="2636"/>
      <c r="Y16" s="2636"/>
      <c r="Z16" s="2636"/>
      <c r="AA16" s="2636"/>
      <c r="AB16" s="2636"/>
      <c r="AC16" s="2636"/>
      <c r="AD16" s="2636"/>
      <c r="AE16" s="2636"/>
      <c r="AF16" s="2795"/>
      <c r="AG16" s="2636"/>
      <c r="AH16" s="2636"/>
      <c r="AI16" s="2636"/>
      <c r="AJ16" s="2636"/>
      <c r="AK16" s="2636"/>
      <c r="AL16" s="2636"/>
      <c r="AM16" s="2636"/>
      <c r="AN16" s="2636"/>
      <c r="AO16" s="2636"/>
      <c r="AP16" s="2636"/>
      <c r="AQ16" s="2636"/>
      <c r="AR16" s="2636"/>
      <c r="AS16" s="2636"/>
      <c r="AT16" s="2636"/>
      <c r="AU16" s="2636"/>
      <c r="AV16" s="2636"/>
      <c r="AW16" s="2636"/>
      <c r="AX16" s="2528"/>
      <c r="AY16" s="2636"/>
      <c r="AZ16" s="2798"/>
      <c r="BA16" s="2789"/>
      <c r="BB16" s="599" t="s">
        <v>1561</v>
      </c>
      <c r="BC16" s="602" t="s">
        <v>154</v>
      </c>
      <c r="BD16" s="602" t="s">
        <v>154</v>
      </c>
      <c r="BE16" s="602" t="s">
        <v>154</v>
      </c>
      <c r="BF16" s="602" t="s">
        <v>154</v>
      </c>
      <c r="BG16" s="602" t="s">
        <v>154</v>
      </c>
      <c r="BH16" s="595" t="s">
        <v>1555</v>
      </c>
    </row>
    <row r="17" spans="1:60" s="1031" customFormat="1" ht="50.1" customHeight="1" x14ac:dyDescent="0.25">
      <c r="A17" s="2635"/>
      <c r="B17" s="2762"/>
      <c r="C17" s="2635"/>
      <c r="D17" s="2611"/>
      <c r="E17" s="2610"/>
      <c r="F17" s="2635"/>
      <c r="G17" s="2765"/>
      <c r="H17" s="2634">
        <v>9</v>
      </c>
      <c r="I17" s="2424" t="s">
        <v>1546</v>
      </c>
      <c r="J17" s="2603"/>
      <c r="K17" s="2635"/>
      <c r="L17" s="2635"/>
      <c r="M17" s="2603"/>
      <c r="N17" s="2634">
        <v>23</v>
      </c>
      <c r="O17" s="2424" t="s">
        <v>1562</v>
      </c>
      <c r="P17" s="2787">
        <f>+(U18+U17)/($Q$13+$Q$17)</f>
        <v>0.43125268384809873</v>
      </c>
      <c r="Q17" s="2790">
        <v>627641537</v>
      </c>
      <c r="R17" s="2424" t="s">
        <v>1563</v>
      </c>
      <c r="S17" s="595" t="s">
        <v>1564</v>
      </c>
      <c r="T17" s="2634" t="s">
        <v>1565</v>
      </c>
      <c r="U17" s="1036">
        <v>534400000</v>
      </c>
      <c r="V17" s="1034">
        <v>0</v>
      </c>
      <c r="W17" s="865">
        <v>0</v>
      </c>
      <c r="X17" s="2634">
        <v>23</v>
      </c>
      <c r="Y17" s="580" t="s">
        <v>1566</v>
      </c>
      <c r="Z17" s="2634">
        <v>55079</v>
      </c>
      <c r="AA17" s="2634">
        <v>0</v>
      </c>
      <c r="AB17" s="2634">
        <v>63164</v>
      </c>
      <c r="AC17" s="2634">
        <v>0</v>
      </c>
      <c r="AD17" s="2634">
        <v>45607</v>
      </c>
      <c r="AE17" s="2634">
        <v>0</v>
      </c>
      <c r="AF17" s="2634">
        <v>140912</v>
      </c>
      <c r="AG17" s="2634">
        <v>0</v>
      </c>
      <c r="AH17" s="2634">
        <v>365607</v>
      </c>
      <c r="AI17" s="2634">
        <v>0</v>
      </c>
      <c r="AJ17" s="2634">
        <v>75612</v>
      </c>
      <c r="AK17" s="2634">
        <v>0</v>
      </c>
      <c r="AL17" s="2634">
        <v>12718</v>
      </c>
      <c r="AM17" s="2634">
        <v>0</v>
      </c>
      <c r="AN17" s="2634">
        <v>2145</v>
      </c>
      <c r="AO17" s="2634">
        <v>0</v>
      </c>
      <c r="AP17" s="2634">
        <v>413</v>
      </c>
      <c r="AQ17" s="2634">
        <v>0</v>
      </c>
      <c r="AR17" s="2634">
        <v>0</v>
      </c>
      <c r="AS17" s="2634">
        <v>0</v>
      </c>
      <c r="AT17" s="2634">
        <v>16897</v>
      </c>
      <c r="AU17" s="2634">
        <v>0</v>
      </c>
      <c r="AV17" s="2634">
        <v>75612</v>
      </c>
      <c r="AW17" s="2634">
        <v>0</v>
      </c>
      <c r="AX17" s="865">
        <v>0</v>
      </c>
      <c r="AY17" s="602">
        <v>0</v>
      </c>
      <c r="AZ17" s="1037">
        <v>0</v>
      </c>
      <c r="BA17" s="594">
        <f>AY17/Q17</f>
        <v>0</v>
      </c>
      <c r="BB17" s="599" t="s">
        <v>1554</v>
      </c>
      <c r="BC17" s="602" t="s">
        <v>154</v>
      </c>
      <c r="BD17" s="602" t="s">
        <v>154</v>
      </c>
      <c r="BE17" s="602" t="s">
        <v>154</v>
      </c>
      <c r="BF17" s="602" t="s">
        <v>154</v>
      </c>
      <c r="BG17" s="602" t="s">
        <v>154</v>
      </c>
      <c r="BH17" s="595" t="s">
        <v>1555</v>
      </c>
    </row>
    <row r="18" spans="1:60" s="1031" customFormat="1" ht="50.1" customHeight="1" x14ac:dyDescent="0.25">
      <c r="A18" s="2635"/>
      <c r="B18" s="2762"/>
      <c r="C18" s="2635"/>
      <c r="D18" s="2611"/>
      <c r="E18" s="2610"/>
      <c r="F18" s="2635"/>
      <c r="G18" s="2765"/>
      <c r="H18" s="2636"/>
      <c r="I18" s="2429"/>
      <c r="J18" s="2596"/>
      <c r="K18" s="2636"/>
      <c r="L18" s="2636"/>
      <c r="M18" s="2603"/>
      <c r="N18" s="2636"/>
      <c r="O18" s="2429"/>
      <c r="P18" s="2789"/>
      <c r="Q18" s="2792"/>
      <c r="R18" s="2429"/>
      <c r="S18" s="595" t="s">
        <v>1567</v>
      </c>
      <c r="T18" s="2636"/>
      <c r="U18" s="1038">
        <v>93241537</v>
      </c>
      <c r="V18" s="1034">
        <v>21540281.98</v>
      </c>
      <c r="W18" s="865">
        <v>0</v>
      </c>
      <c r="X18" s="2636"/>
      <c r="Y18" s="602" t="s">
        <v>1553</v>
      </c>
      <c r="Z18" s="2636"/>
      <c r="AA18" s="2636"/>
      <c r="AB18" s="2636"/>
      <c r="AC18" s="2636"/>
      <c r="AD18" s="2636"/>
      <c r="AE18" s="2636"/>
      <c r="AF18" s="2636"/>
      <c r="AG18" s="2636"/>
      <c r="AH18" s="2636"/>
      <c r="AI18" s="2636"/>
      <c r="AJ18" s="2636"/>
      <c r="AK18" s="2636"/>
      <c r="AL18" s="2636"/>
      <c r="AM18" s="2636"/>
      <c r="AN18" s="2636"/>
      <c r="AO18" s="2636"/>
      <c r="AP18" s="2636"/>
      <c r="AQ18" s="2636"/>
      <c r="AR18" s="2636"/>
      <c r="AS18" s="2636"/>
      <c r="AT18" s="2636"/>
      <c r="AU18" s="2636"/>
      <c r="AV18" s="2636"/>
      <c r="AW18" s="2636"/>
      <c r="AX18" s="865">
        <v>1</v>
      </c>
      <c r="AY18" s="602">
        <v>21540281.98</v>
      </c>
      <c r="AZ18" s="1037">
        <v>0</v>
      </c>
      <c r="BA18" s="594">
        <v>0</v>
      </c>
      <c r="BB18" s="599" t="s">
        <v>1568</v>
      </c>
      <c r="BC18" s="580" t="s">
        <v>1569</v>
      </c>
      <c r="BD18" s="965">
        <v>42737</v>
      </c>
      <c r="BE18" s="602" t="s">
        <v>1570</v>
      </c>
      <c r="BF18" s="602" t="s">
        <v>1571</v>
      </c>
      <c r="BG18" s="610">
        <v>42799</v>
      </c>
      <c r="BH18" s="595" t="s">
        <v>1555</v>
      </c>
    </row>
    <row r="19" spans="1:60" s="1031" customFormat="1" ht="50.1" customHeight="1" x14ac:dyDescent="0.25">
      <c r="A19" s="2635"/>
      <c r="B19" s="2762"/>
      <c r="C19" s="2635"/>
      <c r="D19" s="2611"/>
      <c r="E19" s="2610"/>
      <c r="F19" s="2635"/>
      <c r="G19" s="2765"/>
      <c r="H19" s="2634">
        <v>10</v>
      </c>
      <c r="I19" s="2424" t="s">
        <v>1572</v>
      </c>
      <c r="J19" s="2595" t="s">
        <v>1573</v>
      </c>
      <c r="K19" s="2634">
        <v>5</v>
      </c>
      <c r="L19" s="2634">
        <v>0</v>
      </c>
      <c r="M19" s="2603"/>
      <c r="N19" s="2634">
        <v>24</v>
      </c>
      <c r="O19" s="2424" t="s">
        <v>1574</v>
      </c>
      <c r="P19" s="2787">
        <v>1</v>
      </c>
      <c r="Q19" s="2790">
        <v>49717418</v>
      </c>
      <c r="R19" s="2424" t="s">
        <v>1575</v>
      </c>
      <c r="S19" s="2424" t="s">
        <v>1576</v>
      </c>
      <c r="T19" s="2634" t="s">
        <v>1577</v>
      </c>
      <c r="U19" s="2783">
        <v>49717418</v>
      </c>
      <c r="V19" s="2785">
        <v>0</v>
      </c>
      <c r="W19" s="2527">
        <v>0</v>
      </c>
      <c r="X19" s="2634">
        <v>24</v>
      </c>
      <c r="Y19" s="2595" t="s">
        <v>1566</v>
      </c>
      <c r="Z19" s="2634">
        <v>45983</v>
      </c>
      <c r="AA19" s="1039"/>
      <c r="AB19" s="2634">
        <v>90390</v>
      </c>
      <c r="AC19" s="2634">
        <v>0</v>
      </c>
      <c r="AD19" s="2634">
        <v>4644</v>
      </c>
      <c r="AE19" s="2634">
        <v>0</v>
      </c>
      <c r="AF19" s="2634">
        <v>49316</v>
      </c>
      <c r="AG19" s="2634">
        <v>0</v>
      </c>
      <c r="AH19" s="2634">
        <v>44436</v>
      </c>
      <c r="AI19" s="2634">
        <v>0</v>
      </c>
      <c r="AJ19" s="2634">
        <v>81384</v>
      </c>
      <c r="AK19" s="2634">
        <v>0</v>
      </c>
      <c r="AL19" s="2634">
        <v>12178</v>
      </c>
      <c r="AM19" s="2634">
        <v>0</v>
      </c>
      <c r="AN19" s="2634">
        <v>2145</v>
      </c>
      <c r="AO19" s="2634">
        <v>0</v>
      </c>
      <c r="AP19" s="2634">
        <v>0</v>
      </c>
      <c r="AQ19" s="2634">
        <v>0</v>
      </c>
      <c r="AR19" s="2634">
        <v>0</v>
      </c>
      <c r="AS19" s="2634">
        <v>0</v>
      </c>
      <c r="AT19" s="2634">
        <v>0</v>
      </c>
      <c r="AU19" s="2634">
        <v>0</v>
      </c>
      <c r="AV19" s="2634">
        <v>81384</v>
      </c>
      <c r="AW19" s="2634">
        <v>0</v>
      </c>
      <c r="AX19" s="2527">
        <v>0</v>
      </c>
      <c r="AY19" s="2634">
        <v>0</v>
      </c>
      <c r="AZ19" s="2796">
        <v>0</v>
      </c>
      <c r="BA19" s="2787">
        <f>V19/Q19</f>
        <v>0</v>
      </c>
      <c r="BB19" s="2800" t="s">
        <v>1554</v>
      </c>
      <c r="BC19" s="602" t="s">
        <v>154</v>
      </c>
      <c r="BD19" s="602" t="s">
        <v>154</v>
      </c>
      <c r="BE19" s="602" t="s">
        <v>154</v>
      </c>
      <c r="BF19" s="602" t="s">
        <v>154</v>
      </c>
      <c r="BG19" s="602" t="s">
        <v>154</v>
      </c>
      <c r="BH19" s="595" t="s">
        <v>1555</v>
      </c>
    </row>
    <row r="20" spans="1:60" s="1031" customFormat="1" ht="50.1" customHeight="1" x14ac:dyDescent="0.25">
      <c r="A20" s="2635"/>
      <c r="B20" s="2762"/>
      <c r="C20" s="2635"/>
      <c r="D20" s="2611"/>
      <c r="E20" s="2610"/>
      <c r="F20" s="2635"/>
      <c r="G20" s="2765"/>
      <c r="H20" s="2636"/>
      <c r="I20" s="2429"/>
      <c r="J20" s="2596"/>
      <c r="K20" s="2636"/>
      <c r="L20" s="2636"/>
      <c r="M20" s="2596"/>
      <c r="N20" s="2636"/>
      <c r="O20" s="2429"/>
      <c r="P20" s="2789"/>
      <c r="Q20" s="2792"/>
      <c r="R20" s="2429"/>
      <c r="S20" s="2429"/>
      <c r="T20" s="2636"/>
      <c r="U20" s="2784"/>
      <c r="V20" s="2786"/>
      <c r="W20" s="2528"/>
      <c r="X20" s="2636"/>
      <c r="Y20" s="2596"/>
      <c r="Z20" s="2636"/>
      <c r="AA20" s="1040">
        <v>0</v>
      </c>
      <c r="AB20" s="2636"/>
      <c r="AC20" s="2636"/>
      <c r="AD20" s="2636"/>
      <c r="AE20" s="2636"/>
      <c r="AF20" s="2636"/>
      <c r="AG20" s="2636"/>
      <c r="AH20" s="2636"/>
      <c r="AI20" s="2636"/>
      <c r="AJ20" s="2636"/>
      <c r="AK20" s="2636"/>
      <c r="AL20" s="2636"/>
      <c r="AM20" s="2636"/>
      <c r="AN20" s="2636"/>
      <c r="AO20" s="2636"/>
      <c r="AP20" s="2636"/>
      <c r="AQ20" s="2636"/>
      <c r="AR20" s="2636"/>
      <c r="AS20" s="2636"/>
      <c r="AT20" s="2636"/>
      <c r="AU20" s="2636"/>
      <c r="AV20" s="2636"/>
      <c r="AW20" s="2636"/>
      <c r="AX20" s="2528"/>
      <c r="AY20" s="2636"/>
      <c r="AZ20" s="2798"/>
      <c r="BA20" s="2789"/>
      <c r="BB20" s="2801"/>
      <c r="BC20" s="602" t="s">
        <v>154</v>
      </c>
      <c r="BD20" s="602" t="s">
        <v>154</v>
      </c>
      <c r="BE20" s="602" t="s">
        <v>154</v>
      </c>
      <c r="BF20" s="602" t="s">
        <v>154</v>
      </c>
      <c r="BG20" s="602" t="s">
        <v>154</v>
      </c>
      <c r="BH20" s="595" t="s">
        <v>1555</v>
      </c>
    </row>
    <row r="21" spans="1:60" s="1031" customFormat="1" ht="50.1" customHeight="1" x14ac:dyDescent="0.25">
      <c r="A21" s="2635"/>
      <c r="B21" s="2762"/>
      <c r="C21" s="2635"/>
      <c r="D21" s="2611"/>
      <c r="E21" s="2610"/>
      <c r="F21" s="2635"/>
      <c r="G21" s="2765"/>
      <c r="H21" s="2634">
        <v>11</v>
      </c>
      <c r="I21" s="2424" t="s">
        <v>1578</v>
      </c>
      <c r="J21" s="2595" t="s">
        <v>1579</v>
      </c>
      <c r="K21" s="2634">
        <v>1</v>
      </c>
      <c r="L21" s="2634">
        <v>0</v>
      </c>
      <c r="M21" s="2419" t="s">
        <v>1580</v>
      </c>
      <c r="N21" s="2634">
        <v>25</v>
      </c>
      <c r="O21" s="2424" t="s">
        <v>1581</v>
      </c>
      <c r="P21" s="2634">
        <v>100</v>
      </c>
      <c r="Q21" s="2790">
        <v>324800000</v>
      </c>
      <c r="R21" s="2424" t="s">
        <v>1582</v>
      </c>
      <c r="S21" s="2424" t="s">
        <v>1583</v>
      </c>
      <c r="T21" s="2595" t="s">
        <v>1584</v>
      </c>
      <c r="U21" s="2783">
        <v>324800000</v>
      </c>
      <c r="V21" s="2785">
        <v>0</v>
      </c>
      <c r="W21" s="2804">
        <v>0</v>
      </c>
      <c r="X21" s="2634">
        <v>25</v>
      </c>
      <c r="Y21" s="2595" t="s">
        <v>1566</v>
      </c>
      <c r="Z21" s="2634">
        <v>45983</v>
      </c>
      <c r="AA21" s="2634">
        <v>0</v>
      </c>
      <c r="AB21" s="2634">
        <v>90390</v>
      </c>
      <c r="AC21" s="2634">
        <v>0</v>
      </c>
      <c r="AD21" s="2634">
        <v>46444</v>
      </c>
      <c r="AE21" s="2634">
        <v>0</v>
      </c>
      <c r="AF21" s="2634">
        <v>49316</v>
      </c>
      <c r="AG21" s="2634">
        <v>0</v>
      </c>
      <c r="AH21" s="2634">
        <v>44436</v>
      </c>
      <c r="AI21" s="2634">
        <v>0</v>
      </c>
      <c r="AJ21" s="2634">
        <v>81384</v>
      </c>
      <c r="AK21" s="2634">
        <v>0</v>
      </c>
      <c r="AL21" s="2634">
        <v>12278</v>
      </c>
      <c r="AM21" s="2634">
        <v>0</v>
      </c>
      <c r="AN21" s="2634">
        <v>2145</v>
      </c>
      <c r="AO21" s="2634">
        <v>0</v>
      </c>
      <c r="AP21" s="2634">
        <v>0</v>
      </c>
      <c r="AQ21" s="2634">
        <v>0</v>
      </c>
      <c r="AR21" s="2634">
        <v>0</v>
      </c>
      <c r="AS21" s="2634">
        <v>0</v>
      </c>
      <c r="AT21" s="2634">
        <v>0</v>
      </c>
      <c r="AU21" s="2634">
        <v>0</v>
      </c>
      <c r="AV21" s="2634">
        <v>81384</v>
      </c>
      <c r="AW21" s="2634">
        <v>0</v>
      </c>
      <c r="AX21" s="2527">
        <v>0</v>
      </c>
      <c r="AY21" s="2634">
        <v>0</v>
      </c>
      <c r="AZ21" s="2796">
        <v>0</v>
      </c>
      <c r="BA21" s="2787">
        <f>V21/Q21</f>
        <v>0</v>
      </c>
      <c r="BB21" s="2800" t="s">
        <v>1554</v>
      </c>
      <c r="BC21" s="602" t="s">
        <v>154</v>
      </c>
      <c r="BD21" s="602" t="s">
        <v>154</v>
      </c>
      <c r="BE21" s="602" t="s">
        <v>154</v>
      </c>
      <c r="BF21" s="602" t="s">
        <v>154</v>
      </c>
      <c r="BG21" s="602" t="s">
        <v>154</v>
      </c>
      <c r="BH21" s="595" t="s">
        <v>1555</v>
      </c>
    </row>
    <row r="22" spans="1:60" s="1031" customFormat="1" ht="50.1" customHeight="1" x14ac:dyDescent="0.25">
      <c r="A22" s="2635"/>
      <c r="B22" s="2762"/>
      <c r="C22" s="2635"/>
      <c r="D22" s="2611"/>
      <c r="E22" s="2610"/>
      <c r="F22" s="2635"/>
      <c r="G22" s="2765"/>
      <c r="H22" s="2635"/>
      <c r="I22" s="2428"/>
      <c r="J22" s="2603"/>
      <c r="K22" s="2635"/>
      <c r="L22" s="2635"/>
      <c r="M22" s="2419"/>
      <c r="N22" s="2635"/>
      <c r="O22" s="2428"/>
      <c r="P22" s="2635"/>
      <c r="Q22" s="2791"/>
      <c r="R22" s="2428"/>
      <c r="S22" s="2428"/>
      <c r="T22" s="2603"/>
      <c r="U22" s="2799"/>
      <c r="V22" s="2803"/>
      <c r="W22" s="2805"/>
      <c r="X22" s="2635"/>
      <c r="Y22" s="2603"/>
      <c r="Z22" s="2635"/>
      <c r="AA22" s="2635"/>
      <c r="AB22" s="2635"/>
      <c r="AC22" s="2635"/>
      <c r="AD22" s="2635"/>
      <c r="AE22" s="2635"/>
      <c r="AF22" s="2635"/>
      <c r="AG22" s="2635"/>
      <c r="AH22" s="2635"/>
      <c r="AI22" s="2635"/>
      <c r="AJ22" s="2635"/>
      <c r="AK22" s="2635"/>
      <c r="AL22" s="2635"/>
      <c r="AM22" s="2635"/>
      <c r="AN22" s="2635"/>
      <c r="AO22" s="2635"/>
      <c r="AP22" s="2635"/>
      <c r="AQ22" s="2635"/>
      <c r="AR22" s="2635"/>
      <c r="AS22" s="2635"/>
      <c r="AT22" s="2635"/>
      <c r="AU22" s="2635"/>
      <c r="AV22" s="2635"/>
      <c r="AW22" s="2635"/>
      <c r="AX22" s="2639"/>
      <c r="AY22" s="2635"/>
      <c r="AZ22" s="2797"/>
      <c r="BA22" s="2788"/>
      <c r="BB22" s="2802"/>
      <c r="BC22" s="602" t="s">
        <v>154</v>
      </c>
      <c r="BD22" s="602" t="s">
        <v>154</v>
      </c>
      <c r="BE22" s="602" t="s">
        <v>154</v>
      </c>
      <c r="BF22" s="602" t="s">
        <v>154</v>
      </c>
      <c r="BG22" s="602" t="s">
        <v>154</v>
      </c>
      <c r="BH22" s="595" t="s">
        <v>1555</v>
      </c>
    </row>
    <row r="23" spans="1:60" s="1031" customFormat="1" ht="50.1" customHeight="1" x14ac:dyDescent="0.25">
      <c r="A23" s="2635"/>
      <c r="B23" s="2762"/>
      <c r="C23" s="2635"/>
      <c r="D23" s="2611"/>
      <c r="E23" s="2610"/>
      <c r="F23" s="2635"/>
      <c r="G23" s="2765"/>
      <c r="H23" s="2635"/>
      <c r="I23" s="2428"/>
      <c r="J23" s="2603"/>
      <c r="K23" s="2635"/>
      <c r="L23" s="2635"/>
      <c r="M23" s="2419"/>
      <c r="N23" s="2635"/>
      <c r="O23" s="2428"/>
      <c r="P23" s="2635"/>
      <c r="Q23" s="2791"/>
      <c r="R23" s="2428"/>
      <c r="S23" s="2428"/>
      <c r="T23" s="2603"/>
      <c r="U23" s="2799"/>
      <c r="V23" s="2803"/>
      <c r="W23" s="2805"/>
      <c r="X23" s="2635"/>
      <c r="Y23" s="2603"/>
      <c r="Z23" s="2635"/>
      <c r="AA23" s="2635"/>
      <c r="AB23" s="2635"/>
      <c r="AC23" s="2635"/>
      <c r="AD23" s="2635"/>
      <c r="AE23" s="2635"/>
      <c r="AF23" s="2635"/>
      <c r="AG23" s="2635"/>
      <c r="AH23" s="2635"/>
      <c r="AI23" s="2635"/>
      <c r="AJ23" s="2635"/>
      <c r="AK23" s="2635"/>
      <c r="AL23" s="2635"/>
      <c r="AM23" s="2635"/>
      <c r="AN23" s="2635"/>
      <c r="AO23" s="2635"/>
      <c r="AP23" s="2635"/>
      <c r="AQ23" s="2635"/>
      <c r="AR23" s="2635"/>
      <c r="AS23" s="2635"/>
      <c r="AT23" s="2635"/>
      <c r="AU23" s="2635"/>
      <c r="AV23" s="2635"/>
      <c r="AW23" s="2635"/>
      <c r="AX23" s="2639"/>
      <c r="AY23" s="2635"/>
      <c r="AZ23" s="2797"/>
      <c r="BA23" s="2788"/>
      <c r="BB23" s="2802"/>
      <c r="BC23" s="602" t="s">
        <v>154</v>
      </c>
      <c r="BD23" s="602" t="s">
        <v>154</v>
      </c>
      <c r="BE23" s="602" t="s">
        <v>154</v>
      </c>
      <c r="BF23" s="602" t="s">
        <v>154</v>
      </c>
      <c r="BG23" s="602" t="s">
        <v>154</v>
      </c>
      <c r="BH23" s="595" t="s">
        <v>1555</v>
      </c>
    </row>
    <row r="24" spans="1:60" s="1031" customFormat="1" ht="50.1" customHeight="1" x14ac:dyDescent="0.25">
      <c r="A24" s="2635"/>
      <c r="B24" s="2762"/>
      <c r="C24" s="2635"/>
      <c r="D24" s="2611"/>
      <c r="E24" s="2610"/>
      <c r="F24" s="2635"/>
      <c r="G24" s="2765"/>
      <c r="H24" s="2635"/>
      <c r="I24" s="2428"/>
      <c r="J24" s="2603"/>
      <c r="K24" s="2635"/>
      <c r="L24" s="2635"/>
      <c r="M24" s="2419"/>
      <c r="N24" s="2635"/>
      <c r="O24" s="2428"/>
      <c r="P24" s="2635"/>
      <c r="Q24" s="2791"/>
      <c r="R24" s="2428"/>
      <c r="S24" s="2428"/>
      <c r="T24" s="2603"/>
      <c r="U24" s="2799"/>
      <c r="V24" s="2803"/>
      <c r="W24" s="2805"/>
      <c r="X24" s="2635"/>
      <c r="Y24" s="2603"/>
      <c r="Z24" s="2635"/>
      <c r="AA24" s="2635"/>
      <c r="AB24" s="2635"/>
      <c r="AC24" s="2635"/>
      <c r="AD24" s="2635"/>
      <c r="AE24" s="2635"/>
      <c r="AF24" s="2635"/>
      <c r="AG24" s="2635"/>
      <c r="AH24" s="2635"/>
      <c r="AI24" s="2635"/>
      <c r="AJ24" s="2635"/>
      <c r="AK24" s="2635"/>
      <c r="AL24" s="2635"/>
      <c r="AM24" s="2635"/>
      <c r="AN24" s="2635"/>
      <c r="AO24" s="2635"/>
      <c r="AP24" s="2635"/>
      <c r="AQ24" s="2635"/>
      <c r="AR24" s="2635"/>
      <c r="AS24" s="2635"/>
      <c r="AT24" s="2635"/>
      <c r="AU24" s="2635"/>
      <c r="AV24" s="2635"/>
      <c r="AW24" s="2635"/>
      <c r="AX24" s="2639"/>
      <c r="AY24" s="2635"/>
      <c r="AZ24" s="2797"/>
      <c r="BA24" s="2788"/>
      <c r="BB24" s="2802"/>
      <c r="BC24" s="602" t="s">
        <v>154</v>
      </c>
      <c r="BD24" s="602" t="s">
        <v>154</v>
      </c>
      <c r="BE24" s="602" t="s">
        <v>154</v>
      </c>
      <c r="BF24" s="602" t="s">
        <v>154</v>
      </c>
      <c r="BG24" s="602" t="s">
        <v>154</v>
      </c>
      <c r="BH24" s="595" t="s">
        <v>1555</v>
      </c>
    </row>
    <row r="25" spans="1:60" s="1031" customFormat="1" ht="50.1" customHeight="1" x14ac:dyDescent="0.25">
      <c r="A25" s="2635"/>
      <c r="B25" s="2762"/>
      <c r="C25" s="2635"/>
      <c r="D25" s="2611"/>
      <c r="E25" s="2610"/>
      <c r="F25" s="2635"/>
      <c r="G25" s="2765"/>
      <c r="H25" s="2636"/>
      <c r="I25" s="2429"/>
      <c r="J25" s="2596"/>
      <c r="K25" s="2636"/>
      <c r="L25" s="2636"/>
      <c r="M25" s="2419"/>
      <c r="N25" s="2636"/>
      <c r="O25" s="2429"/>
      <c r="P25" s="2636"/>
      <c r="Q25" s="2792"/>
      <c r="R25" s="2429"/>
      <c r="S25" s="2429"/>
      <c r="T25" s="2596"/>
      <c r="U25" s="2784"/>
      <c r="V25" s="2786"/>
      <c r="W25" s="2806"/>
      <c r="X25" s="2636"/>
      <c r="Y25" s="2596"/>
      <c r="Z25" s="2636"/>
      <c r="AA25" s="2636"/>
      <c r="AB25" s="2636"/>
      <c r="AC25" s="2636"/>
      <c r="AD25" s="2636"/>
      <c r="AE25" s="2636"/>
      <c r="AF25" s="2636"/>
      <c r="AG25" s="2636"/>
      <c r="AH25" s="2636"/>
      <c r="AI25" s="2636"/>
      <c r="AJ25" s="2636"/>
      <c r="AK25" s="2636"/>
      <c r="AL25" s="2636"/>
      <c r="AM25" s="2636"/>
      <c r="AN25" s="2636"/>
      <c r="AO25" s="2636"/>
      <c r="AP25" s="2636"/>
      <c r="AQ25" s="2636"/>
      <c r="AR25" s="2636"/>
      <c r="AS25" s="2636"/>
      <c r="AT25" s="2636"/>
      <c r="AU25" s="2636"/>
      <c r="AV25" s="2636"/>
      <c r="AW25" s="2636"/>
      <c r="AX25" s="2528"/>
      <c r="AY25" s="2636"/>
      <c r="AZ25" s="2798"/>
      <c r="BA25" s="2789"/>
      <c r="BB25" s="2801"/>
      <c r="BC25" s="602" t="s">
        <v>154</v>
      </c>
      <c r="BD25" s="602" t="s">
        <v>154</v>
      </c>
      <c r="BE25" s="602" t="s">
        <v>154</v>
      </c>
      <c r="BF25" s="602" t="s">
        <v>154</v>
      </c>
      <c r="BG25" s="602" t="s">
        <v>154</v>
      </c>
      <c r="BH25" s="595" t="s">
        <v>1555</v>
      </c>
    </row>
    <row r="26" spans="1:60" s="1031" customFormat="1" ht="50.1" customHeight="1" x14ac:dyDescent="0.25">
      <c r="A26" s="2635"/>
      <c r="B26" s="2762"/>
      <c r="C26" s="2635"/>
      <c r="D26" s="2611"/>
      <c r="E26" s="2610"/>
      <c r="F26" s="2635"/>
      <c r="G26" s="2765"/>
      <c r="H26" s="2634">
        <v>12</v>
      </c>
      <c r="I26" s="2424" t="s">
        <v>1585</v>
      </c>
      <c r="J26" s="2595" t="s">
        <v>1586</v>
      </c>
      <c r="K26" s="2634">
        <v>3</v>
      </c>
      <c r="L26" s="2634">
        <v>0</v>
      </c>
      <c r="M26" s="2595" t="s">
        <v>1580</v>
      </c>
      <c r="N26" s="2634">
        <v>26</v>
      </c>
      <c r="O26" s="2424" t="s">
        <v>1587</v>
      </c>
      <c r="P26" s="2634">
        <v>100</v>
      </c>
      <c r="Q26" s="2790">
        <v>1032300000</v>
      </c>
      <c r="R26" s="2424" t="s">
        <v>1588</v>
      </c>
      <c r="S26" s="595" t="s">
        <v>1589</v>
      </c>
      <c r="T26" s="580" t="s">
        <v>1590</v>
      </c>
      <c r="U26" s="1033">
        <v>282300000</v>
      </c>
      <c r="V26" s="1034">
        <v>0</v>
      </c>
      <c r="W26" s="1041">
        <v>0</v>
      </c>
      <c r="X26" s="2634">
        <v>26</v>
      </c>
      <c r="Y26" s="2595" t="s">
        <v>1566</v>
      </c>
      <c r="Z26" s="2634">
        <v>55079</v>
      </c>
      <c r="AA26" s="2634">
        <v>0</v>
      </c>
      <c r="AB26" s="2634">
        <v>63164</v>
      </c>
      <c r="AC26" s="2634">
        <v>0</v>
      </c>
      <c r="AD26" s="2634">
        <v>45607</v>
      </c>
      <c r="AE26" s="2634">
        <v>0</v>
      </c>
      <c r="AF26" s="2634">
        <v>140912</v>
      </c>
      <c r="AG26" s="2634">
        <v>0</v>
      </c>
      <c r="AH26" s="2634">
        <v>365607</v>
      </c>
      <c r="AI26" s="2634">
        <v>0</v>
      </c>
      <c r="AJ26" s="2634">
        <v>75612</v>
      </c>
      <c r="AK26" s="2634">
        <v>0</v>
      </c>
      <c r="AL26" s="2634">
        <v>12718</v>
      </c>
      <c r="AM26" s="2634">
        <v>0</v>
      </c>
      <c r="AN26" s="2634">
        <v>2145</v>
      </c>
      <c r="AO26" s="2634">
        <v>0</v>
      </c>
      <c r="AP26" s="2634">
        <v>413</v>
      </c>
      <c r="AQ26" s="2634">
        <v>0</v>
      </c>
      <c r="AR26" s="2634">
        <v>0</v>
      </c>
      <c r="AS26" s="2634">
        <v>0</v>
      </c>
      <c r="AT26" s="2634">
        <v>0</v>
      </c>
      <c r="AU26" s="2634">
        <v>0</v>
      </c>
      <c r="AV26" s="2634">
        <v>75612</v>
      </c>
      <c r="AW26" s="2634">
        <v>0</v>
      </c>
      <c r="AX26" s="865">
        <v>0</v>
      </c>
      <c r="AY26" s="602">
        <v>0</v>
      </c>
      <c r="AZ26" s="1037">
        <v>0</v>
      </c>
      <c r="BA26" s="594">
        <f>V26/Q26</f>
        <v>0</v>
      </c>
      <c r="BB26" s="599" t="s">
        <v>1554</v>
      </c>
      <c r="BC26" s="602" t="s">
        <v>154</v>
      </c>
      <c r="BD26" s="602" t="s">
        <v>154</v>
      </c>
      <c r="BE26" s="602" t="s">
        <v>154</v>
      </c>
      <c r="BF26" s="602" t="s">
        <v>154</v>
      </c>
      <c r="BG26" s="602" t="s">
        <v>154</v>
      </c>
      <c r="BH26" s="595" t="s">
        <v>1555</v>
      </c>
    </row>
    <row r="27" spans="1:60" s="1031" customFormat="1" ht="50.1" customHeight="1" x14ac:dyDescent="0.25">
      <c r="A27" s="2635"/>
      <c r="B27" s="2762"/>
      <c r="C27" s="2635"/>
      <c r="D27" s="2611"/>
      <c r="E27" s="2610"/>
      <c r="F27" s="2635"/>
      <c r="G27" s="2765"/>
      <c r="H27" s="2636"/>
      <c r="I27" s="2429"/>
      <c r="J27" s="2596"/>
      <c r="K27" s="2636"/>
      <c r="L27" s="2636"/>
      <c r="M27" s="2596"/>
      <c r="N27" s="2636"/>
      <c r="O27" s="2429"/>
      <c r="P27" s="2636"/>
      <c r="Q27" s="2792"/>
      <c r="R27" s="2429"/>
      <c r="S27" s="595" t="s">
        <v>1591</v>
      </c>
      <c r="T27" s="580" t="s">
        <v>1592</v>
      </c>
      <c r="U27" s="1033">
        <v>750000000</v>
      </c>
      <c r="V27" s="1034">
        <v>0</v>
      </c>
      <c r="W27" s="1041">
        <v>0</v>
      </c>
      <c r="X27" s="2636"/>
      <c r="Y27" s="2596"/>
      <c r="Z27" s="2636"/>
      <c r="AA27" s="2636"/>
      <c r="AB27" s="2636"/>
      <c r="AC27" s="2636"/>
      <c r="AD27" s="2636"/>
      <c r="AE27" s="2636"/>
      <c r="AF27" s="2636"/>
      <c r="AG27" s="2636"/>
      <c r="AH27" s="2636"/>
      <c r="AI27" s="2636"/>
      <c r="AJ27" s="2636"/>
      <c r="AK27" s="2636"/>
      <c r="AL27" s="2636"/>
      <c r="AM27" s="2636"/>
      <c r="AN27" s="2636"/>
      <c r="AO27" s="2636"/>
      <c r="AP27" s="2636"/>
      <c r="AQ27" s="2636"/>
      <c r="AR27" s="2636"/>
      <c r="AS27" s="2636"/>
      <c r="AT27" s="2636"/>
      <c r="AU27" s="2636"/>
      <c r="AV27" s="2636"/>
      <c r="AW27" s="2636"/>
      <c r="AX27" s="865">
        <v>0</v>
      </c>
      <c r="AY27" s="602">
        <v>0</v>
      </c>
      <c r="AZ27" s="1037">
        <v>0</v>
      </c>
      <c r="BA27" s="594">
        <f t="shared" ref="BA27:BA29" si="0">V27/Q26</f>
        <v>0</v>
      </c>
      <c r="BB27" s="599" t="s">
        <v>1554</v>
      </c>
      <c r="BC27" s="602" t="s">
        <v>154</v>
      </c>
      <c r="BD27" s="602" t="s">
        <v>154</v>
      </c>
      <c r="BE27" s="602" t="s">
        <v>154</v>
      </c>
      <c r="BF27" s="602" t="s">
        <v>154</v>
      </c>
      <c r="BG27" s="602" t="s">
        <v>154</v>
      </c>
      <c r="BH27" s="595" t="s">
        <v>1555</v>
      </c>
    </row>
    <row r="28" spans="1:60" s="1031" customFormat="1" ht="72" customHeight="1" x14ac:dyDescent="0.25">
      <c r="A28" s="2635"/>
      <c r="B28" s="2762"/>
      <c r="C28" s="2635"/>
      <c r="D28" s="2611"/>
      <c r="E28" s="2610"/>
      <c r="F28" s="2635"/>
      <c r="G28" s="2765"/>
      <c r="H28" s="2634">
        <v>13</v>
      </c>
      <c r="I28" s="2424" t="s">
        <v>1593</v>
      </c>
      <c r="J28" s="2595" t="s">
        <v>1594</v>
      </c>
      <c r="K28" s="2634">
        <v>1</v>
      </c>
      <c r="L28" s="2634">
        <v>0</v>
      </c>
      <c r="M28" s="2595" t="s">
        <v>1595</v>
      </c>
      <c r="N28" s="2634">
        <v>27</v>
      </c>
      <c r="O28" s="2424" t="s">
        <v>1596</v>
      </c>
      <c r="P28" s="2634">
        <v>100</v>
      </c>
      <c r="Q28" s="2790">
        <v>265000000</v>
      </c>
      <c r="R28" s="2424" t="s">
        <v>1597</v>
      </c>
      <c r="S28" s="595" t="s">
        <v>1598</v>
      </c>
      <c r="T28" s="84" t="s">
        <v>1599</v>
      </c>
      <c r="U28" s="1033">
        <v>88333333</v>
      </c>
      <c r="V28" s="1034">
        <v>0</v>
      </c>
      <c r="W28" s="1041">
        <v>0</v>
      </c>
      <c r="X28" s="2634">
        <v>27</v>
      </c>
      <c r="Y28" s="2595" t="s">
        <v>1566</v>
      </c>
      <c r="Z28" s="2634">
        <v>55079</v>
      </c>
      <c r="AA28" s="2634">
        <v>0</v>
      </c>
      <c r="AB28" s="2634">
        <v>63164</v>
      </c>
      <c r="AC28" s="2634">
        <v>0</v>
      </c>
      <c r="AD28" s="2634">
        <v>45607</v>
      </c>
      <c r="AE28" s="2634">
        <v>0</v>
      </c>
      <c r="AF28" s="2634">
        <v>140912</v>
      </c>
      <c r="AG28" s="2634">
        <v>0</v>
      </c>
      <c r="AH28" s="2634">
        <v>365607</v>
      </c>
      <c r="AI28" s="2634">
        <v>0</v>
      </c>
      <c r="AJ28" s="2634">
        <v>75612</v>
      </c>
      <c r="AK28" s="2634">
        <v>0</v>
      </c>
      <c r="AL28" s="2634">
        <v>12718</v>
      </c>
      <c r="AM28" s="2634">
        <v>0</v>
      </c>
      <c r="AN28" s="2634">
        <v>2145</v>
      </c>
      <c r="AO28" s="2634">
        <v>0</v>
      </c>
      <c r="AP28" s="2634">
        <v>413</v>
      </c>
      <c r="AQ28" s="2634">
        <v>0</v>
      </c>
      <c r="AR28" s="2634">
        <v>0</v>
      </c>
      <c r="AS28" s="2634">
        <v>0</v>
      </c>
      <c r="AT28" s="2634">
        <v>16897</v>
      </c>
      <c r="AU28" s="2634">
        <v>0</v>
      </c>
      <c r="AV28" s="2634">
        <v>75612</v>
      </c>
      <c r="AW28" s="2634">
        <v>0</v>
      </c>
      <c r="AX28" s="865">
        <v>0</v>
      </c>
      <c r="AY28" s="602">
        <v>0</v>
      </c>
      <c r="AZ28" s="1037">
        <v>0</v>
      </c>
      <c r="BA28" s="594">
        <f>V28/Q28</f>
        <v>0</v>
      </c>
      <c r="BB28" s="599" t="s">
        <v>1554</v>
      </c>
      <c r="BC28" s="602" t="s">
        <v>154</v>
      </c>
      <c r="BD28" s="602" t="s">
        <v>154</v>
      </c>
      <c r="BE28" s="602" t="s">
        <v>154</v>
      </c>
      <c r="BF28" s="602" t="s">
        <v>154</v>
      </c>
      <c r="BG28" s="602" t="s">
        <v>154</v>
      </c>
      <c r="BH28" s="595" t="s">
        <v>1555</v>
      </c>
    </row>
    <row r="29" spans="1:60" s="1031" customFormat="1" ht="50.1" customHeight="1" x14ac:dyDescent="0.25">
      <c r="A29" s="2635"/>
      <c r="B29" s="2762"/>
      <c r="C29" s="2635"/>
      <c r="D29" s="2611"/>
      <c r="E29" s="2610"/>
      <c r="F29" s="2635"/>
      <c r="G29" s="2765"/>
      <c r="H29" s="2635"/>
      <c r="I29" s="2428"/>
      <c r="J29" s="2603"/>
      <c r="K29" s="2635"/>
      <c r="L29" s="2635"/>
      <c r="M29" s="2603"/>
      <c r="N29" s="2635"/>
      <c r="O29" s="2428"/>
      <c r="P29" s="2635"/>
      <c r="Q29" s="2791"/>
      <c r="R29" s="2428"/>
      <c r="S29" s="2424" t="s">
        <v>1599</v>
      </c>
      <c r="T29" s="84" t="s">
        <v>1600</v>
      </c>
      <c r="U29" s="1033">
        <v>88333334</v>
      </c>
      <c r="V29" s="1034">
        <v>0</v>
      </c>
      <c r="W29" s="1041">
        <v>0</v>
      </c>
      <c r="X29" s="2635"/>
      <c r="Y29" s="2603"/>
      <c r="Z29" s="2635"/>
      <c r="AA29" s="2635"/>
      <c r="AB29" s="2635"/>
      <c r="AC29" s="2635"/>
      <c r="AD29" s="2635"/>
      <c r="AE29" s="2635"/>
      <c r="AF29" s="2635"/>
      <c r="AG29" s="2635"/>
      <c r="AH29" s="2635"/>
      <c r="AI29" s="2635"/>
      <c r="AJ29" s="2635"/>
      <c r="AK29" s="2635"/>
      <c r="AL29" s="2635"/>
      <c r="AM29" s="2635"/>
      <c r="AN29" s="2635"/>
      <c r="AO29" s="2635"/>
      <c r="AP29" s="2635"/>
      <c r="AQ29" s="2635"/>
      <c r="AR29" s="2635"/>
      <c r="AS29" s="2635"/>
      <c r="AT29" s="2635"/>
      <c r="AU29" s="2635"/>
      <c r="AV29" s="2635"/>
      <c r="AW29" s="2635"/>
      <c r="AX29" s="865">
        <v>0</v>
      </c>
      <c r="AY29" s="602">
        <v>0</v>
      </c>
      <c r="AZ29" s="1037">
        <v>0</v>
      </c>
      <c r="BA29" s="594">
        <f t="shared" si="0"/>
        <v>0</v>
      </c>
      <c r="BB29" s="599" t="s">
        <v>1554</v>
      </c>
      <c r="BC29" s="602" t="s">
        <v>154</v>
      </c>
      <c r="BD29" s="602" t="s">
        <v>154</v>
      </c>
      <c r="BE29" s="602" t="s">
        <v>154</v>
      </c>
      <c r="BF29" s="602" t="s">
        <v>154</v>
      </c>
      <c r="BG29" s="602" t="s">
        <v>154</v>
      </c>
      <c r="BH29" s="595" t="s">
        <v>1555</v>
      </c>
    </row>
    <row r="30" spans="1:60" s="1031" customFormat="1" ht="50.1" customHeight="1" x14ac:dyDescent="0.25">
      <c r="A30" s="2636"/>
      <c r="B30" s="2763"/>
      <c r="C30" s="2636"/>
      <c r="D30" s="2611"/>
      <c r="E30" s="2610"/>
      <c r="F30" s="2636"/>
      <c r="G30" s="2766"/>
      <c r="H30" s="2635"/>
      <c r="I30" s="2429"/>
      <c r="J30" s="2596"/>
      <c r="K30" s="2636"/>
      <c r="L30" s="2636"/>
      <c r="M30" s="2596"/>
      <c r="N30" s="2636"/>
      <c r="O30" s="2429"/>
      <c r="P30" s="2636"/>
      <c r="Q30" s="2792"/>
      <c r="R30" s="2429"/>
      <c r="S30" s="2429"/>
      <c r="T30" s="84" t="s">
        <v>1601</v>
      </c>
      <c r="U30" s="1033">
        <v>88333333</v>
      </c>
      <c r="V30" s="1034">
        <v>0</v>
      </c>
      <c r="W30" s="1041">
        <v>0</v>
      </c>
      <c r="X30" s="2636"/>
      <c r="Y30" s="2596"/>
      <c r="Z30" s="2636"/>
      <c r="AA30" s="2636"/>
      <c r="AB30" s="2636"/>
      <c r="AC30" s="2636"/>
      <c r="AD30" s="2636"/>
      <c r="AE30" s="2636"/>
      <c r="AF30" s="2636"/>
      <c r="AG30" s="2636"/>
      <c r="AH30" s="2636"/>
      <c r="AI30" s="2636"/>
      <c r="AJ30" s="2636"/>
      <c r="AK30" s="2636"/>
      <c r="AL30" s="2636"/>
      <c r="AM30" s="2636"/>
      <c r="AN30" s="2636"/>
      <c r="AO30" s="2636"/>
      <c r="AP30" s="2636"/>
      <c r="AQ30" s="2636"/>
      <c r="AR30" s="2636"/>
      <c r="AS30" s="2636"/>
      <c r="AT30" s="2636"/>
      <c r="AU30" s="2636"/>
      <c r="AV30" s="2636"/>
      <c r="AW30" s="2636"/>
      <c r="AX30" s="865">
        <v>0</v>
      </c>
      <c r="AY30" s="602">
        <v>0</v>
      </c>
      <c r="AZ30" s="1037">
        <v>0</v>
      </c>
      <c r="BA30" s="594">
        <f>V30/265000000</f>
        <v>0</v>
      </c>
      <c r="BB30" s="599" t="s">
        <v>1554</v>
      </c>
      <c r="BC30" s="602" t="s">
        <v>154</v>
      </c>
      <c r="BD30" s="602" t="s">
        <v>154</v>
      </c>
      <c r="BE30" s="602" t="s">
        <v>154</v>
      </c>
      <c r="BF30" s="602" t="s">
        <v>154</v>
      </c>
      <c r="BG30" s="602" t="s">
        <v>154</v>
      </c>
      <c r="BH30" s="595" t="s">
        <v>1555</v>
      </c>
    </row>
    <row r="31" spans="1:60" s="320" customFormat="1" ht="29.25" customHeight="1" x14ac:dyDescent="0.2">
      <c r="A31" s="316" t="s">
        <v>1544</v>
      </c>
      <c r="B31" s="317" t="s">
        <v>1602</v>
      </c>
      <c r="C31" s="317"/>
      <c r="D31" s="317"/>
      <c r="E31" s="317"/>
      <c r="F31" s="317"/>
      <c r="G31" s="317"/>
      <c r="H31" s="317"/>
      <c r="I31" s="318"/>
      <c r="J31" s="318"/>
      <c r="K31" s="317"/>
      <c r="L31" s="317"/>
      <c r="M31" s="317"/>
      <c r="N31" s="317"/>
      <c r="O31" s="318"/>
      <c r="P31" s="317"/>
      <c r="Q31" s="317"/>
      <c r="R31" s="318"/>
      <c r="S31" s="318"/>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8"/>
      <c r="BC31" s="317"/>
      <c r="BD31" s="317"/>
      <c r="BE31" s="317"/>
      <c r="BF31" s="317"/>
      <c r="BG31" s="317"/>
      <c r="BH31" s="318"/>
    </row>
    <row r="32" spans="1:60" s="320" customFormat="1" ht="29.25" customHeight="1" x14ac:dyDescent="0.2">
      <c r="A32" s="1042"/>
      <c r="B32" s="1043"/>
      <c r="C32" s="53" t="s">
        <v>1603</v>
      </c>
      <c r="D32" s="2778" t="s">
        <v>1604</v>
      </c>
      <c r="E32" s="2778"/>
      <c r="F32" s="2778"/>
      <c r="G32" s="2778"/>
      <c r="H32" s="2778"/>
      <c r="I32" s="2778"/>
      <c r="J32" s="2778"/>
      <c r="K32" s="2778"/>
      <c r="L32" s="53"/>
      <c r="M32" s="53"/>
      <c r="N32" s="53"/>
      <c r="O32" s="71"/>
      <c r="P32" s="53"/>
      <c r="Q32" s="53"/>
      <c r="R32" s="71"/>
      <c r="S32" s="71"/>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71"/>
      <c r="BC32" s="53"/>
      <c r="BD32" s="53"/>
      <c r="BE32" s="53"/>
      <c r="BF32" s="53"/>
      <c r="BG32" s="53"/>
      <c r="BH32" s="71"/>
    </row>
    <row r="33" spans="1:60" s="320" customFormat="1" ht="29.25" customHeight="1" x14ac:dyDescent="0.2">
      <c r="A33" s="1039"/>
      <c r="B33" s="1044"/>
      <c r="C33" s="322"/>
      <c r="D33" s="1045"/>
      <c r="E33" s="1046"/>
      <c r="F33" s="326" t="s">
        <v>1605</v>
      </c>
      <c r="G33" s="326"/>
      <c r="H33" s="326" t="s">
        <v>1606</v>
      </c>
      <c r="I33" s="328"/>
      <c r="J33" s="328"/>
      <c r="K33" s="327"/>
      <c r="L33" s="327"/>
      <c r="M33" s="327"/>
      <c r="N33" s="327"/>
      <c r="O33" s="328"/>
      <c r="P33" s="327"/>
      <c r="Q33" s="327"/>
      <c r="R33" s="328"/>
      <c r="S33" s="328"/>
      <c r="T33" s="327"/>
      <c r="U33" s="327"/>
      <c r="V33" s="327"/>
      <c r="W33" s="327"/>
      <c r="X33" s="327"/>
      <c r="Y33" s="327"/>
      <c r="Z33" s="327"/>
      <c r="AA33" s="327"/>
      <c r="AB33" s="327"/>
      <c r="AC33" s="327"/>
      <c r="AD33" s="327"/>
      <c r="AE33" s="327"/>
      <c r="AF33" s="327"/>
      <c r="AG33" s="327"/>
      <c r="AH33" s="327"/>
      <c r="AI33" s="327"/>
      <c r="AJ33" s="327"/>
      <c r="AK33" s="327"/>
      <c r="AL33" s="327"/>
      <c r="AM33" s="327"/>
      <c r="AN33" s="327"/>
      <c r="AO33" s="327"/>
      <c r="AP33" s="327"/>
      <c r="AQ33" s="327"/>
      <c r="AR33" s="327"/>
      <c r="AS33" s="327"/>
      <c r="AT33" s="327"/>
      <c r="AU33" s="327"/>
      <c r="AV33" s="327"/>
      <c r="AW33" s="327"/>
      <c r="AX33" s="327"/>
      <c r="AY33" s="327"/>
      <c r="AZ33" s="327"/>
      <c r="BA33" s="327"/>
      <c r="BB33" s="328"/>
      <c r="BC33" s="327"/>
      <c r="BD33" s="327"/>
      <c r="BE33" s="327"/>
      <c r="BF33" s="327"/>
      <c r="BG33" s="327"/>
      <c r="BH33" s="328"/>
    </row>
    <row r="34" spans="1:60" s="1031" customFormat="1" ht="59.25" customHeight="1" x14ac:dyDescent="0.25">
      <c r="A34" s="1039"/>
      <c r="B34" s="1044"/>
      <c r="C34" s="325"/>
      <c r="D34" s="1047"/>
      <c r="E34" s="1048"/>
      <c r="F34" s="1042"/>
      <c r="G34" s="2807"/>
      <c r="H34" s="2634">
        <v>54</v>
      </c>
      <c r="I34" s="2424" t="s">
        <v>1607</v>
      </c>
      <c r="J34" s="2595" t="s">
        <v>1608</v>
      </c>
      <c r="K34" s="2634">
        <v>130</v>
      </c>
      <c r="L34" s="2634">
        <v>43</v>
      </c>
      <c r="M34" s="2595" t="s">
        <v>1609</v>
      </c>
      <c r="N34" s="2634">
        <v>19</v>
      </c>
      <c r="O34" s="2424" t="s">
        <v>1610</v>
      </c>
      <c r="P34" s="2787">
        <f>+(U34+U35+U36+U37)/($Q$34)</f>
        <v>0.33719126426811624</v>
      </c>
      <c r="Q34" s="2790">
        <v>1156404493</v>
      </c>
      <c r="R34" s="2424" t="s">
        <v>1611</v>
      </c>
      <c r="S34" s="2424" t="s">
        <v>1612</v>
      </c>
      <c r="T34" s="84" t="s">
        <v>1613</v>
      </c>
      <c r="U34" s="1033">
        <v>153051080</v>
      </c>
      <c r="V34" s="1049">
        <f>28880000+28880000</f>
        <v>57760000</v>
      </c>
      <c r="W34" s="1050">
        <v>0</v>
      </c>
      <c r="X34" s="2807" t="s">
        <v>1614</v>
      </c>
      <c r="Y34" s="2535" t="s">
        <v>1615</v>
      </c>
      <c r="Z34" s="2634">
        <v>37199</v>
      </c>
      <c r="AA34" s="2634">
        <v>12275.67</v>
      </c>
      <c r="AB34" s="2634">
        <v>98821</v>
      </c>
      <c r="AC34" s="2634">
        <v>32610.93</v>
      </c>
      <c r="AD34" s="2634">
        <v>50922</v>
      </c>
      <c r="AE34" s="2634">
        <f>AD34*0.33</f>
        <v>16804.260000000002</v>
      </c>
      <c r="AF34" s="2634">
        <v>151591</v>
      </c>
      <c r="AG34" s="2634">
        <f>AF34*0.33</f>
        <v>50025.03</v>
      </c>
      <c r="AH34" s="2634">
        <v>71991</v>
      </c>
      <c r="AI34" s="2634">
        <f>AH34*0.33</f>
        <v>23757.030000000002</v>
      </c>
      <c r="AJ34" s="2634">
        <v>12718</v>
      </c>
      <c r="AK34" s="2634">
        <f>AJ34*0.33</f>
        <v>4196.9400000000005</v>
      </c>
      <c r="AL34" s="2634">
        <v>2145</v>
      </c>
      <c r="AM34" s="2634">
        <f>AL34*0.33</f>
        <v>707.85</v>
      </c>
      <c r="AN34" s="2634">
        <v>39704</v>
      </c>
      <c r="AO34" s="2634">
        <f>AN34*0.33</f>
        <v>13102.32</v>
      </c>
      <c r="AP34" s="2634">
        <v>0</v>
      </c>
      <c r="AQ34" s="2634">
        <v>0</v>
      </c>
      <c r="AR34" s="2634">
        <v>0</v>
      </c>
      <c r="AS34" s="2634">
        <v>0</v>
      </c>
      <c r="AT34" s="2634">
        <v>41543</v>
      </c>
      <c r="AU34" s="2634">
        <f>AT34*0.33</f>
        <v>13709.19</v>
      </c>
      <c r="AV34" s="2634">
        <v>71991</v>
      </c>
      <c r="AW34" s="2634">
        <f>AV34*0.33</f>
        <v>23757.030000000002</v>
      </c>
      <c r="AX34" s="865">
        <v>2</v>
      </c>
      <c r="AY34" s="1051">
        <f>V34</f>
        <v>57760000</v>
      </c>
      <c r="AZ34" s="1049"/>
      <c r="BA34" s="594">
        <v>0</v>
      </c>
      <c r="BB34" s="595" t="s">
        <v>1616</v>
      </c>
      <c r="BC34" s="580" t="s">
        <v>1617</v>
      </c>
      <c r="BD34" s="602" t="s">
        <v>1618</v>
      </c>
      <c r="BE34" s="602" t="s">
        <v>1619</v>
      </c>
      <c r="BF34" s="602" t="s">
        <v>1620</v>
      </c>
      <c r="BG34" s="706" t="s">
        <v>1621</v>
      </c>
      <c r="BH34" s="595" t="s">
        <v>1555</v>
      </c>
    </row>
    <row r="35" spans="1:60" s="1031" customFormat="1" ht="50.1" customHeight="1" x14ac:dyDescent="0.25">
      <c r="A35" s="1039"/>
      <c r="B35" s="1044"/>
      <c r="C35" s="325"/>
      <c r="D35" s="1047"/>
      <c r="E35" s="1048"/>
      <c r="F35" s="1039"/>
      <c r="G35" s="2808"/>
      <c r="H35" s="2635"/>
      <c r="I35" s="2428"/>
      <c r="J35" s="2603"/>
      <c r="K35" s="2635"/>
      <c r="L35" s="2635"/>
      <c r="M35" s="2603"/>
      <c r="N35" s="2635"/>
      <c r="O35" s="2428"/>
      <c r="P35" s="2788"/>
      <c r="Q35" s="2791"/>
      <c r="R35" s="2428"/>
      <c r="S35" s="2428"/>
      <c r="T35" s="1032" t="s">
        <v>1622</v>
      </c>
      <c r="U35" s="1033">
        <v>85540000</v>
      </c>
      <c r="V35" s="1049">
        <f>7920000+6600000+13200000+13200000+8450000+7920000</f>
        <v>57290000</v>
      </c>
      <c r="W35" s="1052">
        <f>5280000+5280000+2640000+2640000+1690000</f>
        <v>17530000</v>
      </c>
      <c r="X35" s="2808"/>
      <c r="Y35" s="2536"/>
      <c r="Z35" s="2635"/>
      <c r="AA35" s="2635"/>
      <c r="AB35" s="2635"/>
      <c r="AC35" s="2635"/>
      <c r="AD35" s="2635"/>
      <c r="AE35" s="2635"/>
      <c r="AF35" s="2635"/>
      <c r="AG35" s="2635"/>
      <c r="AH35" s="2635"/>
      <c r="AI35" s="2635"/>
      <c r="AJ35" s="2635"/>
      <c r="AK35" s="2635"/>
      <c r="AL35" s="2635"/>
      <c r="AM35" s="2635"/>
      <c r="AN35" s="2635"/>
      <c r="AO35" s="2635"/>
      <c r="AP35" s="2635"/>
      <c r="AQ35" s="2635"/>
      <c r="AR35" s="2635"/>
      <c r="AS35" s="2635"/>
      <c r="AT35" s="2635"/>
      <c r="AU35" s="2635"/>
      <c r="AV35" s="2635"/>
      <c r="AW35" s="2635"/>
      <c r="AX35" s="865">
        <v>6</v>
      </c>
      <c r="AY35" s="1051">
        <f>V35</f>
        <v>57290000</v>
      </c>
      <c r="AZ35" s="1051">
        <f>W35</f>
        <v>17530000</v>
      </c>
      <c r="BA35" s="594">
        <f>AZ35/AY35</f>
        <v>0.30598708326060392</v>
      </c>
      <c r="BB35" s="595" t="s">
        <v>1616</v>
      </c>
      <c r="BC35" s="580" t="s">
        <v>1623</v>
      </c>
      <c r="BD35" s="602" t="s">
        <v>1624</v>
      </c>
      <c r="BE35" s="602" t="s">
        <v>1625</v>
      </c>
      <c r="BF35" s="602" t="s">
        <v>1626</v>
      </c>
      <c r="BG35" s="706" t="s">
        <v>1626</v>
      </c>
      <c r="BH35" s="595" t="s">
        <v>1555</v>
      </c>
    </row>
    <row r="36" spans="1:60" s="1031" customFormat="1" ht="50.1" customHeight="1" x14ac:dyDescent="0.25">
      <c r="A36" s="1039"/>
      <c r="B36" s="1044"/>
      <c r="C36" s="325"/>
      <c r="D36" s="1047"/>
      <c r="E36" s="1048"/>
      <c r="F36" s="1039"/>
      <c r="G36" s="2808"/>
      <c r="H36" s="2635"/>
      <c r="I36" s="2428"/>
      <c r="J36" s="2603"/>
      <c r="K36" s="2635"/>
      <c r="L36" s="2635"/>
      <c r="M36" s="2603"/>
      <c r="N36" s="2635"/>
      <c r="O36" s="2428"/>
      <c r="P36" s="2788"/>
      <c r="Q36" s="2791"/>
      <c r="R36" s="2428"/>
      <c r="S36" s="2428"/>
      <c r="T36" s="1032" t="s">
        <v>1627</v>
      </c>
      <c r="U36" s="1033">
        <v>101338413</v>
      </c>
      <c r="V36" s="1049">
        <v>0</v>
      </c>
      <c r="W36" s="1050">
        <v>0</v>
      </c>
      <c r="X36" s="2808"/>
      <c r="Y36" s="2536"/>
      <c r="Z36" s="2635"/>
      <c r="AA36" s="2635"/>
      <c r="AB36" s="2635"/>
      <c r="AC36" s="2635"/>
      <c r="AD36" s="2635"/>
      <c r="AE36" s="2635"/>
      <c r="AF36" s="2635"/>
      <c r="AG36" s="2635"/>
      <c r="AH36" s="2635"/>
      <c r="AI36" s="2635"/>
      <c r="AJ36" s="2635"/>
      <c r="AK36" s="2635"/>
      <c r="AL36" s="2635"/>
      <c r="AM36" s="2635"/>
      <c r="AN36" s="2635"/>
      <c r="AO36" s="2635"/>
      <c r="AP36" s="2635"/>
      <c r="AQ36" s="2635"/>
      <c r="AR36" s="2635"/>
      <c r="AS36" s="2635"/>
      <c r="AT36" s="2635"/>
      <c r="AU36" s="2635"/>
      <c r="AV36" s="2635"/>
      <c r="AW36" s="2635"/>
      <c r="AX36" s="865">
        <f>+V36</f>
        <v>0</v>
      </c>
      <c r="AY36" s="1051">
        <f>+W36</f>
        <v>0</v>
      </c>
      <c r="AZ36" s="1049"/>
      <c r="BA36" s="594">
        <f t="shared" ref="BA36:BA42" si="1">V36/1156404493</f>
        <v>0</v>
      </c>
      <c r="BB36" s="595" t="s">
        <v>1616</v>
      </c>
      <c r="BC36" s="602" t="s">
        <v>154</v>
      </c>
      <c r="BD36" s="602" t="s">
        <v>1628</v>
      </c>
      <c r="BE36" s="602" t="s">
        <v>154</v>
      </c>
      <c r="BF36" s="602" t="s">
        <v>154</v>
      </c>
      <c r="BG36" s="602" t="s">
        <v>154</v>
      </c>
      <c r="BH36" s="595" t="s">
        <v>1555</v>
      </c>
    </row>
    <row r="37" spans="1:60" s="1031" customFormat="1" ht="50.1" customHeight="1" x14ac:dyDescent="0.25">
      <c r="A37" s="1039"/>
      <c r="B37" s="1044"/>
      <c r="C37" s="325"/>
      <c r="D37" s="1047"/>
      <c r="E37" s="1048"/>
      <c r="F37" s="1039"/>
      <c r="G37" s="2808"/>
      <c r="H37" s="2636"/>
      <c r="I37" s="2429"/>
      <c r="J37" s="2596"/>
      <c r="K37" s="2636"/>
      <c r="L37" s="2636"/>
      <c r="M37" s="2603"/>
      <c r="N37" s="2635"/>
      <c r="O37" s="2428"/>
      <c r="P37" s="2789"/>
      <c r="Q37" s="2791"/>
      <c r="R37" s="2428"/>
      <c r="S37" s="2429"/>
      <c r="T37" s="1032" t="s">
        <v>1629</v>
      </c>
      <c r="U37" s="1033">
        <v>50000000</v>
      </c>
      <c r="V37" s="1049">
        <v>0</v>
      </c>
      <c r="W37" s="1050">
        <v>0</v>
      </c>
      <c r="X37" s="2808"/>
      <c r="Y37" s="2536"/>
      <c r="Z37" s="2636"/>
      <c r="AA37" s="2636"/>
      <c r="AB37" s="2636"/>
      <c r="AC37" s="2636"/>
      <c r="AD37" s="2636"/>
      <c r="AE37" s="2636"/>
      <c r="AF37" s="2636"/>
      <c r="AG37" s="2636"/>
      <c r="AH37" s="2636"/>
      <c r="AI37" s="2636"/>
      <c r="AJ37" s="2636"/>
      <c r="AK37" s="2636"/>
      <c r="AL37" s="2636"/>
      <c r="AM37" s="2636"/>
      <c r="AN37" s="2636"/>
      <c r="AO37" s="2636"/>
      <c r="AP37" s="2636"/>
      <c r="AQ37" s="2636"/>
      <c r="AR37" s="2636"/>
      <c r="AS37" s="2636"/>
      <c r="AT37" s="2636"/>
      <c r="AU37" s="2636"/>
      <c r="AV37" s="2636"/>
      <c r="AW37" s="2636"/>
      <c r="AX37" s="865">
        <f t="shared" ref="AX37:AY62" si="2">V37</f>
        <v>0</v>
      </c>
      <c r="AY37" s="1051">
        <f t="shared" si="2"/>
        <v>0</v>
      </c>
      <c r="AZ37" s="1049"/>
      <c r="BA37" s="594">
        <f t="shared" si="1"/>
        <v>0</v>
      </c>
      <c r="BB37" s="595" t="s">
        <v>1616</v>
      </c>
      <c r="BC37" s="602" t="s">
        <v>154</v>
      </c>
      <c r="BD37" s="602" t="s">
        <v>1630</v>
      </c>
      <c r="BE37" s="602" t="s">
        <v>154</v>
      </c>
      <c r="BF37" s="602" t="s">
        <v>154</v>
      </c>
      <c r="BG37" s="602" t="s">
        <v>154</v>
      </c>
      <c r="BH37" s="595" t="s">
        <v>1555</v>
      </c>
    </row>
    <row r="38" spans="1:60" s="1031" customFormat="1" ht="50.1" customHeight="1" x14ac:dyDescent="0.25">
      <c r="A38" s="1039"/>
      <c r="B38" s="1044"/>
      <c r="C38" s="325"/>
      <c r="D38" s="1047"/>
      <c r="E38" s="1048"/>
      <c r="F38" s="1039"/>
      <c r="G38" s="2808"/>
      <c r="H38" s="2634">
        <v>55</v>
      </c>
      <c r="I38" s="2424" t="s">
        <v>1631</v>
      </c>
      <c r="J38" s="2595" t="s">
        <v>1632</v>
      </c>
      <c r="K38" s="2634">
        <v>12</v>
      </c>
      <c r="L38" s="2634">
        <v>10</v>
      </c>
      <c r="M38" s="2603"/>
      <c r="N38" s="2635"/>
      <c r="O38" s="2428"/>
      <c r="P38" s="2787">
        <f>+(U38+U39+U40)/($Q$34)</f>
        <v>0.37225296391165091</v>
      </c>
      <c r="Q38" s="2791"/>
      <c r="R38" s="2428"/>
      <c r="S38" s="2424" t="s">
        <v>1633</v>
      </c>
      <c r="T38" s="84" t="s">
        <v>1634</v>
      </c>
      <c r="U38" s="1033">
        <v>29375000</v>
      </c>
      <c r="V38" s="1037">
        <v>0</v>
      </c>
      <c r="W38" s="1050">
        <v>0</v>
      </c>
      <c r="X38" s="2808"/>
      <c r="Y38" s="2536"/>
      <c r="Z38" s="2634">
        <v>37199</v>
      </c>
      <c r="AA38" s="2634">
        <f>Z38*0.83</f>
        <v>30875.17</v>
      </c>
      <c r="AB38" s="2634">
        <v>98821</v>
      </c>
      <c r="AC38" s="2634">
        <v>32610.93</v>
      </c>
      <c r="AD38" s="2634">
        <v>50922</v>
      </c>
      <c r="AE38" s="2634">
        <f>AD38*0.33</f>
        <v>16804.260000000002</v>
      </c>
      <c r="AF38" s="2634">
        <v>151591</v>
      </c>
      <c r="AG38" s="2634">
        <f>AF38*0.33</f>
        <v>50025.03</v>
      </c>
      <c r="AH38" s="2634">
        <v>71991</v>
      </c>
      <c r="AI38" s="2634">
        <f>AH38*0.33</f>
        <v>23757.030000000002</v>
      </c>
      <c r="AJ38" s="2634">
        <v>12718</v>
      </c>
      <c r="AK38" s="2634">
        <f>AJ38*0.33</f>
        <v>4196.9400000000005</v>
      </c>
      <c r="AL38" s="2634">
        <v>2145</v>
      </c>
      <c r="AM38" s="2634">
        <f>AL38*0.33</f>
        <v>707.85</v>
      </c>
      <c r="AN38" s="2634">
        <v>39704</v>
      </c>
      <c r="AO38" s="2634">
        <f>AN38*0.33</f>
        <v>13102.32</v>
      </c>
      <c r="AP38" s="2634">
        <v>0</v>
      </c>
      <c r="AQ38" s="2634">
        <v>0</v>
      </c>
      <c r="AR38" s="2634">
        <v>0</v>
      </c>
      <c r="AS38" s="2634">
        <v>0</v>
      </c>
      <c r="AT38" s="2634">
        <v>41543</v>
      </c>
      <c r="AU38" s="2634">
        <v>0</v>
      </c>
      <c r="AV38" s="2634">
        <v>71991</v>
      </c>
      <c r="AW38" s="2634">
        <v>0</v>
      </c>
      <c r="AX38" s="865">
        <f t="shared" si="2"/>
        <v>0</v>
      </c>
      <c r="AY38" s="1051">
        <f t="shared" si="2"/>
        <v>0</v>
      </c>
      <c r="AZ38" s="1049"/>
      <c r="BA38" s="594">
        <f t="shared" si="1"/>
        <v>0</v>
      </c>
      <c r="BB38" s="595" t="s">
        <v>1616</v>
      </c>
      <c r="BC38" s="602" t="s">
        <v>154</v>
      </c>
      <c r="BD38" s="602" t="s">
        <v>1630</v>
      </c>
      <c r="BE38" s="602" t="s">
        <v>154</v>
      </c>
      <c r="BF38" s="602" t="s">
        <v>154</v>
      </c>
      <c r="BG38" s="602" t="s">
        <v>154</v>
      </c>
      <c r="BH38" s="595" t="s">
        <v>1555</v>
      </c>
    </row>
    <row r="39" spans="1:60" s="1031" customFormat="1" ht="50.1" customHeight="1" x14ac:dyDescent="0.25">
      <c r="A39" s="1039"/>
      <c r="B39" s="1044"/>
      <c r="C39" s="325"/>
      <c r="D39" s="1047"/>
      <c r="E39" s="1048"/>
      <c r="F39" s="1039"/>
      <c r="G39" s="2808"/>
      <c r="H39" s="2635"/>
      <c r="I39" s="2428"/>
      <c r="J39" s="2603"/>
      <c r="K39" s="2635"/>
      <c r="L39" s="2635"/>
      <c r="M39" s="2603"/>
      <c r="N39" s="2635"/>
      <c r="O39" s="2428"/>
      <c r="P39" s="2788"/>
      <c r="Q39" s="2791"/>
      <c r="R39" s="2428"/>
      <c r="S39" s="2428"/>
      <c r="T39" s="1032" t="s">
        <v>1635</v>
      </c>
      <c r="U39" s="1033">
        <v>32850000</v>
      </c>
      <c r="V39" s="1037">
        <v>0</v>
      </c>
      <c r="W39" s="1050">
        <v>0</v>
      </c>
      <c r="X39" s="2808"/>
      <c r="Y39" s="2536"/>
      <c r="Z39" s="2635"/>
      <c r="AA39" s="2635"/>
      <c r="AB39" s="2635"/>
      <c r="AC39" s="2635"/>
      <c r="AD39" s="2635"/>
      <c r="AE39" s="2635"/>
      <c r="AF39" s="2635"/>
      <c r="AG39" s="2635"/>
      <c r="AH39" s="2635"/>
      <c r="AI39" s="2635"/>
      <c r="AJ39" s="2635"/>
      <c r="AK39" s="2635"/>
      <c r="AL39" s="2635"/>
      <c r="AM39" s="2635"/>
      <c r="AN39" s="2635"/>
      <c r="AO39" s="2635"/>
      <c r="AP39" s="2635"/>
      <c r="AQ39" s="2635"/>
      <c r="AR39" s="2635"/>
      <c r="AS39" s="2635"/>
      <c r="AT39" s="2635"/>
      <c r="AU39" s="2635"/>
      <c r="AV39" s="2635"/>
      <c r="AW39" s="2635"/>
      <c r="AX39" s="865">
        <f t="shared" si="2"/>
        <v>0</v>
      </c>
      <c r="AY39" s="1051">
        <f t="shared" si="2"/>
        <v>0</v>
      </c>
      <c r="AZ39" s="1049"/>
      <c r="BA39" s="594">
        <f t="shared" si="1"/>
        <v>0</v>
      </c>
      <c r="BB39" s="595" t="s">
        <v>1616</v>
      </c>
      <c r="BC39" s="602" t="s">
        <v>154</v>
      </c>
      <c r="BD39" s="965">
        <v>42737</v>
      </c>
      <c r="BE39" s="602" t="s">
        <v>154</v>
      </c>
      <c r="BF39" s="602" t="s">
        <v>154</v>
      </c>
      <c r="BG39" s="602" t="s">
        <v>154</v>
      </c>
      <c r="BH39" s="595" t="s">
        <v>1555</v>
      </c>
    </row>
    <row r="40" spans="1:60" s="1031" customFormat="1" ht="50.1" customHeight="1" x14ac:dyDescent="0.25">
      <c r="A40" s="1039"/>
      <c r="B40" s="1044"/>
      <c r="C40" s="325"/>
      <c r="D40" s="1047"/>
      <c r="E40" s="1048"/>
      <c r="F40" s="1039"/>
      <c r="G40" s="2808"/>
      <c r="H40" s="2636"/>
      <c r="I40" s="2429"/>
      <c r="J40" s="2596"/>
      <c r="K40" s="2636"/>
      <c r="L40" s="2636"/>
      <c r="M40" s="2603"/>
      <c r="N40" s="2635"/>
      <c r="O40" s="2428"/>
      <c r="P40" s="2789"/>
      <c r="Q40" s="2791"/>
      <c r="R40" s="2428"/>
      <c r="S40" s="2429"/>
      <c r="T40" s="1032" t="s">
        <v>1622</v>
      </c>
      <c r="U40" s="1033">
        <v>368250000</v>
      </c>
      <c r="V40" s="1037">
        <f>7950000+7950000+7950000+7950000+7950000+11625000+11625000+11625000+17500000+4650000+3400000+3400000+4650000+3400000+3400000+3400000+11625000+3400000</f>
        <v>133450000</v>
      </c>
      <c r="W40" s="1037">
        <f>2650000+5300000+5300000+4151667+5300000+2325000+2325000+2325000+3500000+4650000+1700000+1700000+2325000+1700000+1700000+1700000+1700000</f>
        <v>50351667</v>
      </c>
      <c r="X40" s="2808"/>
      <c r="Y40" s="2536"/>
      <c r="Z40" s="2636"/>
      <c r="AA40" s="2636"/>
      <c r="AB40" s="2636"/>
      <c r="AC40" s="2636"/>
      <c r="AD40" s="2636"/>
      <c r="AE40" s="2636"/>
      <c r="AF40" s="2636"/>
      <c r="AG40" s="2636"/>
      <c r="AH40" s="2636"/>
      <c r="AI40" s="2636"/>
      <c r="AJ40" s="2636"/>
      <c r="AK40" s="2636"/>
      <c r="AL40" s="2636"/>
      <c r="AM40" s="2636"/>
      <c r="AN40" s="2636"/>
      <c r="AO40" s="2636"/>
      <c r="AP40" s="2636"/>
      <c r="AQ40" s="2636"/>
      <c r="AR40" s="2636"/>
      <c r="AS40" s="2636"/>
      <c r="AT40" s="2636"/>
      <c r="AU40" s="2636"/>
      <c r="AV40" s="2636"/>
      <c r="AW40" s="2636"/>
      <c r="AX40" s="865">
        <v>18</v>
      </c>
      <c r="AY40" s="1051">
        <f>V40</f>
        <v>133450000</v>
      </c>
      <c r="AZ40" s="1049">
        <f>W40</f>
        <v>50351667</v>
      </c>
      <c r="BA40" s="594">
        <f>AZ40/AY40</f>
        <v>0.37730735856125891</v>
      </c>
      <c r="BB40" s="595" t="s">
        <v>1616</v>
      </c>
      <c r="BC40" s="580" t="s">
        <v>1636</v>
      </c>
      <c r="BD40" s="602" t="s">
        <v>1624</v>
      </c>
      <c r="BE40" s="602" t="s">
        <v>154</v>
      </c>
      <c r="BF40" s="602" t="s">
        <v>1637</v>
      </c>
      <c r="BG40" s="610">
        <v>42801</v>
      </c>
      <c r="BH40" s="595" t="s">
        <v>1555</v>
      </c>
    </row>
    <row r="41" spans="1:60" s="1031" customFormat="1" ht="50.1" customHeight="1" x14ac:dyDescent="0.25">
      <c r="A41" s="1039"/>
      <c r="B41" s="1044"/>
      <c r="C41" s="325"/>
      <c r="D41" s="1047"/>
      <c r="E41" s="1048"/>
      <c r="F41" s="1039"/>
      <c r="G41" s="2808"/>
      <c r="H41" s="2634">
        <v>56</v>
      </c>
      <c r="I41" s="2424" t="s">
        <v>1638</v>
      </c>
      <c r="J41" s="2595" t="s">
        <v>1639</v>
      </c>
      <c r="K41" s="2634">
        <v>3</v>
      </c>
      <c r="L41" s="2634">
        <v>0</v>
      </c>
      <c r="M41" s="2603"/>
      <c r="N41" s="2635"/>
      <c r="O41" s="2428"/>
      <c r="P41" s="2787">
        <f>+(U41+U42)/($Q$34)</f>
        <v>0.29055577182023279</v>
      </c>
      <c r="Q41" s="2791"/>
      <c r="R41" s="2428"/>
      <c r="S41" s="2424" t="s">
        <v>1640</v>
      </c>
      <c r="T41" s="1053" t="s">
        <v>1629</v>
      </c>
      <c r="U41" s="1033">
        <v>300000000</v>
      </c>
      <c r="V41" s="1037">
        <v>0</v>
      </c>
      <c r="W41" s="1054">
        <v>0</v>
      </c>
      <c r="X41" s="2808"/>
      <c r="Y41" s="2536"/>
      <c r="Z41" s="2634">
        <v>37199</v>
      </c>
      <c r="AA41" s="2634">
        <v>0</v>
      </c>
      <c r="AB41" s="2634">
        <v>98821</v>
      </c>
      <c r="AC41" s="2634">
        <v>0</v>
      </c>
      <c r="AD41" s="2634">
        <v>50922</v>
      </c>
      <c r="AE41" s="2634">
        <v>16804.259999999998</v>
      </c>
      <c r="AF41" s="2634">
        <v>151591</v>
      </c>
      <c r="AG41" s="2634">
        <v>0</v>
      </c>
      <c r="AH41" s="2634">
        <v>71991</v>
      </c>
      <c r="AI41" s="2634">
        <v>0</v>
      </c>
      <c r="AJ41" s="2634">
        <v>12178</v>
      </c>
      <c r="AK41" s="2634">
        <v>0</v>
      </c>
      <c r="AL41" s="2634">
        <v>2145</v>
      </c>
      <c r="AM41" s="2634">
        <v>0</v>
      </c>
      <c r="AN41" s="2634">
        <v>39704</v>
      </c>
      <c r="AO41" s="2634">
        <v>0</v>
      </c>
      <c r="AP41" s="2634">
        <v>0</v>
      </c>
      <c r="AQ41" s="2634">
        <v>0</v>
      </c>
      <c r="AR41" s="2634">
        <v>0</v>
      </c>
      <c r="AS41" s="2634">
        <v>0</v>
      </c>
      <c r="AT41" s="2634">
        <v>41543</v>
      </c>
      <c r="AU41" s="2634">
        <v>0</v>
      </c>
      <c r="AV41" s="2634">
        <v>71991</v>
      </c>
      <c r="AW41" s="2634">
        <v>0</v>
      </c>
      <c r="AX41" s="865">
        <f t="shared" si="2"/>
        <v>0</v>
      </c>
      <c r="AY41" s="1051">
        <f t="shared" si="2"/>
        <v>0</v>
      </c>
      <c r="AZ41" s="1049"/>
      <c r="BA41" s="594">
        <f t="shared" si="1"/>
        <v>0</v>
      </c>
      <c r="BB41" s="595" t="s">
        <v>1616</v>
      </c>
      <c r="BC41" s="580" t="s">
        <v>1641</v>
      </c>
      <c r="BD41" s="602" t="s">
        <v>1624</v>
      </c>
      <c r="BE41" s="602" t="s">
        <v>154</v>
      </c>
      <c r="BF41" s="602" t="s">
        <v>154</v>
      </c>
      <c r="BG41" s="602" t="s">
        <v>154</v>
      </c>
      <c r="BH41" s="595" t="s">
        <v>1555</v>
      </c>
    </row>
    <row r="42" spans="1:60" s="1031" customFormat="1" ht="50.1" customHeight="1" x14ac:dyDescent="0.25">
      <c r="A42" s="1039"/>
      <c r="B42" s="1044"/>
      <c r="C42" s="325"/>
      <c r="D42" s="1047"/>
      <c r="E42" s="1048"/>
      <c r="F42" s="1039"/>
      <c r="G42" s="2809"/>
      <c r="H42" s="2636"/>
      <c r="I42" s="2429"/>
      <c r="J42" s="2596"/>
      <c r="K42" s="2636"/>
      <c r="L42" s="2636"/>
      <c r="M42" s="2596"/>
      <c r="N42" s="2636"/>
      <c r="O42" s="2429"/>
      <c r="P42" s="2789"/>
      <c r="Q42" s="2792"/>
      <c r="R42" s="2429"/>
      <c r="S42" s="2429"/>
      <c r="T42" s="1053" t="s">
        <v>1642</v>
      </c>
      <c r="U42" s="1033">
        <v>36000000</v>
      </c>
      <c r="V42" s="1037">
        <v>0</v>
      </c>
      <c r="W42" s="1054">
        <v>0</v>
      </c>
      <c r="X42" s="2809"/>
      <c r="Y42" s="2664"/>
      <c r="Z42" s="2636"/>
      <c r="AA42" s="2636"/>
      <c r="AB42" s="2636"/>
      <c r="AC42" s="2636"/>
      <c r="AD42" s="2636"/>
      <c r="AE42" s="2636"/>
      <c r="AF42" s="2636"/>
      <c r="AG42" s="2636"/>
      <c r="AH42" s="2636"/>
      <c r="AI42" s="2636"/>
      <c r="AJ42" s="2636"/>
      <c r="AK42" s="2636"/>
      <c r="AL42" s="2636"/>
      <c r="AM42" s="2636"/>
      <c r="AN42" s="2636"/>
      <c r="AO42" s="2636"/>
      <c r="AP42" s="2636"/>
      <c r="AQ42" s="2636"/>
      <c r="AR42" s="2636"/>
      <c r="AS42" s="2636"/>
      <c r="AT42" s="2636"/>
      <c r="AU42" s="2636"/>
      <c r="AV42" s="2636"/>
      <c r="AW42" s="2636"/>
      <c r="AX42" s="865">
        <f t="shared" si="2"/>
        <v>0</v>
      </c>
      <c r="AY42" s="1051">
        <f t="shared" si="2"/>
        <v>0</v>
      </c>
      <c r="AZ42" s="1049"/>
      <c r="BA42" s="594">
        <f t="shared" si="1"/>
        <v>0</v>
      </c>
      <c r="BB42" s="595" t="s">
        <v>1616</v>
      </c>
      <c r="BC42" s="602" t="s">
        <v>154</v>
      </c>
      <c r="BD42" s="602" t="s">
        <v>1643</v>
      </c>
      <c r="BE42" s="602" t="s">
        <v>154</v>
      </c>
      <c r="BF42" s="602" t="s">
        <v>154</v>
      </c>
      <c r="BG42" s="602" t="s">
        <v>154</v>
      </c>
      <c r="BH42" s="595" t="s">
        <v>1555</v>
      </c>
    </row>
    <row r="43" spans="1:60" s="320" customFormat="1" ht="12.75" customHeight="1" x14ac:dyDescent="0.2">
      <c r="A43" s="1039"/>
      <c r="B43" s="1044"/>
      <c r="C43" s="325"/>
      <c r="D43" s="1047"/>
      <c r="E43" s="1048"/>
      <c r="F43" s="329" t="s">
        <v>1644</v>
      </c>
      <c r="G43" s="501"/>
      <c r="H43" s="501" t="s">
        <v>1645</v>
      </c>
      <c r="I43" s="73"/>
      <c r="J43" s="73"/>
      <c r="K43" s="105"/>
      <c r="L43" s="105"/>
      <c r="M43" s="105"/>
      <c r="N43" s="105"/>
      <c r="O43" s="73"/>
      <c r="P43" s="105"/>
      <c r="Q43" s="105"/>
      <c r="R43" s="73"/>
      <c r="S43" s="73"/>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73"/>
      <c r="BC43" s="105"/>
      <c r="BD43" s="105"/>
      <c r="BE43" s="105"/>
      <c r="BF43" s="105"/>
      <c r="BG43" s="105"/>
      <c r="BH43" s="73"/>
    </row>
    <row r="44" spans="1:60" s="1031" customFormat="1" ht="50.1" customHeight="1" x14ac:dyDescent="0.25">
      <c r="A44" s="1039"/>
      <c r="B44" s="1044"/>
      <c r="C44" s="325"/>
      <c r="D44" s="1047"/>
      <c r="E44" s="1048"/>
      <c r="F44" s="1039"/>
      <c r="G44" s="2807"/>
      <c r="H44" s="2634">
        <v>57</v>
      </c>
      <c r="I44" s="2424" t="s">
        <v>1646</v>
      </c>
      <c r="J44" s="2595" t="s">
        <v>1647</v>
      </c>
      <c r="K44" s="2634">
        <v>12</v>
      </c>
      <c r="L44" s="2634">
        <v>7</v>
      </c>
      <c r="M44" s="2595" t="s">
        <v>1648</v>
      </c>
      <c r="N44" s="2634">
        <v>21</v>
      </c>
      <c r="O44" s="2424"/>
      <c r="P44" s="2787">
        <f>+(U44+U45+U46+U47+U48)/($Q$44)</f>
        <v>0.64516793761261471</v>
      </c>
      <c r="Q44" s="2790">
        <v>10186227185</v>
      </c>
      <c r="R44" s="2424" t="s">
        <v>1649</v>
      </c>
      <c r="S44" s="2424" t="s">
        <v>1650</v>
      </c>
      <c r="T44" s="1055" t="s">
        <v>1634</v>
      </c>
      <c r="U44" s="1033">
        <v>120000000</v>
      </c>
      <c r="V44" s="1033">
        <v>0</v>
      </c>
      <c r="W44" s="865">
        <v>0</v>
      </c>
      <c r="X44" s="2807" t="s">
        <v>1651</v>
      </c>
      <c r="Y44" s="2535" t="s">
        <v>1652</v>
      </c>
      <c r="Z44" s="2634">
        <v>37199</v>
      </c>
      <c r="AA44" s="2634">
        <v>0</v>
      </c>
      <c r="AB44" s="2634">
        <v>98821</v>
      </c>
      <c r="AC44" s="2634">
        <v>0</v>
      </c>
      <c r="AD44" s="2634">
        <v>50922</v>
      </c>
      <c r="AE44" s="2634">
        <v>0</v>
      </c>
      <c r="AF44" s="2634">
        <v>151591</v>
      </c>
      <c r="AG44" s="2634">
        <v>0</v>
      </c>
      <c r="AH44" s="2634">
        <v>151591</v>
      </c>
      <c r="AI44" s="2634">
        <v>0</v>
      </c>
      <c r="AJ44" s="2634">
        <v>71991</v>
      </c>
      <c r="AK44" s="2634">
        <v>0</v>
      </c>
      <c r="AL44" s="2634">
        <v>12718</v>
      </c>
      <c r="AM44" s="2634">
        <v>0</v>
      </c>
      <c r="AN44" s="2634">
        <v>2145</v>
      </c>
      <c r="AO44" s="2634">
        <v>0</v>
      </c>
      <c r="AP44" s="2634">
        <v>0</v>
      </c>
      <c r="AQ44" s="2634">
        <v>0</v>
      </c>
      <c r="AR44" s="2634">
        <v>0</v>
      </c>
      <c r="AS44" s="2634">
        <v>0</v>
      </c>
      <c r="AT44" s="2634">
        <v>41543</v>
      </c>
      <c r="AU44" s="2634">
        <v>0</v>
      </c>
      <c r="AV44" s="2634">
        <v>71991</v>
      </c>
      <c r="AW44" s="2634">
        <v>0</v>
      </c>
      <c r="AX44" s="865">
        <f t="shared" si="2"/>
        <v>0</v>
      </c>
      <c r="AY44" s="1056">
        <f t="shared" si="2"/>
        <v>0</v>
      </c>
      <c r="AZ44" s="1049">
        <v>0</v>
      </c>
      <c r="BA44" s="594">
        <f>V44/10186227185</f>
        <v>0</v>
      </c>
      <c r="BB44" s="595" t="s">
        <v>1653</v>
      </c>
      <c r="BC44" s="580" t="s">
        <v>1654</v>
      </c>
      <c r="BD44" s="965">
        <v>42737</v>
      </c>
      <c r="BE44" s="602" t="s">
        <v>154</v>
      </c>
      <c r="BF44" s="602" t="s">
        <v>154</v>
      </c>
      <c r="BG44" s="706" t="s">
        <v>154</v>
      </c>
      <c r="BH44" s="595" t="s">
        <v>1555</v>
      </c>
    </row>
    <row r="45" spans="1:60" s="1031" customFormat="1" ht="50.1" customHeight="1" x14ac:dyDescent="0.25">
      <c r="A45" s="1039"/>
      <c r="B45" s="1044"/>
      <c r="C45" s="325"/>
      <c r="D45" s="1047"/>
      <c r="E45" s="1048"/>
      <c r="F45" s="1039"/>
      <c r="G45" s="2808"/>
      <c r="H45" s="2635"/>
      <c r="I45" s="2428"/>
      <c r="J45" s="2603"/>
      <c r="K45" s="2635"/>
      <c r="L45" s="2635"/>
      <c r="M45" s="2603"/>
      <c r="N45" s="2635"/>
      <c r="O45" s="2428"/>
      <c r="P45" s="2788"/>
      <c r="Q45" s="2791"/>
      <c r="R45" s="2428"/>
      <c r="S45" s="2428"/>
      <c r="T45" s="1053" t="s">
        <v>1635</v>
      </c>
      <c r="U45" s="1033">
        <v>121410000</v>
      </c>
      <c r="V45" s="1033">
        <f>19550000+19550000+6600000</f>
        <v>45700000</v>
      </c>
      <c r="W45" s="1033">
        <f>7820000+3910000</f>
        <v>11730000</v>
      </c>
      <c r="X45" s="2808"/>
      <c r="Y45" s="2536"/>
      <c r="Z45" s="2635"/>
      <c r="AA45" s="2635"/>
      <c r="AB45" s="2635"/>
      <c r="AC45" s="2635"/>
      <c r="AD45" s="2635"/>
      <c r="AE45" s="2635"/>
      <c r="AF45" s="2635"/>
      <c r="AG45" s="2635"/>
      <c r="AH45" s="2635"/>
      <c r="AI45" s="2635"/>
      <c r="AJ45" s="2635"/>
      <c r="AK45" s="2635"/>
      <c r="AL45" s="2635"/>
      <c r="AM45" s="2635"/>
      <c r="AN45" s="2635"/>
      <c r="AO45" s="2635"/>
      <c r="AP45" s="2635"/>
      <c r="AQ45" s="2635"/>
      <c r="AR45" s="2635"/>
      <c r="AS45" s="2635"/>
      <c r="AT45" s="2635"/>
      <c r="AU45" s="2635"/>
      <c r="AV45" s="2635"/>
      <c r="AW45" s="2635"/>
      <c r="AX45" s="865">
        <v>3</v>
      </c>
      <c r="AY45" s="1057">
        <f>V45</f>
        <v>45700000</v>
      </c>
      <c r="AZ45" s="1057">
        <f>W45</f>
        <v>11730000</v>
      </c>
      <c r="BA45" s="594">
        <f>AZ45/AY45</f>
        <v>0.25667396061269149</v>
      </c>
      <c r="BB45" s="595" t="s">
        <v>1653</v>
      </c>
      <c r="BC45" s="580" t="s">
        <v>1623</v>
      </c>
      <c r="BD45" s="602" t="s">
        <v>1624</v>
      </c>
      <c r="BE45" s="602" t="s">
        <v>1625</v>
      </c>
      <c r="BF45" s="602" t="s">
        <v>1626</v>
      </c>
      <c r="BG45" s="610">
        <v>42742</v>
      </c>
      <c r="BH45" s="595" t="s">
        <v>1555</v>
      </c>
    </row>
    <row r="46" spans="1:60" s="1031" customFormat="1" ht="50.1" customHeight="1" x14ac:dyDescent="0.25">
      <c r="A46" s="1039"/>
      <c r="B46" s="1044"/>
      <c r="C46" s="325"/>
      <c r="D46" s="1047"/>
      <c r="E46" s="1048"/>
      <c r="F46" s="1039"/>
      <c r="G46" s="2808"/>
      <c r="H46" s="2635"/>
      <c r="I46" s="2428"/>
      <c r="J46" s="2603"/>
      <c r="K46" s="2635"/>
      <c r="L46" s="2635"/>
      <c r="M46" s="2603"/>
      <c r="N46" s="2635"/>
      <c r="O46" s="2428"/>
      <c r="P46" s="2788"/>
      <c r="Q46" s="2791"/>
      <c r="R46" s="2428"/>
      <c r="S46" s="2428"/>
      <c r="T46" s="1053" t="s">
        <v>1622</v>
      </c>
      <c r="U46" s="1033">
        <v>408700000</v>
      </c>
      <c r="V46" s="1033">
        <f>13200000+13200000+13200000+13200000+13200000+5280000+8450000+8450000+8450000+8450000+11000000+11000000+6975000+5100000+5100000+5100000+5100000+5100000</f>
        <v>159555000</v>
      </c>
      <c r="W46" s="1033">
        <f>3380000+5280000+1690000+2640000+5280000+3380000+2200000+2640000+2200000</f>
        <v>28690000</v>
      </c>
      <c r="X46" s="2808"/>
      <c r="Y46" s="2536"/>
      <c r="Z46" s="2635"/>
      <c r="AA46" s="2635"/>
      <c r="AB46" s="2635"/>
      <c r="AC46" s="2635"/>
      <c r="AD46" s="2635"/>
      <c r="AE46" s="2635"/>
      <c r="AF46" s="2635"/>
      <c r="AG46" s="2635"/>
      <c r="AH46" s="2635"/>
      <c r="AI46" s="2635"/>
      <c r="AJ46" s="2635"/>
      <c r="AK46" s="2635"/>
      <c r="AL46" s="2635"/>
      <c r="AM46" s="2635"/>
      <c r="AN46" s="2635"/>
      <c r="AO46" s="2635"/>
      <c r="AP46" s="2635"/>
      <c r="AQ46" s="2635"/>
      <c r="AR46" s="2635"/>
      <c r="AS46" s="2635"/>
      <c r="AT46" s="2635"/>
      <c r="AU46" s="2635"/>
      <c r="AV46" s="2635"/>
      <c r="AW46" s="2635"/>
      <c r="AX46" s="865">
        <v>18</v>
      </c>
      <c r="AY46" s="1057">
        <v>159555000</v>
      </c>
      <c r="AZ46" s="1049">
        <f>W46</f>
        <v>28690000</v>
      </c>
      <c r="BA46" s="594">
        <f>AZ46/AY46</f>
        <v>0.17981260380433078</v>
      </c>
      <c r="BB46" s="595" t="s">
        <v>1653</v>
      </c>
      <c r="BC46" s="580" t="s">
        <v>1655</v>
      </c>
      <c r="BD46" s="602" t="s">
        <v>1624</v>
      </c>
      <c r="BE46" s="965">
        <v>42737</v>
      </c>
      <c r="BF46" s="965">
        <v>42742</v>
      </c>
      <c r="BG46" s="1058">
        <v>42742</v>
      </c>
      <c r="BH46" s="595" t="s">
        <v>1555</v>
      </c>
    </row>
    <row r="47" spans="1:60" s="1031" customFormat="1" ht="50.1" customHeight="1" x14ac:dyDescent="0.25">
      <c r="A47" s="1039"/>
      <c r="B47" s="1044"/>
      <c r="C47" s="325"/>
      <c r="D47" s="1047"/>
      <c r="E47" s="1048"/>
      <c r="F47" s="1039"/>
      <c r="G47" s="2808"/>
      <c r="H47" s="2635"/>
      <c r="I47" s="2428"/>
      <c r="J47" s="2603"/>
      <c r="K47" s="2635"/>
      <c r="L47" s="2635"/>
      <c r="M47" s="2603"/>
      <c r="N47" s="2635"/>
      <c r="O47" s="2428"/>
      <c r="P47" s="2788"/>
      <c r="Q47" s="2791"/>
      <c r="R47" s="2428"/>
      <c r="S47" s="2428"/>
      <c r="T47" s="1053" t="s">
        <v>1629</v>
      </c>
      <c r="U47" s="1033">
        <v>802807310</v>
      </c>
      <c r="V47" s="1033">
        <v>0</v>
      </c>
      <c r="W47" s="1036">
        <v>0</v>
      </c>
      <c r="X47" s="2808"/>
      <c r="Y47" s="2536"/>
      <c r="Z47" s="2635"/>
      <c r="AA47" s="2635"/>
      <c r="AB47" s="2635"/>
      <c r="AC47" s="2635"/>
      <c r="AD47" s="2635"/>
      <c r="AE47" s="2635"/>
      <c r="AF47" s="2635"/>
      <c r="AG47" s="2635"/>
      <c r="AH47" s="2635"/>
      <c r="AI47" s="2635"/>
      <c r="AJ47" s="2635"/>
      <c r="AK47" s="2635"/>
      <c r="AL47" s="2635"/>
      <c r="AM47" s="2635"/>
      <c r="AN47" s="2635"/>
      <c r="AO47" s="2635"/>
      <c r="AP47" s="2635"/>
      <c r="AQ47" s="2635"/>
      <c r="AR47" s="2635"/>
      <c r="AS47" s="2635"/>
      <c r="AT47" s="2635"/>
      <c r="AU47" s="2635"/>
      <c r="AV47" s="2635"/>
      <c r="AW47" s="2635"/>
      <c r="AX47" s="865">
        <f t="shared" si="2"/>
        <v>0</v>
      </c>
      <c r="AY47" s="1057">
        <f t="shared" si="2"/>
        <v>0</v>
      </c>
      <c r="AZ47" s="1049">
        <v>0</v>
      </c>
      <c r="BA47" s="594">
        <f>V47/10186227185</f>
        <v>0</v>
      </c>
      <c r="BB47" s="595" t="s">
        <v>1653</v>
      </c>
      <c r="BC47" s="602" t="s">
        <v>154</v>
      </c>
      <c r="BD47" s="965">
        <v>42740</v>
      </c>
      <c r="BE47" s="602" t="s">
        <v>154</v>
      </c>
      <c r="BF47" s="602" t="s">
        <v>154</v>
      </c>
      <c r="BG47" s="864" t="s">
        <v>154</v>
      </c>
      <c r="BH47" s="595" t="s">
        <v>1555</v>
      </c>
    </row>
    <row r="48" spans="1:60" s="1031" customFormat="1" ht="50.1" customHeight="1" x14ac:dyDescent="0.25">
      <c r="A48" s="1039"/>
      <c r="B48" s="1044"/>
      <c r="C48" s="325"/>
      <c r="D48" s="1047"/>
      <c r="E48" s="1048"/>
      <c r="F48" s="1039"/>
      <c r="G48" s="2808"/>
      <c r="H48" s="2636"/>
      <c r="I48" s="2429"/>
      <c r="J48" s="2596"/>
      <c r="K48" s="2636"/>
      <c r="L48" s="2636"/>
      <c r="M48" s="2596"/>
      <c r="N48" s="2635"/>
      <c r="O48" s="2428"/>
      <c r="P48" s="2789"/>
      <c r="Q48" s="2791"/>
      <c r="R48" s="2428"/>
      <c r="S48" s="2428"/>
      <c r="T48" s="1053" t="s">
        <v>1627</v>
      </c>
      <c r="U48" s="1037">
        <v>5118909875</v>
      </c>
      <c r="V48" s="1033">
        <f>21798750+20987161+20404761+15988700+21465470+11229734+19781125</f>
        <v>131655701</v>
      </c>
      <c r="W48" s="1036">
        <v>0</v>
      </c>
      <c r="X48" s="2808"/>
      <c r="Y48" s="2536"/>
      <c r="Z48" s="2636"/>
      <c r="AA48" s="2636"/>
      <c r="AB48" s="2636"/>
      <c r="AC48" s="2636"/>
      <c r="AD48" s="2636"/>
      <c r="AE48" s="2636"/>
      <c r="AF48" s="2636"/>
      <c r="AG48" s="2636"/>
      <c r="AH48" s="2636"/>
      <c r="AI48" s="2636"/>
      <c r="AJ48" s="2636"/>
      <c r="AK48" s="2636"/>
      <c r="AL48" s="2636"/>
      <c r="AM48" s="2636"/>
      <c r="AN48" s="2636"/>
      <c r="AO48" s="2636"/>
      <c r="AP48" s="2636"/>
      <c r="AQ48" s="2636"/>
      <c r="AR48" s="2636"/>
      <c r="AS48" s="2636"/>
      <c r="AT48" s="2636"/>
      <c r="AU48" s="2636"/>
      <c r="AV48" s="2636"/>
      <c r="AW48" s="2636"/>
      <c r="AX48" s="865">
        <v>7</v>
      </c>
      <c r="AY48" s="1057">
        <v>131655701</v>
      </c>
      <c r="AZ48" s="1049">
        <v>0</v>
      </c>
      <c r="BA48" s="594">
        <v>0</v>
      </c>
      <c r="BB48" s="595" t="s">
        <v>1653</v>
      </c>
      <c r="BC48" s="580" t="s">
        <v>1656</v>
      </c>
      <c r="BD48" s="602" t="s">
        <v>1618</v>
      </c>
      <c r="BE48" s="602" t="s">
        <v>154</v>
      </c>
      <c r="BF48" s="965">
        <v>42738</v>
      </c>
      <c r="BG48" s="706" t="s">
        <v>1657</v>
      </c>
      <c r="BH48" s="595" t="s">
        <v>1555</v>
      </c>
    </row>
    <row r="49" spans="1:60" s="1031" customFormat="1" ht="98.25" customHeight="1" x14ac:dyDescent="0.25">
      <c r="A49" s="1039"/>
      <c r="B49" s="1044"/>
      <c r="C49" s="325"/>
      <c r="D49" s="1047"/>
      <c r="E49" s="1048"/>
      <c r="F49" s="1039"/>
      <c r="G49" s="2808"/>
      <c r="H49" s="602">
        <v>58</v>
      </c>
      <c r="I49" s="595" t="s">
        <v>1658</v>
      </c>
      <c r="J49" s="84" t="s">
        <v>1659</v>
      </c>
      <c r="K49" s="602">
        <v>1</v>
      </c>
      <c r="L49" s="602">
        <v>0</v>
      </c>
      <c r="M49" s="84" t="s">
        <v>1660</v>
      </c>
      <c r="N49" s="2635"/>
      <c r="O49" s="2428"/>
      <c r="P49" s="594">
        <f>+(+U49)/($Q$44)</f>
        <v>4.9085887337785702E-3</v>
      </c>
      <c r="Q49" s="2791"/>
      <c r="R49" s="2428"/>
      <c r="S49" s="2428"/>
      <c r="T49" s="1053" t="s">
        <v>1629</v>
      </c>
      <c r="U49" s="1033">
        <v>50000000</v>
      </c>
      <c r="V49" s="1033">
        <v>0</v>
      </c>
      <c r="W49" s="1036">
        <v>0</v>
      </c>
      <c r="X49" s="2808"/>
      <c r="Y49" s="2536"/>
      <c r="Z49" s="1032">
        <v>31719</v>
      </c>
      <c r="AA49" s="1032">
        <v>0</v>
      </c>
      <c r="AB49" s="1032">
        <v>98821</v>
      </c>
      <c r="AC49" s="1032">
        <v>0</v>
      </c>
      <c r="AD49" s="1032">
        <v>50922</v>
      </c>
      <c r="AE49" s="1032">
        <v>0</v>
      </c>
      <c r="AF49" s="1032">
        <v>151591</v>
      </c>
      <c r="AG49" s="1032">
        <v>0</v>
      </c>
      <c r="AH49" s="1032">
        <v>151591</v>
      </c>
      <c r="AI49" s="1032">
        <v>0</v>
      </c>
      <c r="AJ49" s="1032">
        <v>71991</v>
      </c>
      <c r="AK49" s="1032">
        <v>0</v>
      </c>
      <c r="AL49" s="1032">
        <v>12718</v>
      </c>
      <c r="AM49" s="1032">
        <v>0</v>
      </c>
      <c r="AN49" s="1032">
        <v>2145</v>
      </c>
      <c r="AO49" s="1032">
        <v>0</v>
      </c>
      <c r="AP49" s="1032">
        <v>0</v>
      </c>
      <c r="AQ49" s="1032">
        <v>0</v>
      </c>
      <c r="AR49" s="1032">
        <v>0</v>
      </c>
      <c r="AS49" s="1032">
        <v>0</v>
      </c>
      <c r="AT49" s="1032">
        <v>41543</v>
      </c>
      <c r="AU49" s="1032">
        <v>0</v>
      </c>
      <c r="AV49" s="1032">
        <v>71991</v>
      </c>
      <c r="AW49" s="1032">
        <v>0</v>
      </c>
      <c r="AX49" s="865">
        <f t="shared" si="2"/>
        <v>0</v>
      </c>
      <c r="AY49" s="1057">
        <f t="shared" si="2"/>
        <v>0</v>
      </c>
      <c r="AZ49" s="1049">
        <v>0</v>
      </c>
      <c r="BA49" s="594">
        <f>V49/10186227885</f>
        <v>0</v>
      </c>
      <c r="BB49" s="595" t="s">
        <v>121</v>
      </c>
      <c r="BC49" s="580" t="s">
        <v>1661</v>
      </c>
      <c r="BD49" s="602" t="s">
        <v>1630</v>
      </c>
      <c r="BE49" s="602" t="s">
        <v>154</v>
      </c>
      <c r="BF49" s="602" t="s">
        <v>154</v>
      </c>
      <c r="BG49" s="706" t="s">
        <v>154</v>
      </c>
      <c r="BH49" s="595" t="s">
        <v>1555</v>
      </c>
    </row>
    <row r="50" spans="1:60" s="1031" customFormat="1" ht="50.1" customHeight="1" x14ac:dyDescent="0.25">
      <c r="A50" s="1039"/>
      <c r="B50" s="1044"/>
      <c r="C50" s="325"/>
      <c r="D50" s="1047"/>
      <c r="E50" s="1048"/>
      <c r="F50" s="1039"/>
      <c r="G50" s="2808"/>
      <c r="H50" s="2634">
        <v>59</v>
      </c>
      <c r="I50" s="2424" t="s">
        <v>1662</v>
      </c>
      <c r="J50" s="2595" t="s">
        <v>1663</v>
      </c>
      <c r="K50" s="2634">
        <v>12</v>
      </c>
      <c r="L50" s="2634">
        <v>8</v>
      </c>
      <c r="M50" s="2595" t="s">
        <v>1648</v>
      </c>
      <c r="N50" s="2635"/>
      <c r="O50" s="2428"/>
      <c r="P50" s="2787">
        <f>+(U51+U52+U53+U54+U55+U50)/($Q$44)</f>
        <v>0.24818806355731207</v>
      </c>
      <c r="Q50" s="2791"/>
      <c r="R50" s="2428"/>
      <c r="S50" s="2428"/>
      <c r="T50" s="1059" t="s">
        <v>1613</v>
      </c>
      <c r="U50" s="1033">
        <v>63000000</v>
      </c>
      <c r="V50" s="1033"/>
      <c r="W50" s="1036">
        <v>0</v>
      </c>
      <c r="X50" s="2808"/>
      <c r="Y50" s="2536"/>
      <c r="Z50" s="2634">
        <v>31719</v>
      </c>
      <c r="AA50" s="2634">
        <v>0</v>
      </c>
      <c r="AB50" s="2634">
        <v>98821</v>
      </c>
      <c r="AC50" s="2634">
        <v>0</v>
      </c>
      <c r="AD50" s="2634">
        <v>50922</v>
      </c>
      <c r="AE50" s="2634">
        <v>0</v>
      </c>
      <c r="AF50" s="2634">
        <v>151591</v>
      </c>
      <c r="AG50" s="2634">
        <v>0</v>
      </c>
      <c r="AH50" s="2634">
        <v>151591</v>
      </c>
      <c r="AI50" s="2634">
        <v>0</v>
      </c>
      <c r="AJ50" s="2634">
        <v>71991</v>
      </c>
      <c r="AK50" s="2634">
        <v>0</v>
      </c>
      <c r="AL50" s="2634">
        <v>12718</v>
      </c>
      <c r="AM50" s="2634">
        <v>0</v>
      </c>
      <c r="AN50" s="2634">
        <v>2145</v>
      </c>
      <c r="AO50" s="2634">
        <v>0</v>
      </c>
      <c r="AP50" s="2634">
        <v>0</v>
      </c>
      <c r="AQ50" s="2634">
        <v>0</v>
      </c>
      <c r="AR50" s="2634">
        <v>0</v>
      </c>
      <c r="AS50" s="2634">
        <v>0</v>
      </c>
      <c r="AT50" s="2634">
        <v>41543</v>
      </c>
      <c r="AU50" s="2634">
        <v>0</v>
      </c>
      <c r="AV50" s="2634">
        <v>71991</v>
      </c>
      <c r="AW50" s="2634">
        <v>0</v>
      </c>
      <c r="AX50" s="865">
        <f t="shared" si="2"/>
        <v>0</v>
      </c>
      <c r="AY50" s="1057">
        <f t="shared" si="2"/>
        <v>0</v>
      </c>
      <c r="AZ50" s="1049">
        <v>0</v>
      </c>
      <c r="BA50" s="594">
        <f t="shared" ref="BA50:BA61" si="3">V50/10186227185</f>
        <v>0</v>
      </c>
      <c r="BB50" s="595" t="s">
        <v>1653</v>
      </c>
      <c r="BC50" s="580" t="s">
        <v>1654</v>
      </c>
      <c r="BD50" s="965">
        <v>42737</v>
      </c>
      <c r="BE50" s="602" t="s">
        <v>154</v>
      </c>
      <c r="BF50" s="602" t="s">
        <v>154</v>
      </c>
      <c r="BG50" s="706" t="s">
        <v>154</v>
      </c>
      <c r="BH50" s="595" t="s">
        <v>1555</v>
      </c>
    </row>
    <row r="51" spans="1:60" s="1031" customFormat="1" ht="50.1" customHeight="1" x14ac:dyDescent="0.25">
      <c r="A51" s="1039"/>
      <c r="B51" s="1044"/>
      <c r="C51" s="325"/>
      <c r="D51" s="1047"/>
      <c r="E51" s="1048"/>
      <c r="F51" s="1039"/>
      <c r="G51" s="2808"/>
      <c r="H51" s="2635"/>
      <c r="I51" s="2428"/>
      <c r="J51" s="2603"/>
      <c r="K51" s="2635"/>
      <c r="L51" s="2635"/>
      <c r="M51" s="2603"/>
      <c r="N51" s="2635"/>
      <c r="O51" s="2428"/>
      <c r="P51" s="2788"/>
      <c r="Q51" s="2791"/>
      <c r="R51" s="2428"/>
      <c r="S51" s="2428"/>
      <c r="T51" s="1053" t="s">
        <v>1635</v>
      </c>
      <c r="U51" s="1033">
        <v>26400000</v>
      </c>
      <c r="V51" s="1033">
        <f>13200000</f>
        <v>13200000</v>
      </c>
      <c r="W51" s="1036">
        <v>2640000</v>
      </c>
      <c r="X51" s="2808"/>
      <c r="Y51" s="2536"/>
      <c r="Z51" s="2635"/>
      <c r="AA51" s="2635"/>
      <c r="AB51" s="2635"/>
      <c r="AC51" s="2635"/>
      <c r="AD51" s="2635"/>
      <c r="AE51" s="2635"/>
      <c r="AF51" s="2635"/>
      <c r="AG51" s="2635"/>
      <c r="AH51" s="2635"/>
      <c r="AI51" s="2635"/>
      <c r="AJ51" s="2635"/>
      <c r="AK51" s="2635"/>
      <c r="AL51" s="2635"/>
      <c r="AM51" s="2635"/>
      <c r="AN51" s="2635"/>
      <c r="AO51" s="2635"/>
      <c r="AP51" s="2635"/>
      <c r="AQ51" s="2635"/>
      <c r="AR51" s="2635"/>
      <c r="AS51" s="2635"/>
      <c r="AT51" s="2635"/>
      <c r="AU51" s="2635"/>
      <c r="AV51" s="2635"/>
      <c r="AW51" s="2635"/>
      <c r="AX51" s="865">
        <v>1</v>
      </c>
      <c r="AY51" s="1057">
        <v>13200000</v>
      </c>
      <c r="AZ51" s="1049">
        <f>2640000</f>
        <v>2640000</v>
      </c>
      <c r="BA51" s="594">
        <f>AZ51/AY51</f>
        <v>0.2</v>
      </c>
      <c r="BB51" s="595" t="s">
        <v>1653</v>
      </c>
      <c r="BC51" s="580" t="s">
        <v>1617</v>
      </c>
      <c r="BD51" s="965">
        <v>42737</v>
      </c>
      <c r="BE51" s="602" t="s">
        <v>1664</v>
      </c>
      <c r="BF51" s="602" t="s">
        <v>1665</v>
      </c>
      <c r="BG51" s="706" t="s">
        <v>1665</v>
      </c>
      <c r="BH51" s="595" t="s">
        <v>1555</v>
      </c>
    </row>
    <row r="52" spans="1:60" s="1031" customFormat="1" ht="50.1" customHeight="1" x14ac:dyDescent="0.25">
      <c r="A52" s="1039"/>
      <c r="B52" s="1044"/>
      <c r="C52" s="325"/>
      <c r="D52" s="1047"/>
      <c r="E52" s="1048"/>
      <c r="F52" s="1039"/>
      <c r="G52" s="2808"/>
      <c r="H52" s="2635"/>
      <c r="I52" s="2428"/>
      <c r="J52" s="2603"/>
      <c r="K52" s="2635"/>
      <c r="L52" s="2635"/>
      <c r="M52" s="2603"/>
      <c r="N52" s="2635"/>
      <c r="O52" s="2428"/>
      <c r="P52" s="2788"/>
      <c r="Q52" s="2791"/>
      <c r="R52" s="2428"/>
      <c r="S52" s="2428"/>
      <c r="T52" s="1053" t="s">
        <v>1666</v>
      </c>
      <c r="U52" s="1033">
        <v>19550000</v>
      </c>
      <c r="V52" s="1033">
        <v>0</v>
      </c>
      <c r="W52" s="1036">
        <v>0</v>
      </c>
      <c r="X52" s="2808"/>
      <c r="Y52" s="2536"/>
      <c r="Z52" s="2635"/>
      <c r="AA52" s="2635"/>
      <c r="AB52" s="2635"/>
      <c r="AC52" s="2635"/>
      <c r="AD52" s="2635"/>
      <c r="AE52" s="2635"/>
      <c r="AF52" s="2635"/>
      <c r="AG52" s="2635"/>
      <c r="AH52" s="2635"/>
      <c r="AI52" s="2635"/>
      <c r="AJ52" s="2635"/>
      <c r="AK52" s="2635"/>
      <c r="AL52" s="2635"/>
      <c r="AM52" s="2635"/>
      <c r="AN52" s="2635"/>
      <c r="AO52" s="2635"/>
      <c r="AP52" s="2635"/>
      <c r="AQ52" s="2635"/>
      <c r="AR52" s="2635"/>
      <c r="AS52" s="2635"/>
      <c r="AT52" s="2635"/>
      <c r="AU52" s="2635"/>
      <c r="AV52" s="2635"/>
      <c r="AW52" s="2635"/>
      <c r="AX52" s="865">
        <f t="shared" si="2"/>
        <v>0</v>
      </c>
      <c r="AY52" s="1057">
        <f t="shared" si="2"/>
        <v>0</v>
      </c>
      <c r="AZ52" s="1049">
        <v>0</v>
      </c>
      <c r="BA52" s="594">
        <f t="shared" si="3"/>
        <v>0</v>
      </c>
      <c r="BB52" s="595" t="s">
        <v>1653</v>
      </c>
      <c r="BC52" s="602" t="s">
        <v>154</v>
      </c>
      <c r="BD52" s="965" t="s">
        <v>1667</v>
      </c>
      <c r="BE52" s="602" t="s">
        <v>154</v>
      </c>
      <c r="BF52" s="602" t="s">
        <v>154</v>
      </c>
      <c r="BG52" s="706" t="s">
        <v>154</v>
      </c>
      <c r="BH52" s="595" t="s">
        <v>1555</v>
      </c>
    </row>
    <row r="53" spans="1:60" s="1031" customFormat="1" ht="50.1" customHeight="1" x14ac:dyDescent="0.25">
      <c r="A53" s="1039"/>
      <c r="B53" s="1044"/>
      <c r="C53" s="325"/>
      <c r="D53" s="1047"/>
      <c r="E53" s="1048"/>
      <c r="F53" s="1039"/>
      <c r="G53" s="2808"/>
      <c r="H53" s="2635"/>
      <c r="I53" s="2428"/>
      <c r="J53" s="2603"/>
      <c r="K53" s="2635"/>
      <c r="L53" s="2635"/>
      <c r="M53" s="2603"/>
      <c r="N53" s="2635"/>
      <c r="O53" s="2428"/>
      <c r="P53" s="2788"/>
      <c r="Q53" s="2791"/>
      <c r="R53" s="2428"/>
      <c r="S53" s="2428"/>
      <c r="T53" s="1053" t="s">
        <v>1622</v>
      </c>
      <c r="U53" s="1033">
        <v>54375000</v>
      </c>
      <c r="V53" s="1033">
        <f>6975000+5100000</f>
        <v>12075000</v>
      </c>
      <c r="W53" s="1036">
        <v>0</v>
      </c>
      <c r="X53" s="2808"/>
      <c r="Y53" s="2536"/>
      <c r="Z53" s="2635"/>
      <c r="AA53" s="2635"/>
      <c r="AB53" s="2635"/>
      <c r="AC53" s="2635"/>
      <c r="AD53" s="2635"/>
      <c r="AE53" s="2635"/>
      <c r="AF53" s="2635"/>
      <c r="AG53" s="2635"/>
      <c r="AH53" s="2635"/>
      <c r="AI53" s="2635"/>
      <c r="AJ53" s="2635"/>
      <c r="AK53" s="2635"/>
      <c r="AL53" s="2635"/>
      <c r="AM53" s="2635"/>
      <c r="AN53" s="2635"/>
      <c r="AO53" s="2635"/>
      <c r="AP53" s="2635"/>
      <c r="AQ53" s="2635"/>
      <c r="AR53" s="2635"/>
      <c r="AS53" s="2635"/>
      <c r="AT53" s="2635"/>
      <c r="AU53" s="2635"/>
      <c r="AV53" s="2635"/>
      <c r="AW53" s="2635"/>
      <c r="AX53" s="865">
        <v>2</v>
      </c>
      <c r="AY53" s="1057">
        <v>12075000</v>
      </c>
      <c r="AZ53" s="1049"/>
      <c r="BA53" s="594">
        <f t="shared" si="3"/>
        <v>1.1854241792075247E-3</v>
      </c>
      <c r="BB53" s="595" t="s">
        <v>1653</v>
      </c>
      <c r="BC53" s="580" t="s">
        <v>1668</v>
      </c>
      <c r="BD53" s="965" t="s">
        <v>1624</v>
      </c>
      <c r="BE53" s="965">
        <v>42796</v>
      </c>
      <c r="BF53" s="965">
        <v>42800</v>
      </c>
      <c r="BG53" s="610">
        <v>42893</v>
      </c>
      <c r="BH53" s="595" t="s">
        <v>1555</v>
      </c>
    </row>
    <row r="54" spans="1:60" s="1031" customFormat="1" ht="50.1" customHeight="1" x14ac:dyDescent="0.25">
      <c r="A54" s="1039"/>
      <c r="B54" s="1044"/>
      <c r="C54" s="325"/>
      <c r="D54" s="1047"/>
      <c r="E54" s="1048"/>
      <c r="F54" s="1039"/>
      <c r="G54" s="2808"/>
      <c r="H54" s="2635"/>
      <c r="I54" s="2428"/>
      <c r="J54" s="2603"/>
      <c r="K54" s="2635"/>
      <c r="L54" s="2635"/>
      <c r="M54" s="2603"/>
      <c r="N54" s="2635"/>
      <c r="O54" s="2428"/>
      <c r="P54" s="2788"/>
      <c r="Q54" s="2791"/>
      <c r="R54" s="2428"/>
      <c r="S54" s="2428"/>
      <c r="T54" s="1053" t="s">
        <v>1642</v>
      </c>
      <c r="U54" s="1033">
        <v>204775000</v>
      </c>
      <c r="V54" s="1033">
        <v>0</v>
      </c>
      <c r="W54" s="1036">
        <v>0</v>
      </c>
      <c r="X54" s="2808"/>
      <c r="Y54" s="2536"/>
      <c r="Z54" s="2635"/>
      <c r="AA54" s="2635"/>
      <c r="AB54" s="2635"/>
      <c r="AC54" s="2635"/>
      <c r="AD54" s="2635"/>
      <c r="AE54" s="2635"/>
      <c r="AF54" s="2635"/>
      <c r="AG54" s="2635"/>
      <c r="AH54" s="2635"/>
      <c r="AI54" s="2635"/>
      <c r="AJ54" s="2635"/>
      <c r="AK54" s="2635"/>
      <c r="AL54" s="2635"/>
      <c r="AM54" s="2635"/>
      <c r="AN54" s="2635"/>
      <c r="AO54" s="2635"/>
      <c r="AP54" s="2635"/>
      <c r="AQ54" s="2635"/>
      <c r="AR54" s="2635"/>
      <c r="AS54" s="2635"/>
      <c r="AT54" s="2635"/>
      <c r="AU54" s="2635"/>
      <c r="AV54" s="2635"/>
      <c r="AW54" s="2635"/>
      <c r="AX54" s="865">
        <f t="shared" si="2"/>
        <v>0</v>
      </c>
      <c r="AY54" s="1057">
        <f t="shared" si="2"/>
        <v>0</v>
      </c>
      <c r="AZ54" s="1049">
        <v>0</v>
      </c>
      <c r="BA54" s="594">
        <f t="shared" si="3"/>
        <v>0</v>
      </c>
      <c r="BB54" s="595" t="s">
        <v>1653</v>
      </c>
      <c r="BC54" s="602" t="s">
        <v>154</v>
      </c>
      <c r="BD54" s="965">
        <v>42740</v>
      </c>
      <c r="BE54" s="602" t="s">
        <v>154</v>
      </c>
      <c r="BF54" s="602" t="s">
        <v>154</v>
      </c>
      <c r="BG54" s="706" t="s">
        <v>154</v>
      </c>
      <c r="BH54" s="595" t="s">
        <v>1555</v>
      </c>
    </row>
    <row r="55" spans="1:60" s="1031" customFormat="1" ht="50.1" customHeight="1" x14ac:dyDescent="0.25">
      <c r="A55" s="1039"/>
      <c r="B55" s="1044"/>
      <c r="C55" s="325"/>
      <c r="D55" s="1047"/>
      <c r="E55" s="1048"/>
      <c r="F55" s="1039"/>
      <c r="G55" s="2808"/>
      <c r="H55" s="2636"/>
      <c r="I55" s="2429"/>
      <c r="J55" s="2596"/>
      <c r="K55" s="2636"/>
      <c r="L55" s="2636"/>
      <c r="M55" s="2596"/>
      <c r="N55" s="2635"/>
      <c r="O55" s="2428"/>
      <c r="P55" s="2789"/>
      <c r="Q55" s="2791"/>
      <c r="R55" s="2428"/>
      <c r="S55" s="2428"/>
      <c r="T55" s="1053" t="s">
        <v>1627</v>
      </c>
      <c r="U55" s="1033">
        <v>2160000000</v>
      </c>
      <c r="V55" s="1033">
        <f>125288780+24372062+25763320+24749775.6+23702085+24196250+26355095.36+23025090</f>
        <v>297452457.95999998</v>
      </c>
      <c r="W55" s="1036">
        <f>125288780</f>
        <v>125288780</v>
      </c>
      <c r="X55" s="2808"/>
      <c r="Y55" s="2536"/>
      <c r="Z55" s="2636"/>
      <c r="AA55" s="2636"/>
      <c r="AB55" s="2636"/>
      <c r="AC55" s="2636"/>
      <c r="AD55" s="2636"/>
      <c r="AE55" s="2636"/>
      <c r="AF55" s="2636"/>
      <c r="AG55" s="2636"/>
      <c r="AH55" s="2636"/>
      <c r="AI55" s="2636"/>
      <c r="AJ55" s="2636"/>
      <c r="AK55" s="2636"/>
      <c r="AL55" s="2636"/>
      <c r="AM55" s="2636"/>
      <c r="AN55" s="2636"/>
      <c r="AO55" s="2636"/>
      <c r="AP55" s="2636"/>
      <c r="AQ55" s="2636"/>
      <c r="AR55" s="2636"/>
      <c r="AS55" s="2636"/>
      <c r="AT55" s="2636"/>
      <c r="AU55" s="2636"/>
      <c r="AV55" s="2636"/>
      <c r="AW55" s="2636"/>
      <c r="AX55" s="865">
        <v>8</v>
      </c>
      <c r="AY55" s="1057">
        <v>297452457.95999998</v>
      </c>
      <c r="AZ55" s="1049">
        <f>125288780</f>
        <v>125288780</v>
      </c>
      <c r="BA55" s="594">
        <f>AZ55/AY55</f>
        <v>0.42120606721242237</v>
      </c>
      <c r="BB55" s="595" t="s">
        <v>1653</v>
      </c>
      <c r="BC55" s="580" t="s">
        <v>1656</v>
      </c>
      <c r="BD55" s="1060">
        <v>42006</v>
      </c>
      <c r="BE55" s="602" t="s">
        <v>1669</v>
      </c>
      <c r="BF55" s="602" t="s">
        <v>1670</v>
      </c>
      <c r="BG55" s="706" t="s">
        <v>1671</v>
      </c>
      <c r="BH55" s="595" t="s">
        <v>1555</v>
      </c>
    </row>
    <row r="56" spans="1:60" s="1031" customFormat="1" ht="93.75" customHeight="1" x14ac:dyDescent="0.25">
      <c r="A56" s="1039"/>
      <c r="B56" s="1044"/>
      <c r="C56" s="325"/>
      <c r="D56" s="1047"/>
      <c r="E56" s="1048"/>
      <c r="F56" s="1039"/>
      <c r="G56" s="2808"/>
      <c r="H56" s="602">
        <v>60</v>
      </c>
      <c r="I56" s="595" t="s">
        <v>1672</v>
      </c>
      <c r="J56" s="84" t="s">
        <v>1673</v>
      </c>
      <c r="K56" s="602">
        <v>12</v>
      </c>
      <c r="L56" s="602">
        <v>0</v>
      </c>
      <c r="M56" s="84" t="s">
        <v>1660</v>
      </c>
      <c r="N56" s="2635"/>
      <c r="O56" s="2428"/>
      <c r="P56" s="594">
        <f>+U56/$Q$44</f>
        <v>4.9085887337785702E-3</v>
      </c>
      <c r="Q56" s="2791"/>
      <c r="R56" s="2428"/>
      <c r="S56" s="2428"/>
      <c r="T56" s="1053" t="s">
        <v>1627</v>
      </c>
      <c r="U56" s="1033">
        <v>50000000</v>
      </c>
      <c r="V56" s="1033">
        <v>0</v>
      </c>
      <c r="W56" s="1036">
        <v>0</v>
      </c>
      <c r="X56" s="2808"/>
      <c r="Y56" s="2536"/>
      <c r="Z56" s="1032">
        <v>31719</v>
      </c>
      <c r="AA56" s="1040">
        <v>0</v>
      </c>
      <c r="AB56" s="1032">
        <v>98821</v>
      </c>
      <c r="AC56" s="1032">
        <v>0</v>
      </c>
      <c r="AD56" s="1032">
        <v>50922</v>
      </c>
      <c r="AE56" s="1032">
        <v>0</v>
      </c>
      <c r="AF56" s="1032">
        <v>151591</v>
      </c>
      <c r="AG56" s="1032">
        <v>0</v>
      </c>
      <c r="AH56" s="1032">
        <v>151591</v>
      </c>
      <c r="AI56" s="1032">
        <v>0</v>
      </c>
      <c r="AJ56" s="1032">
        <v>71991</v>
      </c>
      <c r="AK56" s="1032">
        <v>0</v>
      </c>
      <c r="AL56" s="1032">
        <v>12718</v>
      </c>
      <c r="AM56" s="1032">
        <v>0</v>
      </c>
      <c r="AN56" s="1032">
        <v>2145</v>
      </c>
      <c r="AO56" s="1032">
        <v>0</v>
      </c>
      <c r="AP56" s="1032">
        <v>0</v>
      </c>
      <c r="AQ56" s="1032">
        <v>0</v>
      </c>
      <c r="AR56" s="1032">
        <v>0</v>
      </c>
      <c r="AS56" s="1032">
        <v>0</v>
      </c>
      <c r="AT56" s="1032">
        <v>41543</v>
      </c>
      <c r="AU56" s="1032">
        <v>0</v>
      </c>
      <c r="AV56" s="1032">
        <v>71991</v>
      </c>
      <c r="AW56" s="1032">
        <v>0</v>
      </c>
      <c r="AX56" s="865">
        <f t="shared" si="2"/>
        <v>0</v>
      </c>
      <c r="AY56" s="1057">
        <f t="shared" si="2"/>
        <v>0</v>
      </c>
      <c r="AZ56" s="1049">
        <v>0</v>
      </c>
      <c r="BA56" s="594">
        <f t="shared" si="3"/>
        <v>0</v>
      </c>
      <c r="BB56" s="595" t="s">
        <v>121</v>
      </c>
      <c r="BC56" s="602" t="s">
        <v>154</v>
      </c>
      <c r="BD56" s="965" t="s">
        <v>154</v>
      </c>
      <c r="BE56" s="602" t="s">
        <v>154</v>
      </c>
      <c r="BF56" s="602" t="s">
        <v>154</v>
      </c>
      <c r="BG56" s="706" t="s">
        <v>154</v>
      </c>
      <c r="BH56" s="595" t="s">
        <v>1555</v>
      </c>
    </row>
    <row r="57" spans="1:60" s="1031" customFormat="1" ht="50.1" customHeight="1" x14ac:dyDescent="0.25">
      <c r="A57" s="1039"/>
      <c r="B57" s="1044"/>
      <c r="C57" s="325"/>
      <c r="D57" s="1047"/>
      <c r="E57" s="1048"/>
      <c r="F57" s="1039"/>
      <c r="G57" s="2808"/>
      <c r="H57" s="2634">
        <v>61</v>
      </c>
      <c r="I57" s="2424" t="s">
        <v>1674</v>
      </c>
      <c r="J57" s="2595" t="s">
        <v>1675</v>
      </c>
      <c r="K57" s="2634">
        <v>2</v>
      </c>
      <c r="L57" s="2634">
        <v>1</v>
      </c>
      <c r="M57" s="2595" t="s">
        <v>1676</v>
      </c>
      <c r="N57" s="2635"/>
      <c r="O57" s="2428"/>
      <c r="P57" s="2787">
        <f>+(U57+U58)/Q44</f>
        <v>3.3604198471448091E-2</v>
      </c>
      <c r="Q57" s="2791"/>
      <c r="R57" s="2428"/>
      <c r="S57" s="2428"/>
      <c r="T57" s="84" t="s">
        <v>1613</v>
      </c>
      <c r="U57" s="1033">
        <v>94300000</v>
      </c>
      <c r="V57" s="1033">
        <f>94300000</f>
        <v>94300000</v>
      </c>
      <c r="W57" s="1036">
        <v>0</v>
      </c>
      <c r="X57" s="2808"/>
      <c r="Y57" s="2536"/>
      <c r="Z57" s="1032">
        <v>31719</v>
      </c>
      <c r="AA57" s="1040">
        <v>0</v>
      </c>
      <c r="AB57" s="1032">
        <v>98821</v>
      </c>
      <c r="AC57" s="1032">
        <v>0</v>
      </c>
      <c r="AD57" s="1032">
        <v>50922</v>
      </c>
      <c r="AE57" s="1032">
        <v>0</v>
      </c>
      <c r="AF57" s="1032">
        <v>151591</v>
      </c>
      <c r="AG57" s="1032">
        <v>0</v>
      </c>
      <c r="AH57" s="1032">
        <v>151591</v>
      </c>
      <c r="AI57" s="1032">
        <v>0</v>
      </c>
      <c r="AJ57" s="1032">
        <v>71991</v>
      </c>
      <c r="AK57" s="1032">
        <v>0</v>
      </c>
      <c r="AL57" s="1032">
        <v>12718</v>
      </c>
      <c r="AM57" s="1032">
        <v>0</v>
      </c>
      <c r="AN57" s="1032">
        <v>2145</v>
      </c>
      <c r="AO57" s="1032">
        <v>0</v>
      </c>
      <c r="AP57" s="1032">
        <v>0</v>
      </c>
      <c r="AQ57" s="1032">
        <v>0</v>
      </c>
      <c r="AR57" s="1032">
        <v>0</v>
      </c>
      <c r="AS57" s="1032">
        <v>0</v>
      </c>
      <c r="AT57" s="1032">
        <v>41543</v>
      </c>
      <c r="AU57" s="1032">
        <v>0</v>
      </c>
      <c r="AV57" s="1032">
        <v>71991</v>
      </c>
      <c r="AW57" s="1032">
        <v>0</v>
      </c>
      <c r="AX57" s="865">
        <v>1</v>
      </c>
      <c r="AY57" s="1057">
        <v>94300000</v>
      </c>
      <c r="AZ57" s="1049">
        <v>0</v>
      </c>
      <c r="BA57" s="594">
        <v>0</v>
      </c>
      <c r="BB57" s="595" t="s">
        <v>243</v>
      </c>
      <c r="BC57" s="602" t="s">
        <v>1677</v>
      </c>
      <c r="BD57" s="965">
        <v>42736</v>
      </c>
      <c r="BE57" s="602" t="s">
        <v>1624</v>
      </c>
      <c r="BF57" s="602" t="s">
        <v>1657</v>
      </c>
      <c r="BG57" s="706" t="s">
        <v>1657</v>
      </c>
      <c r="BH57" s="595" t="s">
        <v>1555</v>
      </c>
    </row>
    <row r="58" spans="1:60" s="1031" customFormat="1" ht="50.1" customHeight="1" x14ac:dyDescent="0.25">
      <c r="A58" s="1039"/>
      <c r="B58" s="1044"/>
      <c r="C58" s="325"/>
      <c r="D58" s="1047"/>
      <c r="E58" s="1048"/>
      <c r="F58" s="1039"/>
      <c r="G58" s="2808"/>
      <c r="H58" s="2636"/>
      <c r="I58" s="2429"/>
      <c r="J58" s="2596"/>
      <c r="K58" s="2636"/>
      <c r="L58" s="2636"/>
      <c r="M58" s="2596"/>
      <c r="N58" s="2635"/>
      <c r="O58" s="2428"/>
      <c r="P58" s="2789"/>
      <c r="Q58" s="2791"/>
      <c r="R58" s="2428"/>
      <c r="S58" s="2428"/>
      <c r="T58" s="602" t="s">
        <v>1627</v>
      </c>
      <c r="U58" s="1033">
        <v>248000000</v>
      </c>
      <c r="V58" s="1033">
        <f>5259186</f>
        <v>5259186</v>
      </c>
      <c r="W58" s="1036">
        <f>5259186</f>
        <v>5259186</v>
      </c>
      <c r="X58" s="2808"/>
      <c r="Y58" s="2536"/>
      <c r="Z58" s="1032">
        <v>31719</v>
      </c>
      <c r="AA58" s="1040">
        <v>0</v>
      </c>
      <c r="AB58" s="1032">
        <v>98821</v>
      </c>
      <c r="AC58" s="1032">
        <v>0</v>
      </c>
      <c r="AD58" s="1032">
        <v>50922</v>
      </c>
      <c r="AE58" s="1032">
        <v>0</v>
      </c>
      <c r="AF58" s="1032">
        <v>151591</v>
      </c>
      <c r="AG58" s="1032">
        <v>0</v>
      </c>
      <c r="AH58" s="1032">
        <v>151591</v>
      </c>
      <c r="AI58" s="1032">
        <v>0</v>
      </c>
      <c r="AJ58" s="1032">
        <v>71991</v>
      </c>
      <c r="AK58" s="1032">
        <v>0</v>
      </c>
      <c r="AL58" s="1032">
        <v>12718</v>
      </c>
      <c r="AM58" s="1032">
        <v>0</v>
      </c>
      <c r="AN58" s="1032">
        <v>2145</v>
      </c>
      <c r="AO58" s="1032">
        <v>0</v>
      </c>
      <c r="AP58" s="1032">
        <v>0</v>
      </c>
      <c r="AQ58" s="1032">
        <v>0</v>
      </c>
      <c r="AR58" s="1032">
        <v>0</v>
      </c>
      <c r="AS58" s="1032">
        <v>0</v>
      </c>
      <c r="AT58" s="1032">
        <v>41543</v>
      </c>
      <c r="AU58" s="1032">
        <v>0</v>
      </c>
      <c r="AV58" s="1032">
        <v>71991</v>
      </c>
      <c r="AW58" s="1032">
        <v>0</v>
      </c>
      <c r="AX58" s="865">
        <v>1</v>
      </c>
      <c r="AY58" s="1057">
        <f t="shared" si="2"/>
        <v>5259186</v>
      </c>
      <c r="AZ58" s="1049">
        <v>5259186</v>
      </c>
      <c r="BA58" s="594">
        <f>AZ58/AY58</f>
        <v>1</v>
      </c>
      <c r="BB58" s="595" t="s">
        <v>1678</v>
      </c>
      <c r="BC58" s="580" t="s">
        <v>1679</v>
      </c>
      <c r="BD58" s="965" t="s">
        <v>1618</v>
      </c>
      <c r="BE58" s="602" t="s">
        <v>1669</v>
      </c>
      <c r="BF58" s="965">
        <v>42738</v>
      </c>
      <c r="BG58" s="610">
        <v>42738</v>
      </c>
      <c r="BH58" s="595" t="s">
        <v>1555</v>
      </c>
    </row>
    <row r="59" spans="1:60" ht="88.5" customHeight="1" x14ac:dyDescent="0.2">
      <c r="A59" s="1039"/>
      <c r="B59" s="1044"/>
      <c r="C59" s="325"/>
      <c r="D59" s="1047"/>
      <c r="E59" s="1048"/>
      <c r="F59" s="1039"/>
      <c r="G59" s="2808"/>
      <c r="H59" s="602">
        <v>62</v>
      </c>
      <c r="I59" s="1093" t="s">
        <v>1680</v>
      </c>
      <c r="J59" s="1061" t="s">
        <v>1681</v>
      </c>
      <c r="K59" s="1062">
        <v>2</v>
      </c>
      <c r="L59" s="1062">
        <v>1</v>
      </c>
      <c r="M59" s="84" t="s">
        <v>1660</v>
      </c>
      <c r="N59" s="2635"/>
      <c r="O59" s="2428"/>
      <c r="P59" s="594">
        <f>+U59/$Q$44</f>
        <v>2.1008759780572282E-2</v>
      </c>
      <c r="Q59" s="2791"/>
      <c r="R59" s="2428"/>
      <c r="S59" s="2428"/>
      <c r="T59" s="602" t="s">
        <v>1627</v>
      </c>
      <c r="U59" s="1033">
        <v>214000000</v>
      </c>
      <c r="V59" s="1033">
        <v>60000000</v>
      </c>
      <c r="W59" s="1036">
        <v>0</v>
      </c>
      <c r="X59" s="2808"/>
      <c r="Y59" s="2536"/>
      <c r="Z59" s="1032">
        <v>31719</v>
      </c>
      <c r="AA59" s="1040">
        <v>0</v>
      </c>
      <c r="AB59" s="1032">
        <v>98821</v>
      </c>
      <c r="AC59" s="1032">
        <v>0</v>
      </c>
      <c r="AD59" s="1032">
        <v>50922</v>
      </c>
      <c r="AE59" s="1032">
        <v>0</v>
      </c>
      <c r="AF59" s="1032">
        <v>151591</v>
      </c>
      <c r="AG59" s="1032">
        <v>0</v>
      </c>
      <c r="AH59" s="1032">
        <v>151591</v>
      </c>
      <c r="AI59" s="1032">
        <v>0</v>
      </c>
      <c r="AJ59" s="1032">
        <v>71991</v>
      </c>
      <c r="AK59" s="1032">
        <v>0</v>
      </c>
      <c r="AL59" s="1032">
        <v>12718</v>
      </c>
      <c r="AM59" s="1032">
        <v>0</v>
      </c>
      <c r="AN59" s="1032">
        <v>2145</v>
      </c>
      <c r="AO59" s="1032">
        <v>0</v>
      </c>
      <c r="AP59" s="1032">
        <v>0</v>
      </c>
      <c r="AQ59" s="1032">
        <v>0</v>
      </c>
      <c r="AR59" s="1032">
        <v>0</v>
      </c>
      <c r="AS59" s="1032">
        <v>0</v>
      </c>
      <c r="AT59" s="1032">
        <v>41543</v>
      </c>
      <c r="AU59" s="1032">
        <v>0</v>
      </c>
      <c r="AV59" s="1032">
        <v>71991</v>
      </c>
      <c r="AW59" s="1032">
        <v>0</v>
      </c>
      <c r="AX59" s="865">
        <v>1</v>
      </c>
      <c r="AY59" s="1057">
        <v>60000000</v>
      </c>
      <c r="AZ59" s="1037">
        <v>0</v>
      </c>
      <c r="BA59" s="594">
        <f t="shared" si="3"/>
        <v>5.8903064805342839E-3</v>
      </c>
      <c r="BB59" s="595" t="s">
        <v>1678</v>
      </c>
      <c r="BC59" s="602" t="s">
        <v>1677</v>
      </c>
      <c r="BD59" s="965" t="s">
        <v>1618</v>
      </c>
      <c r="BE59" s="602" t="s">
        <v>1669</v>
      </c>
      <c r="BF59" s="602" t="s">
        <v>1657</v>
      </c>
      <c r="BG59" s="610">
        <v>42921</v>
      </c>
      <c r="BH59" s="595" t="s">
        <v>1555</v>
      </c>
    </row>
    <row r="60" spans="1:60" ht="66.75" customHeight="1" x14ac:dyDescent="0.2">
      <c r="A60" s="1039"/>
      <c r="B60" s="1044"/>
      <c r="C60" s="325"/>
      <c r="D60" s="1047"/>
      <c r="E60" s="1048"/>
      <c r="F60" s="1039"/>
      <c r="G60" s="2808"/>
      <c r="H60" s="602">
        <v>63</v>
      </c>
      <c r="I60" s="1093" t="s">
        <v>1682</v>
      </c>
      <c r="J60" s="1061" t="s">
        <v>1683</v>
      </c>
      <c r="K60" s="602">
        <v>250</v>
      </c>
      <c r="L60" s="602">
        <v>0</v>
      </c>
      <c r="M60" s="84" t="s">
        <v>1660</v>
      </c>
      <c r="N60" s="2635"/>
      <c r="O60" s="2428"/>
      <c r="P60" s="594">
        <f>+U60/$Q$44</f>
        <v>3.9268709870228562E-2</v>
      </c>
      <c r="Q60" s="2791"/>
      <c r="R60" s="2428"/>
      <c r="S60" s="2428"/>
      <c r="T60" s="602" t="s">
        <v>1627</v>
      </c>
      <c r="U60" s="1033">
        <v>400000000</v>
      </c>
      <c r="V60" s="1033">
        <v>0</v>
      </c>
      <c r="W60" s="1036">
        <v>0</v>
      </c>
      <c r="X60" s="2808"/>
      <c r="Y60" s="2536"/>
      <c r="Z60" s="1032">
        <v>31719</v>
      </c>
      <c r="AA60" s="1040">
        <v>0</v>
      </c>
      <c r="AB60" s="1032">
        <v>98821</v>
      </c>
      <c r="AC60" s="1032">
        <v>0</v>
      </c>
      <c r="AD60" s="1032">
        <v>50922</v>
      </c>
      <c r="AE60" s="1032">
        <v>0</v>
      </c>
      <c r="AF60" s="1032">
        <v>151591</v>
      </c>
      <c r="AG60" s="1032">
        <v>0</v>
      </c>
      <c r="AH60" s="1032">
        <v>151591</v>
      </c>
      <c r="AI60" s="1032">
        <v>0</v>
      </c>
      <c r="AJ60" s="1032">
        <v>71991</v>
      </c>
      <c r="AK60" s="1032">
        <v>0</v>
      </c>
      <c r="AL60" s="1032">
        <v>12718</v>
      </c>
      <c r="AM60" s="1032">
        <v>0</v>
      </c>
      <c r="AN60" s="1032">
        <v>2145</v>
      </c>
      <c r="AO60" s="1032">
        <v>0</v>
      </c>
      <c r="AP60" s="1032">
        <v>0</v>
      </c>
      <c r="AQ60" s="1032">
        <v>0</v>
      </c>
      <c r="AR60" s="1032">
        <v>0</v>
      </c>
      <c r="AS60" s="1032">
        <v>0</v>
      </c>
      <c r="AT60" s="1032">
        <v>41543</v>
      </c>
      <c r="AU60" s="1032">
        <v>0</v>
      </c>
      <c r="AV60" s="1032">
        <v>71991</v>
      </c>
      <c r="AW60" s="1032">
        <v>0</v>
      </c>
      <c r="AX60" s="865">
        <f t="shared" si="2"/>
        <v>0</v>
      </c>
      <c r="AY60" s="1063">
        <f t="shared" si="2"/>
        <v>0</v>
      </c>
      <c r="AZ60" s="1064"/>
      <c r="BA60" s="594">
        <f t="shared" si="3"/>
        <v>0</v>
      </c>
      <c r="BB60" s="595" t="s">
        <v>121</v>
      </c>
      <c r="BC60" s="602" t="s">
        <v>154</v>
      </c>
      <c r="BD60" s="965" t="s">
        <v>154</v>
      </c>
      <c r="BE60" s="602" t="s">
        <v>154</v>
      </c>
      <c r="BF60" s="602" t="s">
        <v>154</v>
      </c>
      <c r="BG60" s="706" t="s">
        <v>154</v>
      </c>
      <c r="BH60" s="595" t="s">
        <v>1555</v>
      </c>
    </row>
    <row r="61" spans="1:60" ht="50.1" customHeight="1" x14ac:dyDescent="0.2">
      <c r="A61" s="1039"/>
      <c r="B61" s="1044"/>
      <c r="C61" s="325"/>
      <c r="D61" s="1047"/>
      <c r="E61" s="1048"/>
      <c r="F61" s="1039"/>
      <c r="G61" s="2808"/>
      <c r="H61" s="2634">
        <v>64</v>
      </c>
      <c r="I61" s="2813" t="s">
        <v>1684</v>
      </c>
      <c r="J61" s="2595" t="s">
        <v>1685</v>
      </c>
      <c r="K61" s="2634">
        <v>1</v>
      </c>
      <c r="L61" s="2634">
        <v>0</v>
      </c>
      <c r="M61" s="2595" t="s">
        <v>1660</v>
      </c>
      <c r="N61" s="2635"/>
      <c r="O61" s="2428"/>
      <c r="P61" s="2787">
        <f>+(U61+U62)/$Q$44</f>
        <v>2.945153240267142E-3</v>
      </c>
      <c r="Q61" s="2791"/>
      <c r="R61" s="2428"/>
      <c r="S61" s="2428"/>
      <c r="T61" s="580" t="s">
        <v>1613</v>
      </c>
      <c r="U61" s="1033">
        <v>5400000</v>
      </c>
      <c r="V61" s="1033">
        <v>0</v>
      </c>
      <c r="W61" s="1036">
        <v>0</v>
      </c>
      <c r="X61" s="2808"/>
      <c r="Y61" s="2536"/>
      <c r="Z61" s="1032">
        <v>31719</v>
      </c>
      <c r="AA61" s="1040">
        <v>0</v>
      </c>
      <c r="AB61" s="1032">
        <v>98821</v>
      </c>
      <c r="AC61" s="1032">
        <v>0</v>
      </c>
      <c r="AD61" s="1032">
        <v>50922</v>
      </c>
      <c r="AE61" s="1032">
        <v>0</v>
      </c>
      <c r="AF61" s="1032">
        <v>151591</v>
      </c>
      <c r="AG61" s="1032">
        <v>0</v>
      </c>
      <c r="AH61" s="1032">
        <v>151591</v>
      </c>
      <c r="AI61" s="1032">
        <v>0</v>
      </c>
      <c r="AJ61" s="1032">
        <v>71991</v>
      </c>
      <c r="AK61" s="1032">
        <v>0</v>
      </c>
      <c r="AL61" s="1032">
        <v>12718</v>
      </c>
      <c r="AM61" s="1032">
        <v>0</v>
      </c>
      <c r="AN61" s="1032">
        <v>2145</v>
      </c>
      <c r="AO61" s="1032">
        <v>0</v>
      </c>
      <c r="AP61" s="1032">
        <v>0</v>
      </c>
      <c r="AQ61" s="1032">
        <v>0</v>
      </c>
      <c r="AR61" s="1032">
        <v>0</v>
      </c>
      <c r="AS61" s="1032">
        <v>0</v>
      </c>
      <c r="AT61" s="1032">
        <v>41543</v>
      </c>
      <c r="AU61" s="1032">
        <v>0</v>
      </c>
      <c r="AV61" s="1032">
        <v>71991</v>
      </c>
      <c r="AW61" s="1032">
        <v>0</v>
      </c>
      <c r="AX61" s="865">
        <f t="shared" si="2"/>
        <v>0</v>
      </c>
      <c r="AY61" s="1063">
        <f t="shared" si="2"/>
        <v>0</v>
      </c>
      <c r="AZ61" s="1064"/>
      <c r="BA61" s="594">
        <f t="shared" si="3"/>
        <v>0</v>
      </c>
      <c r="BB61" s="595" t="s">
        <v>121</v>
      </c>
      <c r="BC61" s="602" t="s">
        <v>154</v>
      </c>
      <c r="BD61" s="965" t="s">
        <v>154</v>
      </c>
      <c r="BE61" s="602" t="s">
        <v>154</v>
      </c>
      <c r="BF61" s="602" t="s">
        <v>154</v>
      </c>
      <c r="BG61" s="706" t="s">
        <v>154</v>
      </c>
      <c r="BH61" s="595" t="s">
        <v>1555</v>
      </c>
    </row>
    <row r="62" spans="1:60" ht="50.1" customHeight="1" x14ac:dyDescent="0.2">
      <c r="A62" s="1040"/>
      <c r="B62" s="1065"/>
      <c r="C62" s="330"/>
      <c r="D62" s="1066"/>
      <c r="E62" s="1067"/>
      <c r="F62" s="1040"/>
      <c r="G62" s="2809"/>
      <c r="H62" s="2636"/>
      <c r="I62" s="2814"/>
      <c r="J62" s="2596"/>
      <c r="K62" s="2636"/>
      <c r="L62" s="2636"/>
      <c r="M62" s="2596"/>
      <c r="N62" s="2636"/>
      <c r="O62" s="2429"/>
      <c r="P62" s="2789">
        <f t="shared" ref="P62" si="4">+U62/$Q$44</f>
        <v>2.4150256570190567E-3</v>
      </c>
      <c r="Q62" s="2792"/>
      <c r="R62" s="2429"/>
      <c r="S62" s="2429"/>
      <c r="T62" s="602" t="s">
        <v>1622</v>
      </c>
      <c r="U62" s="1033">
        <v>24600000</v>
      </c>
      <c r="V62" s="1033">
        <v>0</v>
      </c>
      <c r="W62" s="1036">
        <v>0</v>
      </c>
      <c r="X62" s="2809"/>
      <c r="Y62" s="2664"/>
      <c r="Z62" s="1032">
        <v>31719</v>
      </c>
      <c r="AA62" s="1040">
        <v>0</v>
      </c>
      <c r="AB62" s="1032">
        <v>98821</v>
      </c>
      <c r="AC62" s="1032">
        <v>0</v>
      </c>
      <c r="AD62" s="1032">
        <v>50922</v>
      </c>
      <c r="AE62" s="1032">
        <v>0</v>
      </c>
      <c r="AF62" s="1032">
        <v>151591</v>
      </c>
      <c r="AG62" s="1032">
        <v>0</v>
      </c>
      <c r="AH62" s="1032">
        <v>151591</v>
      </c>
      <c r="AI62" s="1032">
        <v>0</v>
      </c>
      <c r="AJ62" s="1032">
        <v>71991</v>
      </c>
      <c r="AK62" s="1032">
        <v>0</v>
      </c>
      <c r="AL62" s="1032">
        <v>12718</v>
      </c>
      <c r="AM62" s="1032">
        <v>0</v>
      </c>
      <c r="AN62" s="1032">
        <v>2145</v>
      </c>
      <c r="AO62" s="1032">
        <v>0</v>
      </c>
      <c r="AP62" s="1032">
        <v>0</v>
      </c>
      <c r="AQ62" s="1032">
        <v>0</v>
      </c>
      <c r="AR62" s="1032">
        <v>0</v>
      </c>
      <c r="AS62" s="1032">
        <v>0</v>
      </c>
      <c r="AT62" s="1032">
        <v>41543</v>
      </c>
      <c r="AU62" s="1032">
        <v>0</v>
      </c>
      <c r="AV62" s="1032">
        <v>71991</v>
      </c>
      <c r="AW62" s="1032">
        <v>0</v>
      </c>
      <c r="AX62" s="1068">
        <f t="shared" si="2"/>
        <v>0</v>
      </c>
      <c r="AY62" s="1063">
        <f t="shared" si="2"/>
        <v>0</v>
      </c>
      <c r="AZ62" s="1064"/>
      <c r="BA62" s="594">
        <f>V62/10186227.185</f>
        <v>0</v>
      </c>
      <c r="BB62" s="595" t="s">
        <v>121</v>
      </c>
      <c r="BC62" s="602" t="s">
        <v>154</v>
      </c>
      <c r="BD62" s="965" t="s">
        <v>154</v>
      </c>
      <c r="BE62" s="602" t="s">
        <v>154</v>
      </c>
      <c r="BF62" s="602" t="s">
        <v>154</v>
      </c>
      <c r="BG62" s="602" t="s">
        <v>154</v>
      </c>
      <c r="BH62" s="595" t="s">
        <v>1555</v>
      </c>
    </row>
    <row r="63" spans="1:60" s="1080" customFormat="1" ht="11.25" customHeight="1" x14ac:dyDescent="0.25">
      <c r="A63" s="1023"/>
      <c r="B63" s="877"/>
      <c r="C63" s="877"/>
      <c r="D63" s="877"/>
      <c r="E63" s="877"/>
      <c r="F63" s="877"/>
      <c r="G63" s="877"/>
      <c r="H63" s="877"/>
      <c r="I63" s="1090"/>
      <c r="J63" s="1069"/>
      <c r="K63" s="1069"/>
      <c r="L63" s="877"/>
      <c r="M63" s="1070"/>
      <c r="N63" s="877"/>
      <c r="O63" s="1091"/>
      <c r="P63" s="877"/>
      <c r="Q63" s="1071"/>
      <c r="R63" s="1090"/>
      <c r="S63" s="1090"/>
      <c r="T63" s="1072" t="s">
        <v>140</v>
      </c>
      <c r="U63" s="1073">
        <f>SUM(U13:U62)</f>
        <v>14469840704</v>
      </c>
      <c r="V63" s="1073">
        <f>SUM(V13:V62)</f>
        <v>1089237626.9400001</v>
      </c>
      <c r="W63" s="1073">
        <f>SUM(W13:W62)</f>
        <v>241489633</v>
      </c>
      <c r="X63" s="1074"/>
      <c r="Y63" s="1075"/>
      <c r="Z63" s="1069"/>
      <c r="AA63" s="1069"/>
      <c r="AB63" s="1069"/>
      <c r="AC63" s="1069"/>
      <c r="AD63" s="1069"/>
      <c r="AE63" s="1069"/>
      <c r="AF63" s="1069"/>
      <c r="AG63" s="1069"/>
      <c r="AH63" s="1069"/>
      <c r="AI63" s="1069"/>
      <c r="AJ63" s="1069"/>
      <c r="AK63" s="1069"/>
      <c r="AL63" s="1069"/>
      <c r="AM63" s="1069"/>
      <c r="AN63" s="1069"/>
      <c r="AO63" s="1069"/>
      <c r="AP63" s="1069"/>
      <c r="AQ63" s="1069"/>
      <c r="AR63" s="1069"/>
      <c r="AS63" s="1069"/>
      <c r="AT63" s="1069"/>
      <c r="AU63" s="1069"/>
      <c r="AV63" s="1069"/>
      <c r="AW63" s="1076"/>
      <c r="AX63" s="1077">
        <f>SUM(AX13:AX62)</f>
        <v>69</v>
      </c>
      <c r="AY63" s="1078">
        <f>SUM(AY13:AY62)</f>
        <v>1089237626.9400001</v>
      </c>
      <c r="AZ63" s="1078">
        <f>SUM(AZ13:AZ62)</f>
        <v>241489633</v>
      </c>
      <c r="BA63" s="1079">
        <f>AZ63/AY63</f>
        <v>0.22170518813091122</v>
      </c>
      <c r="BB63" s="1094"/>
      <c r="BC63" s="637"/>
      <c r="BD63" s="1081"/>
      <c r="BE63" s="1081"/>
      <c r="BF63" s="1081"/>
      <c r="BG63" s="1081"/>
    </row>
    <row r="64" spans="1:60" ht="11.25" customHeight="1" x14ac:dyDescent="0.2">
      <c r="L64" s="1082"/>
      <c r="M64" s="138"/>
      <c r="N64" s="1082"/>
      <c r="O64" s="1092"/>
      <c r="P64" s="1082"/>
      <c r="Q64" s="1083"/>
      <c r="T64" s="194"/>
      <c r="U64" s="1084"/>
      <c r="W64" s="1086">
        <f>W63-241489633</f>
        <v>0</v>
      </c>
    </row>
    <row r="65" spans="1:60" ht="11.25" customHeight="1" x14ac:dyDescent="0.2">
      <c r="L65" s="1082"/>
      <c r="M65" s="138"/>
      <c r="N65" s="1082"/>
      <c r="O65" s="1092"/>
      <c r="P65" s="1082"/>
      <c r="Q65" s="1082"/>
      <c r="V65" s="1084">
        <f>V63-1089237626.94</f>
        <v>0</v>
      </c>
    </row>
    <row r="66" spans="1:60" ht="19.5" customHeight="1" x14ac:dyDescent="0.25">
      <c r="A66" s="2810" t="s">
        <v>1617</v>
      </c>
      <c r="B66" s="2810"/>
      <c r="C66" s="2810"/>
      <c r="D66" s="2810"/>
      <c r="E66" s="2810"/>
      <c r="F66" s="2810"/>
      <c r="G66" s="2810"/>
      <c r="H66" s="2810"/>
      <c r="I66" s="2810"/>
      <c r="J66" s="2810"/>
      <c r="K66" s="2810"/>
      <c r="L66" s="2810"/>
      <c r="M66" s="2810"/>
      <c r="N66" s="2810"/>
      <c r="O66" s="2810"/>
      <c r="P66" s="2810"/>
      <c r="Q66" s="2810"/>
      <c r="R66" s="2810"/>
      <c r="S66" s="2810"/>
      <c r="T66" s="2810"/>
      <c r="U66" s="2810"/>
      <c r="V66" s="2810"/>
      <c r="W66" s="2810"/>
      <c r="X66" s="2810"/>
      <c r="Y66" s="2810"/>
      <c r="Z66" s="2810"/>
      <c r="AA66" s="2810"/>
      <c r="AB66" s="2810"/>
      <c r="AC66" s="2810"/>
      <c r="AD66" s="2810"/>
      <c r="AE66" s="2810"/>
      <c r="AF66" s="2810"/>
      <c r="AG66" s="2810"/>
      <c r="AH66" s="2810"/>
      <c r="AI66" s="2810"/>
      <c r="AJ66" s="2810"/>
      <c r="AK66" s="2810"/>
      <c r="AL66" s="2810"/>
      <c r="AM66" s="2810"/>
      <c r="AN66" s="2810"/>
      <c r="AO66" s="2810"/>
      <c r="AP66" s="2810"/>
      <c r="AQ66" s="2810"/>
      <c r="AR66" s="2810"/>
      <c r="AS66" s="2810"/>
      <c r="AT66" s="2810"/>
      <c r="AU66" s="2810"/>
      <c r="AV66" s="2810"/>
      <c r="AW66" s="2810"/>
      <c r="AX66" s="2810"/>
      <c r="AY66" s="2810"/>
      <c r="AZ66" s="2810"/>
      <c r="BA66" s="2810"/>
      <c r="BB66" s="2810"/>
      <c r="BC66" s="2810"/>
      <c r="BD66" s="2810"/>
      <c r="BE66" s="2810"/>
      <c r="BF66" s="2810"/>
      <c r="BG66" s="2810"/>
      <c r="BH66" s="2810"/>
    </row>
    <row r="67" spans="1:60" ht="11.25" customHeight="1" x14ac:dyDescent="0.25">
      <c r="A67" s="2811" t="s">
        <v>1686</v>
      </c>
      <c r="B67" s="2811"/>
      <c r="C67" s="2811"/>
      <c r="D67" s="2811"/>
      <c r="E67" s="2811"/>
      <c r="F67" s="2811"/>
      <c r="G67" s="2811"/>
      <c r="H67" s="2811"/>
      <c r="I67" s="2811"/>
      <c r="J67" s="2811"/>
      <c r="K67" s="2811"/>
      <c r="L67" s="2811"/>
      <c r="M67" s="2811"/>
      <c r="N67" s="2811"/>
      <c r="O67" s="2811"/>
      <c r="P67" s="2811"/>
      <c r="Q67" s="2811"/>
      <c r="R67" s="2811"/>
      <c r="S67" s="2811"/>
      <c r="T67" s="2811"/>
      <c r="U67" s="2811"/>
      <c r="V67" s="2811"/>
      <c r="W67" s="2811"/>
      <c r="X67" s="2811"/>
      <c r="Y67" s="2811"/>
      <c r="Z67" s="2811"/>
      <c r="AA67" s="2811"/>
      <c r="AB67" s="2811"/>
      <c r="AC67" s="2811"/>
      <c r="AD67" s="2811"/>
      <c r="AE67" s="2811"/>
      <c r="AF67" s="2811"/>
      <c r="AG67" s="2811"/>
      <c r="AH67" s="2811"/>
      <c r="AI67" s="2811"/>
      <c r="AJ67" s="2811"/>
      <c r="AK67" s="2811"/>
      <c r="AL67" s="2811"/>
      <c r="AM67" s="2811"/>
      <c r="AN67" s="2811"/>
      <c r="AO67" s="2811"/>
      <c r="AP67" s="2811"/>
      <c r="AQ67" s="2811"/>
      <c r="AR67" s="2811"/>
      <c r="AS67" s="2811"/>
      <c r="AT67" s="2811"/>
      <c r="AU67" s="2811"/>
      <c r="AV67" s="2811"/>
      <c r="AW67" s="2811"/>
      <c r="AX67" s="2811"/>
      <c r="AY67" s="2811"/>
      <c r="AZ67" s="2811"/>
      <c r="BA67" s="2811"/>
      <c r="BB67" s="2811"/>
      <c r="BC67" s="2811"/>
      <c r="BD67" s="2811"/>
      <c r="BE67" s="2811"/>
      <c r="BF67" s="2811"/>
      <c r="BG67" s="2811"/>
      <c r="BH67" s="2811"/>
    </row>
    <row r="68" spans="1:60" ht="11.25" customHeight="1" x14ac:dyDescent="0.2">
      <c r="A68" s="2812" t="s">
        <v>1687</v>
      </c>
      <c r="B68" s="2812"/>
      <c r="C68" s="2812"/>
      <c r="D68" s="2812"/>
      <c r="E68" s="2812"/>
      <c r="F68" s="2812"/>
      <c r="G68" s="2812"/>
      <c r="H68" s="2812"/>
      <c r="I68" s="2812"/>
      <c r="J68" s="2812"/>
      <c r="K68" s="2812"/>
      <c r="L68" s="2812"/>
      <c r="M68" s="2812"/>
      <c r="N68" s="2812"/>
      <c r="O68" s="2812"/>
      <c r="P68" s="2812"/>
      <c r="Q68" s="2812"/>
      <c r="R68" s="2812"/>
      <c r="S68" s="2812"/>
      <c r="T68" s="2812"/>
      <c r="U68" s="2812"/>
      <c r="V68" s="2812"/>
      <c r="W68" s="2812"/>
      <c r="X68" s="2812"/>
      <c r="Y68" s="2812"/>
      <c r="Z68" s="2812"/>
      <c r="AA68" s="2812"/>
      <c r="AB68" s="2812"/>
      <c r="AC68" s="2812"/>
      <c r="AD68" s="2812"/>
      <c r="AE68" s="2812"/>
      <c r="AF68" s="2812"/>
      <c r="AG68" s="2812"/>
      <c r="AH68" s="2812"/>
      <c r="AI68" s="2812"/>
      <c r="AJ68" s="2812"/>
      <c r="AK68" s="2812"/>
      <c r="AL68" s="2812"/>
      <c r="AM68" s="2812"/>
      <c r="AN68" s="2812"/>
      <c r="AO68" s="2812"/>
      <c r="AP68" s="2812"/>
      <c r="AQ68" s="2812"/>
      <c r="AR68" s="2812"/>
      <c r="AS68" s="2812"/>
      <c r="AT68" s="2812"/>
      <c r="AU68" s="2812"/>
      <c r="AV68" s="2812"/>
      <c r="AW68" s="2812"/>
      <c r="AX68" s="2812"/>
      <c r="AY68" s="2812"/>
      <c r="AZ68" s="2812"/>
      <c r="BA68" s="2812"/>
      <c r="BB68" s="2812"/>
      <c r="BC68" s="2812"/>
      <c r="BD68" s="2812"/>
      <c r="BE68" s="2812"/>
      <c r="BF68" s="2812"/>
      <c r="BG68" s="2812"/>
      <c r="BH68" s="2812"/>
    </row>
    <row r="69" spans="1:60" ht="11.25" customHeight="1" x14ac:dyDescent="0.2">
      <c r="L69" s="1082"/>
      <c r="M69" s="138"/>
      <c r="N69" s="1082"/>
      <c r="O69" s="1092"/>
    </row>
    <row r="70" spans="1:60" ht="11.25" customHeight="1" x14ac:dyDescent="0.2">
      <c r="L70" s="1082"/>
      <c r="M70" s="138"/>
      <c r="N70" s="1082"/>
      <c r="O70" s="1092"/>
    </row>
    <row r="71" spans="1:60" ht="11.25" customHeight="1" x14ac:dyDescent="0.2">
      <c r="L71" s="1082"/>
      <c r="M71" s="138"/>
      <c r="N71" s="1082"/>
      <c r="O71" s="1092"/>
    </row>
    <row r="72" spans="1:60" x14ac:dyDescent="0.2">
      <c r="L72" s="1082"/>
      <c r="M72" s="202"/>
      <c r="N72" s="1082"/>
      <c r="O72" s="1092"/>
    </row>
  </sheetData>
  <sheetProtection password="CBEB" sheet="1" objects="1" scenarios="1"/>
  <mergeCells count="495">
    <mergeCell ref="A66:BH66"/>
    <mergeCell ref="A67:BH67"/>
    <mergeCell ref="A68:BH68"/>
    <mergeCell ref="H61:H62"/>
    <mergeCell ref="I61:I62"/>
    <mergeCell ref="J61:J62"/>
    <mergeCell ref="K61:K62"/>
    <mergeCell ref="L61:L62"/>
    <mergeCell ref="M61:M62"/>
    <mergeCell ref="AR50:AR55"/>
    <mergeCell ref="AS50:AS55"/>
    <mergeCell ref="AT50:AT55"/>
    <mergeCell ref="AI50:AI55"/>
    <mergeCell ref="AJ50:AJ55"/>
    <mergeCell ref="AK50:AK55"/>
    <mergeCell ref="AL50:AL55"/>
    <mergeCell ref="AM50:AM55"/>
    <mergeCell ref="AN50:AN55"/>
    <mergeCell ref="H57:H58"/>
    <mergeCell ref="I57:I58"/>
    <mergeCell ref="J57:J58"/>
    <mergeCell ref="K57:K58"/>
    <mergeCell ref="L57:L58"/>
    <mergeCell ref="M57:M58"/>
    <mergeCell ref="P57:P58"/>
    <mergeCell ref="AO50:AO55"/>
    <mergeCell ref="AP50:AP55"/>
    <mergeCell ref="AC50:AC55"/>
    <mergeCell ref="AD50:AD55"/>
    <mergeCell ref="AU44:AU48"/>
    <mergeCell ref="AV44:AV48"/>
    <mergeCell ref="AW44:AW48"/>
    <mergeCell ref="H50:H55"/>
    <mergeCell ref="I50:I55"/>
    <mergeCell ref="J50:J55"/>
    <mergeCell ref="K50:K55"/>
    <mergeCell ref="L50:L55"/>
    <mergeCell ref="M50:M55"/>
    <mergeCell ref="P50:P55"/>
    <mergeCell ref="AO44:AO48"/>
    <mergeCell ref="AP44:AP48"/>
    <mergeCell ref="AQ44:AQ48"/>
    <mergeCell ref="AR44:AR48"/>
    <mergeCell ref="AS44:AS48"/>
    <mergeCell ref="AT44:AT48"/>
    <mergeCell ref="AI44:AI48"/>
    <mergeCell ref="AJ44:AJ48"/>
    <mergeCell ref="AK44:AK48"/>
    <mergeCell ref="AL44:AL48"/>
    <mergeCell ref="AU50:AU55"/>
    <mergeCell ref="AV50:AV55"/>
    <mergeCell ref="AW50:AW55"/>
    <mergeCell ref="AQ50:AQ55"/>
    <mergeCell ref="AH44:AH48"/>
    <mergeCell ref="S44:S62"/>
    <mergeCell ref="X44:X62"/>
    <mergeCell ref="Y44:Y62"/>
    <mergeCell ref="Z44:Z48"/>
    <mergeCell ref="AA44:AA48"/>
    <mergeCell ref="AB44:AB48"/>
    <mergeCell ref="Z50:Z55"/>
    <mergeCell ref="AA50:AA55"/>
    <mergeCell ref="AB50:AB55"/>
    <mergeCell ref="AE50:AE55"/>
    <mergeCell ref="AF50:AF55"/>
    <mergeCell ref="AG50:AG55"/>
    <mergeCell ref="AH50:AH55"/>
    <mergeCell ref="M44:M48"/>
    <mergeCell ref="N44:N62"/>
    <mergeCell ref="O44:O62"/>
    <mergeCell ref="P44:P48"/>
    <mergeCell ref="Q44:Q62"/>
    <mergeCell ref="R44:R62"/>
    <mergeCell ref="P61:P62"/>
    <mergeCell ref="AT41:AT42"/>
    <mergeCell ref="AU41:AU42"/>
    <mergeCell ref="AF41:AF42"/>
    <mergeCell ref="AG41:AG42"/>
    <mergeCell ref="N34:N42"/>
    <mergeCell ref="O34:O42"/>
    <mergeCell ref="P34:P37"/>
    <mergeCell ref="Q34:Q42"/>
    <mergeCell ref="R34:R42"/>
    <mergeCell ref="S34:S37"/>
    <mergeCell ref="AM44:AM48"/>
    <mergeCell ref="AN44:AN48"/>
    <mergeCell ref="AC44:AC48"/>
    <mergeCell ref="AD44:AD48"/>
    <mergeCell ref="AE44:AE48"/>
    <mergeCell ref="AF44:AF48"/>
    <mergeCell ref="AG44:AG48"/>
    <mergeCell ref="AV41:AV42"/>
    <mergeCell ref="AW41:AW42"/>
    <mergeCell ref="G44:G62"/>
    <mergeCell ref="H44:H48"/>
    <mergeCell ref="I44:I48"/>
    <mergeCell ref="J44:J48"/>
    <mergeCell ref="K44:K48"/>
    <mergeCell ref="L44:L48"/>
    <mergeCell ref="AN41:AN42"/>
    <mergeCell ref="AO41:AO42"/>
    <mergeCell ref="AP41:AP42"/>
    <mergeCell ref="AQ41:AQ42"/>
    <mergeCell ref="AR41:AR42"/>
    <mergeCell ref="AS41:AS42"/>
    <mergeCell ref="AH41:AH42"/>
    <mergeCell ref="AI41:AI42"/>
    <mergeCell ref="AJ41:AJ42"/>
    <mergeCell ref="AK41:AK42"/>
    <mergeCell ref="AL41:AL42"/>
    <mergeCell ref="AM41:AM42"/>
    <mergeCell ref="AB41:AB42"/>
    <mergeCell ref="AC41:AC42"/>
    <mergeCell ref="AD41:AD42"/>
    <mergeCell ref="AE41:AE42"/>
    <mergeCell ref="AS38:AS40"/>
    <mergeCell ref="AT38:AT40"/>
    <mergeCell ref="AU38:AU40"/>
    <mergeCell ref="AJ38:AJ40"/>
    <mergeCell ref="AK38:AK40"/>
    <mergeCell ref="AL38:AL40"/>
    <mergeCell ref="AM38:AM40"/>
    <mergeCell ref="AN38:AN40"/>
    <mergeCell ref="AO38:AO40"/>
    <mergeCell ref="H41:H42"/>
    <mergeCell ref="I41:I42"/>
    <mergeCell ref="J41:J42"/>
    <mergeCell ref="K41:K42"/>
    <mergeCell ref="L41:L42"/>
    <mergeCell ref="P41:P42"/>
    <mergeCell ref="S41:S42"/>
    <mergeCell ref="Z41:Z42"/>
    <mergeCell ref="AP38:AP40"/>
    <mergeCell ref="AD38:AD40"/>
    <mergeCell ref="AE38:AE40"/>
    <mergeCell ref="AV34:AV37"/>
    <mergeCell ref="AW34:AW37"/>
    <mergeCell ref="H38:H40"/>
    <mergeCell ref="I38:I40"/>
    <mergeCell ref="J38:J40"/>
    <mergeCell ref="K38:K40"/>
    <mergeCell ref="L38:L40"/>
    <mergeCell ref="P38:P40"/>
    <mergeCell ref="S38:S40"/>
    <mergeCell ref="Z38:Z40"/>
    <mergeCell ref="AP34:AP37"/>
    <mergeCell ref="AQ34:AQ37"/>
    <mergeCell ref="AR34:AR37"/>
    <mergeCell ref="AS34:AS37"/>
    <mergeCell ref="AT34:AT37"/>
    <mergeCell ref="AU34:AU37"/>
    <mergeCell ref="AJ34:AJ37"/>
    <mergeCell ref="AK34:AK37"/>
    <mergeCell ref="AL34:AL37"/>
    <mergeCell ref="AM34:AM37"/>
    <mergeCell ref="AV38:AV40"/>
    <mergeCell ref="AW38:AW40"/>
    <mergeCell ref="AQ38:AQ40"/>
    <mergeCell ref="AR38:AR40"/>
    <mergeCell ref="AN34:AN37"/>
    <mergeCell ref="AO34:AO37"/>
    <mergeCell ref="AD34:AD37"/>
    <mergeCell ref="AE34:AE37"/>
    <mergeCell ref="AF34:AF37"/>
    <mergeCell ref="AG34:AG37"/>
    <mergeCell ref="AH34:AH37"/>
    <mergeCell ref="AI34:AI37"/>
    <mergeCell ref="X34:X42"/>
    <mergeCell ref="Y34:Y42"/>
    <mergeCell ref="Z34:Z37"/>
    <mergeCell ref="AA34:AA37"/>
    <mergeCell ref="AB34:AB37"/>
    <mergeCell ref="AC34:AC37"/>
    <mergeCell ref="AA38:AA40"/>
    <mergeCell ref="AB38:AB40"/>
    <mergeCell ref="AC38:AC40"/>
    <mergeCell ref="AA41:AA42"/>
    <mergeCell ref="AF38:AF40"/>
    <mergeCell ref="AG38:AG40"/>
    <mergeCell ref="AH38:AH40"/>
    <mergeCell ref="AI38:AI40"/>
    <mergeCell ref="AW28:AW30"/>
    <mergeCell ref="S29:S30"/>
    <mergeCell ref="D32:K32"/>
    <mergeCell ref="G34:G42"/>
    <mergeCell ref="H34:H37"/>
    <mergeCell ref="I34:I37"/>
    <mergeCell ref="J34:J37"/>
    <mergeCell ref="K34:K37"/>
    <mergeCell ref="L34:L37"/>
    <mergeCell ref="M34:M42"/>
    <mergeCell ref="AQ28:AQ30"/>
    <mergeCell ref="AR28:AR30"/>
    <mergeCell ref="AS28:AS30"/>
    <mergeCell ref="AT28:AT30"/>
    <mergeCell ref="AU28:AU30"/>
    <mergeCell ref="AV28:AV30"/>
    <mergeCell ref="AK28:AK30"/>
    <mergeCell ref="AL28:AL30"/>
    <mergeCell ref="AM28:AM30"/>
    <mergeCell ref="AN28:AN30"/>
    <mergeCell ref="AO28:AO30"/>
    <mergeCell ref="AP28:AP30"/>
    <mergeCell ref="AE28:AE30"/>
    <mergeCell ref="AF28:AF30"/>
    <mergeCell ref="AG28:AG30"/>
    <mergeCell ref="AH28:AH30"/>
    <mergeCell ref="AI28:AI30"/>
    <mergeCell ref="AJ28:AJ30"/>
    <mergeCell ref="Y28:Y30"/>
    <mergeCell ref="Z28:Z30"/>
    <mergeCell ref="AA28:AA30"/>
    <mergeCell ref="AB28:AB30"/>
    <mergeCell ref="AC28:AC30"/>
    <mergeCell ref="AD28:AD30"/>
    <mergeCell ref="N28:N30"/>
    <mergeCell ref="O28:O30"/>
    <mergeCell ref="P28:P30"/>
    <mergeCell ref="Q28:Q30"/>
    <mergeCell ref="R28:R30"/>
    <mergeCell ref="X28:X30"/>
    <mergeCell ref="H28:H30"/>
    <mergeCell ref="I28:I30"/>
    <mergeCell ref="J28:J30"/>
    <mergeCell ref="K28:K30"/>
    <mergeCell ref="L28:L30"/>
    <mergeCell ref="M28:M30"/>
    <mergeCell ref="AR26:AR27"/>
    <mergeCell ref="AS26:AS27"/>
    <mergeCell ref="AT26:AT27"/>
    <mergeCell ref="AU26:AU27"/>
    <mergeCell ref="AV26:AV27"/>
    <mergeCell ref="AW26:AW27"/>
    <mergeCell ref="AL26:AL27"/>
    <mergeCell ref="AM26:AM27"/>
    <mergeCell ref="AN26:AN27"/>
    <mergeCell ref="AO26:AO27"/>
    <mergeCell ref="AP26:AP27"/>
    <mergeCell ref="AQ26:AQ27"/>
    <mergeCell ref="AF26:AF27"/>
    <mergeCell ref="AG26:AG27"/>
    <mergeCell ref="AH26:AH27"/>
    <mergeCell ref="AI26:AI27"/>
    <mergeCell ref="AJ26:AJ27"/>
    <mergeCell ref="AK26:AK27"/>
    <mergeCell ref="Z26:Z27"/>
    <mergeCell ref="AA26:AA27"/>
    <mergeCell ref="AB26:AB27"/>
    <mergeCell ref="AC26:AC27"/>
    <mergeCell ref="AD26:AD27"/>
    <mergeCell ref="AE26:AE27"/>
    <mergeCell ref="O26:O27"/>
    <mergeCell ref="P26:P27"/>
    <mergeCell ref="Q26:Q27"/>
    <mergeCell ref="R26:R27"/>
    <mergeCell ref="X26:X27"/>
    <mergeCell ref="Y26:Y27"/>
    <mergeCell ref="AZ21:AZ25"/>
    <mergeCell ref="BA21:BA25"/>
    <mergeCell ref="BB21:BB25"/>
    <mergeCell ref="AV21:AV25"/>
    <mergeCell ref="AW21:AW25"/>
    <mergeCell ref="AX21:AX25"/>
    <mergeCell ref="AY21:AY25"/>
    <mergeCell ref="AE21:AE25"/>
    <mergeCell ref="AF21:AF25"/>
    <mergeCell ref="AG21:AG25"/>
    <mergeCell ref="V21:V25"/>
    <mergeCell ref="W21:W25"/>
    <mergeCell ref="X21:X25"/>
    <mergeCell ref="Y21:Y25"/>
    <mergeCell ref="Z21:Z25"/>
    <mergeCell ref="AA21:AA25"/>
    <mergeCell ref="P21:P25"/>
    <mergeCell ref="Q21:Q25"/>
    <mergeCell ref="H26:H27"/>
    <mergeCell ref="I26:I27"/>
    <mergeCell ref="J26:J27"/>
    <mergeCell ref="K26:K27"/>
    <mergeCell ref="L26:L27"/>
    <mergeCell ref="M26:M27"/>
    <mergeCell ref="N26:N27"/>
    <mergeCell ref="AT21:AT25"/>
    <mergeCell ref="AU21:AU25"/>
    <mergeCell ref="AN21:AN25"/>
    <mergeCell ref="AO21:AO25"/>
    <mergeCell ref="AP21:AP25"/>
    <mergeCell ref="AQ21:AQ25"/>
    <mergeCell ref="AR21:AR25"/>
    <mergeCell ref="AS21:AS25"/>
    <mergeCell ref="AH21:AH25"/>
    <mergeCell ref="AI21:AI25"/>
    <mergeCell ref="AJ21:AJ25"/>
    <mergeCell ref="AK21:AK25"/>
    <mergeCell ref="AL21:AL25"/>
    <mergeCell ref="AM21:AM25"/>
    <mergeCell ref="AB21:AB25"/>
    <mergeCell ref="AC21:AC25"/>
    <mergeCell ref="AD21:AD25"/>
    <mergeCell ref="R21:R25"/>
    <mergeCell ref="S21:S25"/>
    <mergeCell ref="T21:T25"/>
    <mergeCell ref="U21:U25"/>
    <mergeCell ref="BA19:BA20"/>
    <mergeCell ref="BB19:BB20"/>
    <mergeCell ref="H21:H25"/>
    <mergeCell ref="I21:I25"/>
    <mergeCell ref="J21:J25"/>
    <mergeCell ref="K21:K25"/>
    <mergeCell ref="L21:L25"/>
    <mergeCell ref="M21:M25"/>
    <mergeCell ref="N21:N25"/>
    <mergeCell ref="O21:O25"/>
    <mergeCell ref="AU19:AU20"/>
    <mergeCell ref="AV19:AV20"/>
    <mergeCell ref="AW19:AW20"/>
    <mergeCell ref="AX19:AX20"/>
    <mergeCell ref="AY19:AY20"/>
    <mergeCell ref="AZ19:AZ20"/>
    <mergeCell ref="AO19:AO20"/>
    <mergeCell ref="AP19:AP20"/>
    <mergeCell ref="AQ19:AQ20"/>
    <mergeCell ref="AR19:AR20"/>
    <mergeCell ref="P19:P20"/>
    <mergeCell ref="Q19:Q20"/>
    <mergeCell ref="R19:R20"/>
    <mergeCell ref="S19:S20"/>
    <mergeCell ref="T19:T20"/>
    <mergeCell ref="U19:U20"/>
    <mergeCell ref="AS19:AS20"/>
    <mergeCell ref="AT19:AT20"/>
    <mergeCell ref="AI19:AI20"/>
    <mergeCell ref="AJ19:AJ20"/>
    <mergeCell ref="AK19:AK20"/>
    <mergeCell ref="AL19:AL20"/>
    <mergeCell ref="AM19:AM20"/>
    <mergeCell ref="AN19:AN20"/>
    <mergeCell ref="AC19:AC20"/>
    <mergeCell ref="AD19:AD20"/>
    <mergeCell ref="AE19:AE20"/>
    <mergeCell ref="AF19:AF20"/>
    <mergeCell ref="AG19:AG20"/>
    <mergeCell ref="AH19:AH20"/>
    <mergeCell ref="AN17:AN18"/>
    <mergeCell ref="AC17:AC18"/>
    <mergeCell ref="AD17:AD18"/>
    <mergeCell ref="V19:V20"/>
    <mergeCell ref="W19:W20"/>
    <mergeCell ref="X19:X20"/>
    <mergeCell ref="Y19:Y20"/>
    <mergeCell ref="Z19:Z20"/>
    <mergeCell ref="AB19:AB20"/>
    <mergeCell ref="Z17:Z18"/>
    <mergeCell ref="AA17:AA18"/>
    <mergeCell ref="AB17:AB18"/>
    <mergeCell ref="AU17:AU18"/>
    <mergeCell ref="AV17:AV18"/>
    <mergeCell ref="AW17:AW18"/>
    <mergeCell ref="H19:H20"/>
    <mergeCell ref="I19:I20"/>
    <mergeCell ref="J19:J20"/>
    <mergeCell ref="K19:K20"/>
    <mergeCell ref="L19:L20"/>
    <mergeCell ref="N19:N20"/>
    <mergeCell ref="O19:O20"/>
    <mergeCell ref="AO17:AO18"/>
    <mergeCell ref="AP17:AP18"/>
    <mergeCell ref="AQ17:AQ18"/>
    <mergeCell ref="AR17:AR18"/>
    <mergeCell ref="AS17:AS18"/>
    <mergeCell ref="AT17:AT18"/>
    <mergeCell ref="AI17:AI18"/>
    <mergeCell ref="AJ17:AJ18"/>
    <mergeCell ref="AK17:AK18"/>
    <mergeCell ref="AL17:AL18"/>
    <mergeCell ref="AM17:AM18"/>
    <mergeCell ref="H17:H18"/>
    <mergeCell ref="I17:I18"/>
    <mergeCell ref="N17:N18"/>
    <mergeCell ref="O17:O18"/>
    <mergeCell ref="P17:P18"/>
    <mergeCell ref="Q17:Q18"/>
    <mergeCell ref="AS13:AS16"/>
    <mergeCell ref="AT13:AT16"/>
    <mergeCell ref="AU13:AU16"/>
    <mergeCell ref="AM13:AM16"/>
    <mergeCell ref="AN13:AN16"/>
    <mergeCell ref="AO13:AO16"/>
    <mergeCell ref="AP13:AP16"/>
    <mergeCell ref="AQ13:AQ16"/>
    <mergeCell ref="AR13:AR16"/>
    <mergeCell ref="AG13:AG16"/>
    <mergeCell ref="AH13:AH16"/>
    <mergeCell ref="AE17:AE18"/>
    <mergeCell ref="AF17:AF18"/>
    <mergeCell ref="AG17:AG18"/>
    <mergeCell ref="AH17:AH18"/>
    <mergeCell ref="R17:R18"/>
    <mergeCell ref="T17:T18"/>
    <mergeCell ref="X17:X18"/>
    <mergeCell ref="AB13:AB16"/>
    <mergeCell ref="AC13:AC16"/>
    <mergeCell ref="AD13:AD16"/>
    <mergeCell ref="AE13:AE16"/>
    <mergeCell ref="AF13:AF16"/>
    <mergeCell ref="AY13:AY16"/>
    <mergeCell ref="AZ13:AZ16"/>
    <mergeCell ref="BA13:BA16"/>
    <mergeCell ref="S15:S16"/>
    <mergeCell ref="AV13:AV16"/>
    <mergeCell ref="AW13:AW16"/>
    <mergeCell ref="AX13:AX16"/>
    <mergeCell ref="BC8:BC9"/>
    <mergeCell ref="D11:K11"/>
    <mergeCell ref="D12:E30"/>
    <mergeCell ref="G12:K12"/>
    <mergeCell ref="AZ8:AZ9"/>
    <mergeCell ref="BA8:BA9"/>
    <mergeCell ref="BB8:BB9"/>
    <mergeCell ref="U13:U14"/>
    <mergeCell ref="V13:V14"/>
    <mergeCell ref="W13:W14"/>
    <mergeCell ref="X13:X16"/>
    <mergeCell ref="Y13:Y16"/>
    <mergeCell ref="Z13:Z16"/>
    <mergeCell ref="O13:O16"/>
    <mergeCell ref="P13:P16"/>
    <mergeCell ref="Q13:Q16"/>
    <mergeCell ref="R13:R16"/>
    <mergeCell ref="S13:S14"/>
    <mergeCell ref="T13:T14"/>
    <mergeCell ref="AI13:AI16"/>
    <mergeCell ref="AJ13:AJ16"/>
    <mergeCell ref="AK13:AK16"/>
    <mergeCell ref="AL13:AL16"/>
    <mergeCell ref="AA13:AA16"/>
    <mergeCell ref="I7:I9"/>
    <mergeCell ref="J7:J9"/>
    <mergeCell ref="K7:L8"/>
    <mergeCell ref="M7:M9"/>
    <mergeCell ref="N7:N9"/>
    <mergeCell ref="I13:I16"/>
    <mergeCell ref="J13:J18"/>
    <mergeCell ref="K13:K18"/>
    <mergeCell ref="L13:L18"/>
    <mergeCell ref="M13:M20"/>
    <mergeCell ref="N13:N16"/>
    <mergeCell ref="AX7:BC7"/>
    <mergeCell ref="AN8:AO8"/>
    <mergeCell ref="AP8:AQ8"/>
    <mergeCell ref="AR8:AS8"/>
    <mergeCell ref="AT8:AU8"/>
    <mergeCell ref="A13:A30"/>
    <mergeCell ref="B13:B30"/>
    <mergeCell ref="C13:C30"/>
    <mergeCell ref="F13:F30"/>
    <mergeCell ref="G13:G30"/>
    <mergeCell ref="H13:H16"/>
    <mergeCell ref="AV8:AW8"/>
    <mergeCell ref="AX8:AX9"/>
    <mergeCell ref="AY8:AY9"/>
    <mergeCell ref="U7:W8"/>
    <mergeCell ref="X7:X9"/>
    <mergeCell ref="Y7:Y9"/>
    <mergeCell ref="O7:O9"/>
    <mergeCell ref="P7:P9"/>
    <mergeCell ref="Q7:Q9"/>
    <mergeCell ref="R7:R9"/>
    <mergeCell ref="S7:S9"/>
    <mergeCell ref="T7:T9"/>
    <mergeCell ref="H7:H9"/>
    <mergeCell ref="A7:A9"/>
    <mergeCell ref="B7:B9"/>
    <mergeCell ref="C7:C9"/>
    <mergeCell ref="D7:E9"/>
    <mergeCell ref="F7:F9"/>
    <mergeCell ref="G7:G9"/>
    <mergeCell ref="A1:BD4"/>
    <mergeCell ref="A5:K6"/>
    <mergeCell ref="O5:BH5"/>
    <mergeCell ref="O6:Y6"/>
    <mergeCell ref="Z6:AW6"/>
    <mergeCell ref="BD6:BH6"/>
    <mergeCell ref="BD7:BE8"/>
    <mergeCell ref="BF7:BG8"/>
    <mergeCell ref="BH7:BH9"/>
    <mergeCell ref="Z8:AA8"/>
    <mergeCell ref="AB8:AC8"/>
    <mergeCell ref="AD8:AE8"/>
    <mergeCell ref="AF8:AG8"/>
    <mergeCell ref="AH8:AI8"/>
    <mergeCell ref="AJ8:AK8"/>
    <mergeCell ref="AL8:AM8"/>
    <mergeCell ref="Z7:AK7"/>
    <mergeCell ref="AL7:AW7"/>
  </mergeCells>
  <pageMargins left="0.7" right="0.7" top="0.75" bottom="0.75" header="0.3" footer="0.3"/>
  <pageSetup orientation="portrait" verticalDpi="4294967295"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A1:BJ215"/>
  <sheetViews>
    <sheetView showGridLines="0" zoomScale="60" zoomScaleNormal="60" workbookViewId="0">
      <selection sqref="A1:BH4"/>
    </sheetView>
  </sheetViews>
  <sheetFormatPr baseColWidth="10" defaultColWidth="29" defaultRowHeight="14.25" x14ac:dyDescent="0.2"/>
  <cols>
    <col min="1" max="1" width="11.28515625" style="1279" customWidth="1"/>
    <col min="2" max="2" width="17.85546875" style="1279" customWidth="1"/>
    <col min="3" max="3" width="3.85546875" style="1279" customWidth="1"/>
    <col min="4" max="4" width="16.42578125" style="1279" customWidth="1"/>
    <col min="5" max="5" width="11.85546875" style="1279" customWidth="1"/>
    <col min="6" max="6" width="8" style="1279" customWidth="1"/>
    <col min="7" max="7" width="11.140625" style="1279" bestFit="1" customWidth="1"/>
    <col min="8" max="8" width="8.5703125" style="1279" customWidth="1"/>
    <col min="9" max="9" width="14" style="1279" customWidth="1"/>
    <col min="10" max="10" width="29" style="1279"/>
    <col min="11" max="11" width="35" style="1503" customWidth="1"/>
    <col min="12" max="12" width="29" style="1312"/>
    <col min="13" max="13" width="15.7109375" style="1312" customWidth="1"/>
    <col min="14" max="14" width="16.85546875" style="1312" customWidth="1"/>
    <col min="15" max="15" width="30.28515625" style="1312" customWidth="1"/>
    <col min="16" max="16" width="23" style="1307" customWidth="1"/>
    <col min="17" max="17" width="29" style="1504"/>
    <col min="18" max="18" width="29" style="1505"/>
    <col min="19" max="20" width="29" style="1312"/>
    <col min="21" max="21" width="29" style="1503"/>
    <col min="22" max="22" width="39.42578125" style="1503" customWidth="1"/>
    <col min="23" max="25" width="29" style="1506"/>
    <col min="26" max="26" width="29" style="1513"/>
    <col min="27" max="27" width="25.85546875" style="1508" customWidth="1"/>
    <col min="28" max="28" width="12.28515625" style="1279" customWidth="1"/>
    <col min="29" max="29" width="14" style="1279" customWidth="1"/>
    <col min="30" max="30" width="14.7109375" style="1279" customWidth="1"/>
    <col min="31" max="31" width="10.85546875" style="1279" customWidth="1"/>
    <col min="32" max="32" width="13" style="1279" customWidth="1"/>
    <col min="33" max="33" width="12.85546875" style="1279" customWidth="1"/>
    <col min="34" max="34" width="10.85546875" style="1279" customWidth="1"/>
    <col min="35" max="35" width="9.7109375" style="1279" customWidth="1"/>
    <col min="36" max="36" width="13.5703125" style="1279" customWidth="1"/>
    <col min="37" max="37" width="9.42578125" style="1279" customWidth="1"/>
    <col min="38" max="38" width="13.85546875" style="1279" customWidth="1"/>
    <col min="39" max="39" width="10.5703125" style="1279" customWidth="1"/>
    <col min="40" max="40" width="12.28515625" style="1279" customWidth="1"/>
    <col min="41" max="41" width="13" style="1279" customWidth="1"/>
    <col min="42" max="42" width="11.42578125" style="1279" customWidth="1"/>
    <col min="43" max="43" width="15.85546875" style="1279" customWidth="1"/>
    <col min="44" max="44" width="12.28515625" style="1307" customWidth="1"/>
    <col min="45" max="45" width="15.7109375" style="1307" customWidth="1"/>
    <col min="46" max="46" width="11.5703125" style="1279" customWidth="1"/>
    <col min="47" max="47" width="13" style="1279" customWidth="1"/>
    <col min="48" max="48" width="15.42578125" style="1307" customWidth="1"/>
    <col min="49" max="49" width="16.5703125" style="1307" customWidth="1"/>
    <col min="50" max="50" width="13" style="1514" customWidth="1"/>
    <col min="51" max="51" width="14.28515625" style="1514" customWidth="1"/>
    <col min="52" max="52" width="18.28515625" style="1514" customWidth="1"/>
    <col min="53" max="53" width="22" style="1514" customWidth="1"/>
    <col min="54" max="54" width="21.5703125" style="1514" customWidth="1"/>
    <col min="55" max="55" width="21.42578125" style="1515" customWidth="1"/>
    <col min="56" max="56" width="23.28515625" style="1514" customWidth="1"/>
    <col min="57" max="57" width="29" style="1514"/>
    <col min="58" max="58" width="19" style="1510" customWidth="1"/>
    <col min="59" max="59" width="20.7109375" style="1510" customWidth="1"/>
    <col min="60" max="60" width="15" style="1511" customWidth="1"/>
    <col min="61" max="61" width="21.5703125" style="1511" customWidth="1"/>
    <col min="62" max="62" width="29" style="1512"/>
    <col min="63" max="16384" width="29" style="1279"/>
  </cols>
  <sheetData>
    <row r="1" spans="1:62" s="38" customFormat="1" ht="20.100000000000001" customHeight="1" x14ac:dyDescent="0.25">
      <c r="A1" s="2471" t="s">
        <v>1212</v>
      </c>
      <c r="B1" s="2471"/>
      <c r="C1" s="2471"/>
      <c r="D1" s="2471"/>
      <c r="E1" s="2471"/>
      <c r="F1" s="2471"/>
      <c r="G1" s="2471"/>
      <c r="H1" s="2471"/>
      <c r="I1" s="2471"/>
      <c r="J1" s="2471"/>
      <c r="K1" s="2471"/>
      <c r="L1" s="2471"/>
      <c r="M1" s="2471"/>
      <c r="N1" s="2471"/>
      <c r="O1" s="2471"/>
      <c r="P1" s="2471"/>
      <c r="Q1" s="2471"/>
      <c r="R1" s="2471"/>
      <c r="S1" s="2471"/>
      <c r="T1" s="2471"/>
      <c r="U1" s="2471"/>
      <c r="V1" s="2471"/>
      <c r="W1" s="2471"/>
      <c r="X1" s="2471"/>
      <c r="Y1" s="2471"/>
      <c r="Z1" s="2471"/>
      <c r="AA1" s="2471"/>
      <c r="AB1" s="2471"/>
      <c r="AC1" s="2471"/>
      <c r="AD1" s="2471"/>
      <c r="AE1" s="2471"/>
      <c r="AF1" s="2471"/>
      <c r="AG1" s="2471"/>
      <c r="AH1" s="2471"/>
      <c r="AI1" s="2471"/>
      <c r="AJ1" s="2471"/>
      <c r="AK1" s="2471"/>
      <c r="AL1" s="2471"/>
      <c r="AM1" s="2471"/>
      <c r="AN1" s="2471"/>
      <c r="AO1" s="2471"/>
      <c r="AP1" s="2471"/>
      <c r="AQ1" s="2471"/>
      <c r="AR1" s="2471"/>
      <c r="AS1" s="2471"/>
      <c r="AT1" s="2471"/>
      <c r="AU1" s="2471"/>
      <c r="AV1" s="2471"/>
      <c r="AW1" s="2471"/>
      <c r="AX1" s="2471"/>
      <c r="AY1" s="2471"/>
      <c r="AZ1" s="2471"/>
      <c r="BA1" s="2471"/>
      <c r="BB1" s="2471"/>
      <c r="BC1" s="2471"/>
      <c r="BD1" s="2471"/>
      <c r="BE1" s="2471"/>
      <c r="BF1" s="2471"/>
      <c r="BG1" s="2471"/>
      <c r="BH1" s="2472"/>
      <c r="BI1" s="305" t="s">
        <v>0</v>
      </c>
      <c r="BJ1" s="305" t="s">
        <v>1</v>
      </c>
    </row>
    <row r="2" spans="1:62" s="38" customFormat="1" ht="20.100000000000001" customHeight="1" x14ac:dyDescent="0.25">
      <c r="A2" s="2471"/>
      <c r="B2" s="2471"/>
      <c r="C2" s="2471"/>
      <c r="D2" s="2471"/>
      <c r="E2" s="2471"/>
      <c r="F2" s="2471"/>
      <c r="G2" s="2471"/>
      <c r="H2" s="2471"/>
      <c r="I2" s="2471"/>
      <c r="J2" s="2471"/>
      <c r="K2" s="2471"/>
      <c r="L2" s="2471"/>
      <c r="M2" s="2471"/>
      <c r="N2" s="2471"/>
      <c r="O2" s="2471"/>
      <c r="P2" s="2471"/>
      <c r="Q2" s="2471"/>
      <c r="R2" s="2471"/>
      <c r="S2" s="2471"/>
      <c r="T2" s="2471"/>
      <c r="U2" s="2471"/>
      <c r="V2" s="2471"/>
      <c r="W2" s="2471"/>
      <c r="X2" s="2471"/>
      <c r="Y2" s="2471"/>
      <c r="Z2" s="2471"/>
      <c r="AA2" s="2471"/>
      <c r="AB2" s="2471"/>
      <c r="AC2" s="2471"/>
      <c r="AD2" s="2471"/>
      <c r="AE2" s="2471"/>
      <c r="AF2" s="2471"/>
      <c r="AG2" s="2471"/>
      <c r="AH2" s="2471"/>
      <c r="AI2" s="2471"/>
      <c r="AJ2" s="2471"/>
      <c r="AK2" s="2471"/>
      <c r="AL2" s="2471"/>
      <c r="AM2" s="2471"/>
      <c r="AN2" s="2471"/>
      <c r="AO2" s="2471"/>
      <c r="AP2" s="2471"/>
      <c r="AQ2" s="2471"/>
      <c r="AR2" s="2471"/>
      <c r="AS2" s="2471"/>
      <c r="AT2" s="2471"/>
      <c r="AU2" s="2471"/>
      <c r="AV2" s="2471"/>
      <c r="AW2" s="2471"/>
      <c r="AX2" s="2471"/>
      <c r="AY2" s="2471"/>
      <c r="AZ2" s="2471"/>
      <c r="BA2" s="2471"/>
      <c r="BB2" s="2471"/>
      <c r="BC2" s="2471"/>
      <c r="BD2" s="2471"/>
      <c r="BE2" s="2471"/>
      <c r="BF2" s="2471"/>
      <c r="BG2" s="2471"/>
      <c r="BH2" s="2472"/>
      <c r="BI2" s="649" t="s">
        <v>2</v>
      </c>
      <c r="BJ2" s="306">
        <v>5</v>
      </c>
    </row>
    <row r="3" spans="1:62" s="38" customFormat="1" ht="20.100000000000001" customHeight="1" x14ac:dyDescent="0.25">
      <c r="A3" s="2471"/>
      <c r="B3" s="2471"/>
      <c r="C3" s="2471"/>
      <c r="D3" s="2471"/>
      <c r="E3" s="2471"/>
      <c r="F3" s="2471"/>
      <c r="G3" s="2471"/>
      <c r="H3" s="2471"/>
      <c r="I3" s="2471"/>
      <c r="J3" s="2471"/>
      <c r="K3" s="2471"/>
      <c r="L3" s="2471"/>
      <c r="M3" s="2471"/>
      <c r="N3" s="2471"/>
      <c r="O3" s="2471"/>
      <c r="P3" s="2471"/>
      <c r="Q3" s="2471"/>
      <c r="R3" s="2471"/>
      <c r="S3" s="2471"/>
      <c r="T3" s="2471"/>
      <c r="U3" s="2471"/>
      <c r="V3" s="2471"/>
      <c r="W3" s="2471"/>
      <c r="X3" s="2471"/>
      <c r="Y3" s="2471"/>
      <c r="Z3" s="2471"/>
      <c r="AA3" s="2471"/>
      <c r="AB3" s="2471"/>
      <c r="AC3" s="2471"/>
      <c r="AD3" s="2471"/>
      <c r="AE3" s="2471"/>
      <c r="AF3" s="2471"/>
      <c r="AG3" s="2471"/>
      <c r="AH3" s="2471"/>
      <c r="AI3" s="2471"/>
      <c r="AJ3" s="2471"/>
      <c r="AK3" s="2471"/>
      <c r="AL3" s="2471"/>
      <c r="AM3" s="2471"/>
      <c r="AN3" s="2471"/>
      <c r="AO3" s="2471"/>
      <c r="AP3" s="2471"/>
      <c r="AQ3" s="2471"/>
      <c r="AR3" s="2471"/>
      <c r="AS3" s="2471"/>
      <c r="AT3" s="2471"/>
      <c r="AU3" s="2471"/>
      <c r="AV3" s="2471"/>
      <c r="AW3" s="2471"/>
      <c r="AX3" s="2471"/>
      <c r="AY3" s="2471"/>
      <c r="AZ3" s="2471"/>
      <c r="BA3" s="2471"/>
      <c r="BB3" s="2471"/>
      <c r="BC3" s="2471"/>
      <c r="BD3" s="2471"/>
      <c r="BE3" s="2471"/>
      <c r="BF3" s="2471"/>
      <c r="BG3" s="2471"/>
      <c r="BH3" s="2472"/>
      <c r="BI3" s="305" t="s">
        <v>3</v>
      </c>
      <c r="BJ3" s="307" t="s">
        <v>4</v>
      </c>
    </row>
    <row r="4" spans="1:62" s="38" customFormat="1" ht="20.100000000000001" customHeight="1" x14ac:dyDescent="0.2">
      <c r="A4" s="2474"/>
      <c r="B4" s="2474"/>
      <c r="C4" s="2474"/>
      <c r="D4" s="2474"/>
      <c r="E4" s="2474"/>
      <c r="F4" s="2474"/>
      <c r="G4" s="2474"/>
      <c r="H4" s="2474"/>
      <c r="I4" s="2474"/>
      <c r="J4" s="2474"/>
      <c r="K4" s="2474"/>
      <c r="L4" s="2474"/>
      <c r="M4" s="2474"/>
      <c r="N4" s="2474"/>
      <c r="O4" s="2474"/>
      <c r="P4" s="2474"/>
      <c r="Q4" s="2474"/>
      <c r="R4" s="2474"/>
      <c r="S4" s="2474"/>
      <c r="T4" s="2474"/>
      <c r="U4" s="2474"/>
      <c r="V4" s="2474"/>
      <c r="W4" s="2474"/>
      <c r="X4" s="2474"/>
      <c r="Y4" s="2474"/>
      <c r="Z4" s="2474"/>
      <c r="AA4" s="2474"/>
      <c r="AB4" s="2474"/>
      <c r="AC4" s="2474"/>
      <c r="AD4" s="2474"/>
      <c r="AE4" s="2474"/>
      <c r="AF4" s="2474"/>
      <c r="AG4" s="2474"/>
      <c r="AH4" s="2474"/>
      <c r="AI4" s="2474"/>
      <c r="AJ4" s="2474"/>
      <c r="AK4" s="2474"/>
      <c r="AL4" s="2474"/>
      <c r="AM4" s="2474"/>
      <c r="AN4" s="2474"/>
      <c r="AO4" s="2474"/>
      <c r="AP4" s="2474"/>
      <c r="AQ4" s="2474"/>
      <c r="AR4" s="2474"/>
      <c r="AS4" s="2474"/>
      <c r="AT4" s="2474"/>
      <c r="AU4" s="2474"/>
      <c r="AV4" s="2474"/>
      <c r="AW4" s="2474"/>
      <c r="AX4" s="2474"/>
      <c r="AY4" s="2474"/>
      <c r="AZ4" s="2474"/>
      <c r="BA4" s="2474"/>
      <c r="BB4" s="2474"/>
      <c r="BC4" s="2474"/>
      <c r="BD4" s="2474"/>
      <c r="BE4" s="2474"/>
      <c r="BF4" s="2474"/>
      <c r="BG4" s="2474"/>
      <c r="BH4" s="2475"/>
      <c r="BI4" s="652" t="s">
        <v>5</v>
      </c>
      <c r="BJ4" s="308" t="s">
        <v>6</v>
      </c>
    </row>
    <row r="5" spans="1:62" s="38" customFormat="1" ht="19.5" customHeight="1" x14ac:dyDescent="0.2">
      <c r="A5" s="2477" t="s">
        <v>7</v>
      </c>
      <c r="B5" s="2477"/>
      <c r="C5" s="2477"/>
      <c r="D5" s="2477"/>
      <c r="E5" s="2477"/>
      <c r="F5" s="2477"/>
      <c r="G5" s="2477"/>
      <c r="H5" s="2477"/>
      <c r="I5" s="2477"/>
      <c r="J5" s="2477"/>
      <c r="K5" s="2477"/>
      <c r="L5" s="2477"/>
      <c r="M5" s="2477"/>
      <c r="N5" s="614"/>
      <c r="O5" s="2815"/>
      <c r="P5" s="2681"/>
      <c r="Q5" s="2681"/>
      <c r="R5" s="2681"/>
      <c r="S5" s="2681"/>
      <c r="T5" s="2681"/>
      <c r="U5" s="2681"/>
      <c r="V5" s="2681"/>
      <c r="W5" s="2681"/>
      <c r="X5" s="2681"/>
      <c r="Y5" s="2681"/>
      <c r="Z5" s="2681"/>
      <c r="AA5" s="2681"/>
      <c r="AB5" s="2681"/>
      <c r="AC5" s="2681"/>
      <c r="AD5" s="2681"/>
      <c r="AE5" s="2681"/>
      <c r="AF5" s="2681"/>
      <c r="AG5" s="2681"/>
      <c r="AH5" s="2681"/>
      <c r="AI5" s="2681"/>
      <c r="AJ5" s="2681"/>
      <c r="AK5" s="2681"/>
      <c r="AL5" s="2681"/>
      <c r="AM5" s="2681"/>
      <c r="AN5" s="2681"/>
      <c r="AO5" s="2681"/>
      <c r="AP5" s="2681"/>
      <c r="AQ5" s="2681"/>
      <c r="AR5" s="2681"/>
      <c r="AS5" s="2681"/>
      <c r="AT5" s="2681"/>
      <c r="AU5" s="2681"/>
      <c r="AV5" s="2681"/>
      <c r="AW5" s="2681"/>
      <c r="AX5" s="2681"/>
      <c r="AY5" s="2681"/>
      <c r="AZ5" s="2681"/>
      <c r="BA5" s="2681"/>
      <c r="BB5" s="2681"/>
      <c r="BC5" s="2681"/>
      <c r="BD5" s="2681"/>
      <c r="BE5" s="2681"/>
      <c r="BF5" s="2681"/>
      <c r="BG5" s="2681"/>
      <c r="BH5" s="2681"/>
      <c r="BI5" s="2681"/>
      <c r="BJ5" s="2682"/>
    </row>
    <row r="6" spans="1:62" s="38" customFormat="1" ht="23.25" customHeight="1" thickBot="1" x14ac:dyDescent="0.25">
      <c r="A6" s="2494"/>
      <c r="B6" s="2494"/>
      <c r="C6" s="2494"/>
      <c r="D6" s="2494"/>
      <c r="E6" s="2494"/>
      <c r="F6" s="2494"/>
      <c r="G6" s="2494"/>
      <c r="H6" s="2494"/>
      <c r="I6" s="2494"/>
      <c r="J6" s="2494"/>
      <c r="K6" s="2494"/>
      <c r="L6" s="2494"/>
      <c r="M6" s="2494"/>
      <c r="N6" s="616"/>
      <c r="O6" s="1275"/>
      <c r="P6" s="1276"/>
      <c r="Q6" s="1277"/>
      <c r="R6" s="916"/>
      <c r="S6" s="1277"/>
      <c r="T6" s="1277"/>
      <c r="U6" s="1278"/>
      <c r="V6" s="1278"/>
      <c r="W6" s="1277"/>
      <c r="X6" s="1277"/>
      <c r="Y6" s="1277"/>
      <c r="Z6" s="1276"/>
      <c r="AA6" s="613"/>
      <c r="AB6" s="2477" t="s">
        <v>9</v>
      </c>
      <c r="AC6" s="2477"/>
      <c r="AD6" s="2477"/>
      <c r="AE6" s="2477"/>
      <c r="AF6" s="2477"/>
      <c r="AG6" s="2477"/>
      <c r="AH6" s="2477"/>
      <c r="AI6" s="2477"/>
      <c r="AJ6" s="2477"/>
      <c r="AK6" s="2477"/>
      <c r="AL6" s="2477"/>
      <c r="AM6" s="2477"/>
      <c r="AN6" s="2477"/>
      <c r="AO6" s="2477"/>
      <c r="AP6" s="2477"/>
      <c r="AQ6" s="2477"/>
      <c r="AR6" s="2477"/>
      <c r="AS6" s="2477"/>
      <c r="AT6" s="2477"/>
      <c r="AU6" s="2477"/>
      <c r="AV6" s="2477"/>
      <c r="AW6" s="2477"/>
      <c r="AX6" s="2477"/>
      <c r="AY6" s="2477"/>
      <c r="AZ6" s="2477"/>
      <c r="BA6" s="2477"/>
      <c r="BB6" s="2477"/>
      <c r="BC6" s="2477"/>
      <c r="BD6" s="2477"/>
      <c r="BE6" s="2477"/>
      <c r="BF6" s="2477"/>
      <c r="BG6" s="2477"/>
      <c r="BH6" s="2477"/>
      <c r="BI6" s="2477"/>
      <c r="BJ6" s="2480"/>
    </row>
    <row r="7" spans="1:62" ht="13.5" customHeight="1" x14ac:dyDescent="0.2">
      <c r="A7" s="2816" t="s">
        <v>10</v>
      </c>
      <c r="B7" s="2819" t="s">
        <v>11</v>
      </c>
      <c r="C7" s="2820"/>
      <c r="D7" s="2820" t="s">
        <v>10</v>
      </c>
      <c r="E7" s="2819" t="s">
        <v>12</v>
      </c>
      <c r="F7" s="2820"/>
      <c r="G7" s="2820" t="s">
        <v>10</v>
      </c>
      <c r="H7" s="2819" t="s">
        <v>13</v>
      </c>
      <c r="I7" s="2820"/>
      <c r="J7" s="2820" t="s">
        <v>10</v>
      </c>
      <c r="K7" s="2819" t="s">
        <v>14</v>
      </c>
      <c r="L7" s="2816" t="s">
        <v>15</v>
      </c>
      <c r="M7" s="2819" t="s">
        <v>16</v>
      </c>
      <c r="N7" s="2820"/>
      <c r="O7" s="2816" t="s">
        <v>17</v>
      </c>
      <c r="P7" s="2816" t="s">
        <v>324</v>
      </c>
      <c r="Q7" s="2816" t="s">
        <v>8</v>
      </c>
      <c r="R7" s="2819" t="s">
        <v>19</v>
      </c>
      <c r="S7" s="2819" t="s">
        <v>20</v>
      </c>
      <c r="T7" s="2819" t="s">
        <v>21</v>
      </c>
      <c r="U7" s="2819" t="s">
        <v>22</v>
      </c>
      <c r="V7" s="2816" t="s">
        <v>23</v>
      </c>
      <c r="W7" s="2828" t="s">
        <v>20</v>
      </c>
      <c r="X7" s="2828"/>
      <c r="Y7" s="2828"/>
      <c r="Z7" s="2816" t="s">
        <v>10</v>
      </c>
      <c r="AA7" s="2816" t="s">
        <v>24</v>
      </c>
      <c r="AB7" s="2831" t="s">
        <v>25</v>
      </c>
      <c r="AC7" s="2832"/>
      <c r="AD7" s="2832"/>
      <c r="AE7" s="2832"/>
      <c r="AF7" s="2832"/>
      <c r="AG7" s="2832"/>
      <c r="AH7" s="2832"/>
      <c r="AI7" s="2832"/>
      <c r="AJ7" s="2832"/>
      <c r="AK7" s="2832"/>
      <c r="AL7" s="2832"/>
      <c r="AM7" s="2833"/>
      <c r="AN7" s="2831" t="s">
        <v>26</v>
      </c>
      <c r="AO7" s="2832"/>
      <c r="AP7" s="2832"/>
      <c r="AQ7" s="2832"/>
      <c r="AR7" s="2832"/>
      <c r="AS7" s="2832"/>
      <c r="AT7" s="2832"/>
      <c r="AU7" s="2832"/>
      <c r="AV7" s="2832"/>
      <c r="AW7" s="2832"/>
      <c r="AX7" s="2832"/>
      <c r="AY7" s="2833"/>
      <c r="AZ7" s="2458" t="s">
        <v>27</v>
      </c>
      <c r="BA7" s="2459"/>
      <c r="BB7" s="2459"/>
      <c r="BC7" s="2459"/>
      <c r="BD7" s="2459"/>
      <c r="BE7" s="2460"/>
      <c r="BF7" s="2836" t="s">
        <v>28</v>
      </c>
      <c r="BG7" s="2836"/>
      <c r="BH7" s="2836" t="s">
        <v>29</v>
      </c>
      <c r="BI7" s="2836"/>
      <c r="BJ7" s="2825" t="s">
        <v>30</v>
      </c>
    </row>
    <row r="8" spans="1:62" ht="18" customHeight="1" x14ac:dyDescent="0.2">
      <c r="A8" s="2817"/>
      <c r="B8" s="2821"/>
      <c r="C8" s="2822"/>
      <c r="D8" s="2822"/>
      <c r="E8" s="2821"/>
      <c r="F8" s="2822"/>
      <c r="G8" s="2822"/>
      <c r="H8" s="2821"/>
      <c r="I8" s="2822"/>
      <c r="J8" s="2822"/>
      <c r="K8" s="2821"/>
      <c r="L8" s="2817"/>
      <c r="M8" s="2821"/>
      <c r="N8" s="2822"/>
      <c r="O8" s="2817"/>
      <c r="P8" s="2817"/>
      <c r="Q8" s="2817"/>
      <c r="R8" s="2821"/>
      <c r="S8" s="2821"/>
      <c r="T8" s="2821"/>
      <c r="U8" s="2821"/>
      <c r="V8" s="2817"/>
      <c r="W8" s="2828"/>
      <c r="X8" s="2828"/>
      <c r="Y8" s="2828"/>
      <c r="Z8" s="2817"/>
      <c r="AA8" s="2817"/>
      <c r="AB8" s="2828" t="s">
        <v>31</v>
      </c>
      <c r="AC8" s="2828"/>
      <c r="AD8" s="2829" t="s">
        <v>32</v>
      </c>
      <c r="AE8" s="2829"/>
      <c r="AF8" s="2819" t="s">
        <v>33</v>
      </c>
      <c r="AG8" s="2820"/>
      <c r="AH8" s="2830" t="s">
        <v>34</v>
      </c>
      <c r="AI8" s="2830"/>
      <c r="AJ8" s="2819" t="s">
        <v>35</v>
      </c>
      <c r="AK8" s="2820"/>
      <c r="AL8" s="2828" t="s">
        <v>36</v>
      </c>
      <c r="AM8" s="2828"/>
      <c r="AN8" s="2828" t="s">
        <v>37</v>
      </c>
      <c r="AO8" s="2828"/>
      <c r="AP8" s="2828" t="s">
        <v>38</v>
      </c>
      <c r="AQ8" s="2828"/>
      <c r="AR8" s="2828" t="s">
        <v>1213</v>
      </c>
      <c r="AS8" s="2828"/>
      <c r="AT8" s="2828" t="s">
        <v>40</v>
      </c>
      <c r="AU8" s="2828"/>
      <c r="AV8" s="2828" t="s">
        <v>41</v>
      </c>
      <c r="AW8" s="2828"/>
      <c r="AX8" s="2828" t="s">
        <v>42</v>
      </c>
      <c r="AY8" s="2828"/>
      <c r="AZ8" s="2461" t="s">
        <v>43</v>
      </c>
      <c r="BA8" s="2854" t="s">
        <v>44</v>
      </c>
      <c r="BB8" s="2461" t="s">
        <v>45</v>
      </c>
      <c r="BC8" s="2857" t="s">
        <v>46</v>
      </c>
      <c r="BD8" s="2461" t="s">
        <v>47</v>
      </c>
      <c r="BE8" s="2461" t="s">
        <v>48</v>
      </c>
      <c r="BF8" s="2836"/>
      <c r="BG8" s="2836"/>
      <c r="BH8" s="2836"/>
      <c r="BI8" s="2836"/>
      <c r="BJ8" s="2826"/>
    </row>
    <row r="9" spans="1:62" ht="16.5" customHeight="1" x14ac:dyDescent="0.2">
      <c r="A9" s="2817"/>
      <c r="B9" s="2821"/>
      <c r="C9" s="2822"/>
      <c r="D9" s="2822"/>
      <c r="E9" s="2821"/>
      <c r="F9" s="2822"/>
      <c r="G9" s="2822"/>
      <c r="H9" s="2821"/>
      <c r="I9" s="2822"/>
      <c r="J9" s="2822"/>
      <c r="K9" s="2821"/>
      <c r="L9" s="2817"/>
      <c r="M9" s="2821"/>
      <c r="N9" s="2822"/>
      <c r="O9" s="2817"/>
      <c r="P9" s="2817"/>
      <c r="Q9" s="2817"/>
      <c r="R9" s="2821"/>
      <c r="S9" s="2821"/>
      <c r="T9" s="2821"/>
      <c r="U9" s="2821"/>
      <c r="V9" s="2817"/>
      <c r="W9" s="2828"/>
      <c r="X9" s="2828"/>
      <c r="Y9" s="2828"/>
      <c r="Z9" s="2817"/>
      <c r="AA9" s="2817"/>
      <c r="AB9" s="2828"/>
      <c r="AC9" s="2828"/>
      <c r="AD9" s="2829"/>
      <c r="AE9" s="2829"/>
      <c r="AF9" s="2821"/>
      <c r="AG9" s="2822"/>
      <c r="AH9" s="2830"/>
      <c r="AI9" s="2830"/>
      <c r="AJ9" s="2821"/>
      <c r="AK9" s="2822"/>
      <c r="AL9" s="2828"/>
      <c r="AM9" s="2828"/>
      <c r="AN9" s="2828"/>
      <c r="AO9" s="2828"/>
      <c r="AP9" s="2828"/>
      <c r="AQ9" s="2828"/>
      <c r="AR9" s="2828"/>
      <c r="AS9" s="2828"/>
      <c r="AT9" s="2828"/>
      <c r="AU9" s="2828"/>
      <c r="AV9" s="2828"/>
      <c r="AW9" s="2828"/>
      <c r="AX9" s="2828"/>
      <c r="AY9" s="2828"/>
      <c r="AZ9" s="2462"/>
      <c r="BA9" s="2855"/>
      <c r="BB9" s="2462"/>
      <c r="BC9" s="2858"/>
      <c r="BD9" s="2462"/>
      <c r="BE9" s="2462"/>
      <c r="BF9" s="2836"/>
      <c r="BG9" s="2836"/>
      <c r="BH9" s="2836"/>
      <c r="BI9" s="2836"/>
      <c r="BJ9" s="2826"/>
    </row>
    <row r="10" spans="1:62" ht="16.5" customHeight="1" x14ac:dyDescent="0.2">
      <c r="A10" s="2817"/>
      <c r="B10" s="2821"/>
      <c r="C10" s="2822"/>
      <c r="D10" s="2822"/>
      <c r="E10" s="2821"/>
      <c r="F10" s="2822"/>
      <c r="G10" s="2822"/>
      <c r="H10" s="2821"/>
      <c r="I10" s="2822"/>
      <c r="J10" s="2822"/>
      <c r="K10" s="2821"/>
      <c r="L10" s="2817"/>
      <c r="M10" s="2816" t="s">
        <v>49</v>
      </c>
      <c r="N10" s="2816" t="s">
        <v>50</v>
      </c>
      <c r="O10" s="2817"/>
      <c r="P10" s="2817"/>
      <c r="Q10" s="2817"/>
      <c r="R10" s="2821"/>
      <c r="S10" s="2821"/>
      <c r="T10" s="2821"/>
      <c r="U10" s="2821"/>
      <c r="V10" s="2817"/>
      <c r="W10" s="2448" t="s">
        <v>51</v>
      </c>
      <c r="X10" s="2448" t="s">
        <v>52</v>
      </c>
      <c r="Y10" s="2448" t="s">
        <v>53</v>
      </c>
      <c r="Z10" s="2817"/>
      <c r="AA10" s="2817"/>
      <c r="AB10" s="2828"/>
      <c r="AC10" s="2828"/>
      <c r="AD10" s="2829"/>
      <c r="AE10" s="2829"/>
      <c r="AF10" s="2823"/>
      <c r="AG10" s="2824"/>
      <c r="AH10" s="2830"/>
      <c r="AI10" s="2830"/>
      <c r="AJ10" s="2821"/>
      <c r="AK10" s="2822"/>
      <c r="AL10" s="2828"/>
      <c r="AM10" s="2828"/>
      <c r="AN10" s="2828"/>
      <c r="AO10" s="2828"/>
      <c r="AP10" s="2828"/>
      <c r="AQ10" s="2828"/>
      <c r="AR10" s="2828"/>
      <c r="AS10" s="2828"/>
      <c r="AT10" s="2828"/>
      <c r="AU10" s="2828"/>
      <c r="AV10" s="2828"/>
      <c r="AW10" s="2828"/>
      <c r="AX10" s="2828"/>
      <c r="AY10" s="2828"/>
      <c r="AZ10" s="2462"/>
      <c r="BA10" s="2855"/>
      <c r="BB10" s="2462"/>
      <c r="BC10" s="2858"/>
      <c r="BD10" s="2462"/>
      <c r="BE10" s="2462"/>
      <c r="BF10" s="2834" t="s">
        <v>49</v>
      </c>
      <c r="BG10" s="2834" t="s">
        <v>50</v>
      </c>
      <c r="BH10" s="2834" t="s">
        <v>49</v>
      </c>
      <c r="BI10" s="2834" t="s">
        <v>50</v>
      </c>
      <c r="BJ10" s="2826"/>
    </row>
    <row r="11" spans="1:62" ht="16.5" customHeight="1" x14ac:dyDescent="0.2">
      <c r="A11" s="2818"/>
      <c r="B11" s="2823"/>
      <c r="C11" s="2824"/>
      <c r="D11" s="2824"/>
      <c r="E11" s="2823"/>
      <c r="F11" s="2824"/>
      <c r="G11" s="2824"/>
      <c r="H11" s="2823"/>
      <c r="I11" s="2824"/>
      <c r="J11" s="2824"/>
      <c r="K11" s="2823"/>
      <c r="L11" s="2818"/>
      <c r="M11" s="2818"/>
      <c r="N11" s="2818"/>
      <c r="O11" s="2818"/>
      <c r="P11" s="2818"/>
      <c r="Q11" s="2818"/>
      <c r="R11" s="2823"/>
      <c r="S11" s="2823"/>
      <c r="T11" s="2823"/>
      <c r="U11" s="2823"/>
      <c r="V11" s="2818"/>
      <c r="W11" s="2648"/>
      <c r="X11" s="2648"/>
      <c r="Y11" s="2648"/>
      <c r="Z11" s="2818"/>
      <c r="AA11" s="2818"/>
      <c r="AB11" s="188" t="s">
        <v>49</v>
      </c>
      <c r="AC11" s="188" t="s">
        <v>50</v>
      </c>
      <c r="AD11" s="188" t="s">
        <v>49</v>
      </c>
      <c r="AE11" s="188" t="s">
        <v>50</v>
      </c>
      <c r="AF11" s="188" t="s">
        <v>49</v>
      </c>
      <c r="AG11" s="188" t="s">
        <v>50</v>
      </c>
      <c r="AH11" s="188" t="s">
        <v>49</v>
      </c>
      <c r="AI11" s="188" t="s">
        <v>50</v>
      </c>
      <c r="AJ11" s="188" t="s">
        <v>49</v>
      </c>
      <c r="AK11" s="188" t="s">
        <v>50</v>
      </c>
      <c r="AL11" s="188" t="s">
        <v>49</v>
      </c>
      <c r="AM11" s="188" t="s">
        <v>50</v>
      </c>
      <c r="AN11" s="188" t="s">
        <v>49</v>
      </c>
      <c r="AO11" s="188" t="s">
        <v>50</v>
      </c>
      <c r="AP11" s="188" t="s">
        <v>49</v>
      </c>
      <c r="AQ11" s="188" t="s">
        <v>50</v>
      </c>
      <c r="AR11" s="188" t="s">
        <v>49</v>
      </c>
      <c r="AS11" s="188" t="s">
        <v>50</v>
      </c>
      <c r="AT11" s="188" t="s">
        <v>49</v>
      </c>
      <c r="AU11" s="188" t="s">
        <v>50</v>
      </c>
      <c r="AV11" s="188" t="s">
        <v>49</v>
      </c>
      <c r="AW11" s="188" t="s">
        <v>50</v>
      </c>
      <c r="AX11" s="188" t="s">
        <v>49</v>
      </c>
      <c r="AY11" s="188" t="s">
        <v>50</v>
      </c>
      <c r="AZ11" s="2645"/>
      <c r="BA11" s="2856"/>
      <c r="BB11" s="2645"/>
      <c r="BC11" s="2859"/>
      <c r="BD11" s="2645"/>
      <c r="BE11" s="2645"/>
      <c r="BF11" s="2835"/>
      <c r="BG11" s="2835"/>
      <c r="BH11" s="2835"/>
      <c r="BI11" s="2835"/>
      <c r="BJ11" s="2827"/>
    </row>
    <row r="12" spans="1:62" s="688" customFormat="1" ht="29.25" customHeight="1" x14ac:dyDescent="0.2">
      <c r="A12" s="1280">
        <v>4</v>
      </c>
      <c r="B12" s="754" t="s">
        <v>782</v>
      </c>
      <c r="C12" s="754"/>
      <c r="D12" s="754"/>
      <c r="E12" s="754"/>
      <c r="F12" s="754"/>
      <c r="G12" s="754"/>
      <c r="H12" s="754"/>
      <c r="I12" s="754"/>
      <c r="J12" s="754"/>
      <c r="K12" s="1281"/>
      <c r="L12" s="754"/>
      <c r="M12" s="754"/>
      <c r="N12" s="754"/>
      <c r="O12" s="754"/>
      <c r="P12" s="754"/>
      <c r="Q12" s="755"/>
      <c r="R12" s="1282"/>
      <c r="S12" s="1283"/>
      <c r="T12" s="755"/>
      <c r="U12" s="1281"/>
      <c r="V12" s="1281"/>
      <c r="W12" s="1284"/>
      <c r="X12" s="1284"/>
      <c r="Y12" s="1284"/>
      <c r="Z12" s="1284"/>
      <c r="AA12" s="1100"/>
      <c r="AB12" s="754"/>
      <c r="AC12" s="754"/>
      <c r="AD12" s="754"/>
      <c r="AE12" s="754"/>
      <c r="AF12" s="754"/>
      <c r="AG12" s="754"/>
      <c r="AH12" s="754"/>
      <c r="AI12" s="754"/>
      <c r="AJ12" s="754"/>
      <c r="AK12" s="754"/>
      <c r="AL12" s="754"/>
      <c r="AM12" s="754"/>
      <c r="AN12" s="754"/>
      <c r="AO12" s="754"/>
      <c r="AP12" s="754"/>
      <c r="AQ12" s="754"/>
      <c r="AR12" s="754"/>
      <c r="AS12" s="754"/>
      <c r="AT12" s="754"/>
      <c r="AU12" s="754"/>
      <c r="AV12" s="754"/>
      <c r="AW12" s="754"/>
      <c r="AX12" s="754"/>
      <c r="AY12" s="754"/>
      <c r="AZ12" s="754"/>
      <c r="BA12" s="754"/>
      <c r="BB12" s="754"/>
      <c r="BC12" s="1285"/>
      <c r="BD12" s="754"/>
      <c r="BE12" s="754"/>
      <c r="BF12" s="761"/>
      <c r="BG12" s="761"/>
      <c r="BH12" s="761"/>
      <c r="BI12" s="761"/>
      <c r="BJ12" s="762"/>
    </row>
    <row r="13" spans="1:62" s="192" customFormat="1" ht="26.25" customHeight="1" x14ac:dyDescent="0.2">
      <c r="A13" s="1286"/>
      <c r="B13" s="1286"/>
      <c r="C13" s="1287"/>
      <c r="D13" s="1288">
        <v>23</v>
      </c>
      <c r="E13" s="767" t="s">
        <v>1214</v>
      </c>
      <c r="F13" s="767"/>
      <c r="G13" s="767"/>
      <c r="H13" s="767"/>
      <c r="I13" s="767"/>
      <c r="J13" s="767"/>
      <c r="K13" s="1289"/>
      <c r="L13" s="767"/>
      <c r="M13" s="767"/>
      <c r="N13" s="767"/>
      <c r="O13" s="767"/>
      <c r="P13" s="767"/>
      <c r="Q13" s="768"/>
      <c r="R13" s="1290"/>
      <c r="S13" s="1291"/>
      <c r="T13" s="768"/>
      <c r="U13" s="1289"/>
      <c r="V13" s="1289"/>
      <c r="W13" s="1292"/>
      <c r="X13" s="1292"/>
      <c r="Y13" s="1292"/>
      <c r="Z13" s="1292"/>
      <c r="AA13" s="1293"/>
      <c r="AB13" s="767"/>
      <c r="AC13" s="767"/>
      <c r="AD13" s="767"/>
      <c r="AE13" s="767"/>
      <c r="AF13" s="767"/>
      <c r="AG13" s="767"/>
      <c r="AH13" s="767"/>
      <c r="AI13" s="767"/>
      <c r="AJ13" s="767"/>
      <c r="AK13" s="767"/>
      <c r="AL13" s="767"/>
      <c r="AM13" s="767"/>
      <c r="AN13" s="767"/>
      <c r="AO13" s="767"/>
      <c r="AP13" s="767"/>
      <c r="AQ13" s="767"/>
      <c r="AR13" s="767"/>
      <c r="AS13" s="767"/>
      <c r="AT13" s="767"/>
      <c r="AU13" s="767"/>
      <c r="AV13" s="767"/>
      <c r="AW13" s="767"/>
      <c r="AX13" s="767"/>
      <c r="AY13" s="767"/>
      <c r="AZ13" s="767"/>
      <c r="BA13" s="767"/>
      <c r="BB13" s="767"/>
      <c r="BC13" s="1294"/>
      <c r="BD13" s="767"/>
      <c r="BE13" s="767"/>
      <c r="BF13" s="774"/>
      <c r="BG13" s="774"/>
      <c r="BH13" s="774"/>
      <c r="BI13" s="774"/>
      <c r="BJ13" s="775"/>
    </row>
    <row r="14" spans="1:62" s="192" customFormat="1" ht="30.75" customHeight="1" x14ac:dyDescent="0.2">
      <c r="A14" s="1295"/>
      <c r="B14" s="1295"/>
      <c r="C14" s="1296"/>
      <c r="D14" s="2837"/>
      <c r="E14" s="2838"/>
      <c r="F14" s="2839"/>
      <c r="G14" s="1297">
        <v>75</v>
      </c>
      <c r="H14" s="105" t="s">
        <v>1215</v>
      </c>
      <c r="I14" s="105"/>
      <c r="J14" s="105"/>
      <c r="K14" s="1298"/>
      <c r="L14" s="105"/>
      <c r="M14" s="105"/>
      <c r="N14" s="105"/>
      <c r="O14" s="105"/>
      <c r="P14" s="105"/>
      <c r="Q14" s="105"/>
      <c r="R14" s="1299"/>
      <c r="S14" s="1300"/>
      <c r="T14" s="73"/>
      <c r="U14" s="1298"/>
      <c r="V14" s="1298"/>
      <c r="W14" s="1301"/>
      <c r="X14" s="1301"/>
      <c r="Y14" s="1301"/>
      <c r="Z14" s="1301"/>
      <c r="AA14" s="1121"/>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302"/>
      <c r="BD14" s="105"/>
      <c r="BE14" s="105"/>
      <c r="BF14" s="784"/>
      <c r="BG14" s="784"/>
      <c r="BH14" s="784"/>
      <c r="BI14" s="784"/>
      <c r="BJ14" s="785"/>
    </row>
    <row r="15" spans="1:62" s="1307" customFormat="1" ht="77.25" customHeight="1" x14ac:dyDescent="0.2">
      <c r="A15" s="1295"/>
      <c r="B15" s="1295"/>
      <c r="C15" s="1296"/>
      <c r="D15" s="2840"/>
      <c r="E15" s="2841"/>
      <c r="F15" s="2842"/>
      <c r="G15" s="2837"/>
      <c r="H15" s="2838"/>
      <c r="I15" s="2839"/>
      <c r="J15" s="2846">
        <v>214</v>
      </c>
      <c r="K15" s="2848" t="s">
        <v>1216</v>
      </c>
      <c r="L15" s="2850" t="s">
        <v>18</v>
      </c>
      <c r="M15" s="2852">
        <v>2</v>
      </c>
      <c r="N15" s="2867">
        <v>0</v>
      </c>
      <c r="O15" s="2868" t="s">
        <v>1217</v>
      </c>
      <c r="P15" s="2871" t="s">
        <v>1218</v>
      </c>
      <c r="Q15" s="2848" t="s">
        <v>1219</v>
      </c>
      <c r="R15" s="2874">
        <f>+S15/9051631612</f>
        <v>8.7608514574178849E-3</v>
      </c>
      <c r="S15" s="2875">
        <v>79300000</v>
      </c>
      <c r="T15" s="2848" t="s">
        <v>1220</v>
      </c>
      <c r="U15" s="2861" t="s">
        <v>1221</v>
      </c>
      <c r="V15" s="2864" t="s">
        <v>1222</v>
      </c>
      <c r="W15" s="2865">
        <v>79300000</v>
      </c>
      <c r="X15" s="2865">
        <v>12649921</v>
      </c>
      <c r="Y15" s="2865">
        <v>0</v>
      </c>
      <c r="Z15" s="1303"/>
      <c r="AA15" s="1304"/>
      <c r="AB15" s="2910">
        <v>64149</v>
      </c>
      <c r="AC15" s="2910">
        <v>1396</v>
      </c>
      <c r="AD15" s="2910">
        <v>72224</v>
      </c>
      <c r="AE15" s="2910">
        <v>1571</v>
      </c>
      <c r="AF15" s="2910">
        <v>27477</v>
      </c>
      <c r="AG15" s="2910">
        <v>598</v>
      </c>
      <c r="AH15" s="2910">
        <v>86843</v>
      </c>
      <c r="AI15" s="2910">
        <v>1889</v>
      </c>
      <c r="AJ15" s="2910">
        <v>236429</v>
      </c>
      <c r="AK15" s="2910">
        <v>5144</v>
      </c>
      <c r="AL15" s="2910">
        <v>81384</v>
      </c>
      <c r="AM15" s="2910">
        <v>1771</v>
      </c>
      <c r="AN15" s="2889">
        <v>12718</v>
      </c>
      <c r="AO15" s="1305"/>
      <c r="AP15" s="2889">
        <v>2145</v>
      </c>
      <c r="AQ15" s="2889">
        <v>0</v>
      </c>
      <c r="AR15" s="2907"/>
      <c r="AS15" s="1306"/>
      <c r="AT15" s="2889">
        <v>491</v>
      </c>
      <c r="AU15" s="2889">
        <v>0</v>
      </c>
      <c r="AV15" s="2889">
        <v>16892</v>
      </c>
      <c r="AW15" s="2889">
        <v>0</v>
      </c>
      <c r="AX15" s="2889">
        <v>81384</v>
      </c>
      <c r="AY15" s="2889">
        <v>0</v>
      </c>
      <c r="AZ15" s="2889">
        <v>1</v>
      </c>
      <c r="BA15" s="2865">
        <v>12649921</v>
      </c>
      <c r="BB15" s="2889"/>
      <c r="BC15" s="2878">
        <v>0</v>
      </c>
      <c r="BD15" s="1305"/>
      <c r="BE15" s="1305"/>
      <c r="BF15" s="2941">
        <v>42809</v>
      </c>
      <c r="BG15" s="2941">
        <v>42809</v>
      </c>
      <c r="BH15" s="2941">
        <v>42998</v>
      </c>
      <c r="BI15" s="2941">
        <v>42998</v>
      </c>
      <c r="BJ15" s="2910" t="s">
        <v>1223</v>
      </c>
    </row>
    <row r="16" spans="1:62" s="1312" customFormat="1" ht="12.75" customHeight="1" x14ac:dyDescent="0.2">
      <c r="A16" s="1295"/>
      <c r="B16" s="1295"/>
      <c r="C16" s="1296"/>
      <c r="D16" s="2840"/>
      <c r="E16" s="2841"/>
      <c r="F16" s="2842"/>
      <c r="G16" s="2840"/>
      <c r="H16" s="2841"/>
      <c r="I16" s="2842"/>
      <c r="J16" s="2847"/>
      <c r="K16" s="2849"/>
      <c r="L16" s="2851"/>
      <c r="M16" s="2853"/>
      <c r="N16" s="2867"/>
      <c r="O16" s="2869"/>
      <c r="P16" s="2872"/>
      <c r="Q16" s="2849"/>
      <c r="R16" s="2874">
        <f>S16/SUM(S13:S39)*100</f>
        <v>0</v>
      </c>
      <c r="S16" s="2876"/>
      <c r="T16" s="2849"/>
      <c r="U16" s="2862"/>
      <c r="V16" s="2864"/>
      <c r="W16" s="2866"/>
      <c r="X16" s="2866"/>
      <c r="Y16" s="2866"/>
      <c r="Z16" s="1308"/>
      <c r="AA16" s="1309"/>
      <c r="AB16" s="2911"/>
      <c r="AC16" s="2911"/>
      <c r="AD16" s="2911"/>
      <c r="AE16" s="2911"/>
      <c r="AF16" s="2911"/>
      <c r="AG16" s="2911"/>
      <c r="AH16" s="2911"/>
      <c r="AI16" s="2911"/>
      <c r="AJ16" s="2911"/>
      <c r="AK16" s="2911"/>
      <c r="AL16" s="2911"/>
      <c r="AM16" s="2911"/>
      <c r="AN16" s="2890"/>
      <c r="AO16" s="1310"/>
      <c r="AP16" s="2890"/>
      <c r="AQ16" s="2890"/>
      <c r="AR16" s="2908"/>
      <c r="AS16" s="1311"/>
      <c r="AT16" s="2890"/>
      <c r="AU16" s="2890"/>
      <c r="AV16" s="2890"/>
      <c r="AW16" s="2890"/>
      <c r="AX16" s="2890"/>
      <c r="AY16" s="2890"/>
      <c r="AZ16" s="2891"/>
      <c r="BA16" s="2866"/>
      <c r="BB16" s="2891"/>
      <c r="BC16" s="2880"/>
      <c r="BD16" s="1310"/>
      <c r="BE16" s="1310"/>
      <c r="BF16" s="2942"/>
      <c r="BG16" s="2942"/>
      <c r="BH16" s="2942"/>
      <c r="BI16" s="2942"/>
      <c r="BJ16" s="2911"/>
    </row>
    <row r="17" spans="1:62" s="1312" customFormat="1" ht="57" x14ac:dyDescent="0.2">
      <c r="A17" s="1295"/>
      <c r="B17" s="1295"/>
      <c r="C17" s="1296"/>
      <c r="D17" s="2840"/>
      <c r="E17" s="2841"/>
      <c r="F17" s="2842"/>
      <c r="G17" s="2840"/>
      <c r="H17" s="2841"/>
      <c r="I17" s="2842"/>
      <c r="J17" s="1313">
        <v>215</v>
      </c>
      <c r="K17" s="1314" t="s">
        <v>1224</v>
      </c>
      <c r="L17" s="1315" t="s">
        <v>18</v>
      </c>
      <c r="M17" s="1316">
        <v>3</v>
      </c>
      <c r="N17" s="1316">
        <v>0</v>
      </c>
      <c r="O17" s="2869"/>
      <c r="P17" s="2872"/>
      <c r="Q17" s="2849"/>
      <c r="R17" s="1317">
        <f>+S17/9051631612</f>
        <v>1.1611166307372254E-2</v>
      </c>
      <c r="S17" s="1318">
        <v>105100000</v>
      </c>
      <c r="T17" s="2849"/>
      <c r="U17" s="2862"/>
      <c r="V17" s="1319" t="s">
        <v>1225</v>
      </c>
      <c r="W17" s="1320">
        <v>105100000</v>
      </c>
      <c r="X17" s="1321">
        <v>0</v>
      </c>
      <c r="Y17" s="1321">
        <v>0</v>
      </c>
      <c r="Z17" s="1308"/>
      <c r="AA17" s="1309"/>
      <c r="AB17" s="2911"/>
      <c r="AC17" s="2911"/>
      <c r="AD17" s="2911"/>
      <c r="AE17" s="2911"/>
      <c r="AF17" s="2911"/>
      <c r="AG17" s="2911"/>
      <c r="AH17" s="2911"/>
      <c r="AI17" s="2911"/>
      <c r="AJ17" s="2911"/>
      <c r="AK17" s="2911"/>
      <c r="AL17" s="2911"/>
      <c r="AM17" s="2911"/>
      <c r="AN17" s="2890"/>
      <c r="AO17" s="1310"/>
      <c r="AP17" s="2890"/>
      <c r="AQ17" s="2890"/>
      <c r="AR17" s="2908"/>
      <c r="AS17" s="1311"/>
      <c r="AT17" s="2890"/>
      <c r="AU17" s="2890"/>
      <c r="AV17" s="2890"/>
      <c r="AW17" s="2890"/>
      <c r="AX17" s="2890"/>
      <c r="AY17" s="2890"/>
      <c r="AZ17" s="1322"/>
      <c r="BA17" s="1322"/>
      <c r="BB17" s="1322"/>
      <c r="BC17" s="1323"/>
      <c r="BD17" s="1310"/>
      <c r="BE17" s="1310"/>
      <c r="BF17" s="1324">
        <v>42809</v>
      </c>
      <c r="BG17" s="1324">
        <v>42809</v>
      </c>
      <c r="BH17" s="1324">
        <v>42941</v>
      </c>
      <c r="BI17" s="1324">
        <v>42941</v>
      </c>
      <c r="BJ17" s="2911"/>
    </row>
    <row r="18" spans="1:62" s="1312" customFormat="1" ht="55.5" customHeight="1" x14ac:dyDescent="0.2">
      <c r="A18" s="1295"/>
      <c r="B18" s="1295"/>
      <c r="C18" s="1296"/>
      <c r="D18" s="2840"/>
      <c r="E18" s="2841"/>
      <c r="F18" s="2842"/>
      <c r="G18" s="2840"/>
      <c r="H18" s="2841"/>
      <c r="I18" s="2842"/>
      <c r="J18" s="2846">
        <v>216</v>
      </c>
      <c r="K18" s="2848" t="s">
        <v>1226</v>
      </c>
      <c r="L18" s="2850" t="s">
        <v>18</v>
      </c>
      <c r="M18" s="2893">
        <v>2</v>
      </c>
      <c r="N18" s="2896">
        <v>0</v>
      </c>
      <c r="O18" s="2869"/>
      <c r="P18" s="2872"/>
      <c r="Q18" s="2849"/>
      <c r="R18" s="2885">
        <f>+S18/9051631612</f>
        <v>0.3112808961717608</v>
      </c>
      <c r="S18" s="2875">
        <v>2817600000</v>
      </c>
      <c r="T18" s="2849"/>
      <c r="U18" s="2862"/>
      <c r="V18" s="1325" t="s">
        <v>1227</v>
      </c>
      <c r="W18" s="1320">
        <v>100000000</v>
      </c>
      <c r="X18" s="1321">
        <v>0</v>
      </c>
      <c r="Y18" s="1321">
        <v>0</v>
      </c>
      <c r="Z18" s="1308"/>
      <c r="AA18" s="1309"/>
      <c r="AB18" s="2911"/>
      <c r="AC18" s="2911"/>
      <c r="AD18" s="2911"/>
      <c r="AE18" s="2911"/>
      <c r="AF18" s="2911"/>
      <c r="AG18" s="2911"/>
      <c r="AH18" s="2911"/>
      <c r="AI18" s="2911"/>
      <c r="AJ18" s="2911"/>
      <c r="AK18" s="2911"/>
      <c r="AL18" s="2911"/>
      <c r="AM18" s="2911"/>
      <c r="AN18" s="2890"/>
      <c r="AO18" s="1310"/>
      <c r="AP18" s="2890"/>
      <c r="AQ18" s="2890"/>
      <c r="AR18" s="2908"/>
      <c r="AS18" s="1311"/>
      <c r="AT18" s="2890"/>
      <c r="AU18" s="2890"/>
      <c r="AV18" s="2890"/>
      <c r="AW18" s="2890"/>
      <c r="AX18" s="2890"/>
      <c r="AY18" s="2890"/>
      <c r="AZ18" s="2889">
        <v>1</v>
      </c>
      <c r="BA18" s="2865">
        <v>50000000</v>
      </c>
      <c r="BB18" s="2865">
        <v>0</v>
      </c>
      <c r="BC18" s="2878">
        <v>0</v>
      </c>
      <c r="BD18" s="1310"/>
      <c r="BE18" s="1310"/>
      <c r="BF18" s="1324">
        <v>42814</v>
      </c>
      <c r="BG18" s="1324">
        <v>42814</v>
      </c>
      <c r="BH18" s="1324">
        <v>42931</v>
      </c>
      <c r="BI18" s="1324">
        <v>42931</v>
      </c>
      <c r="BJ18" s="2911"/>
    </row>
    <row r="19" spans="1:62" s="1312" customFormat="1" ht="38.25" customHeight="1" x14ac:dyDescent="0.2">
      <c r="A19" s="1295"/>
      <c r="B19" s="1295"/>
      <c r="C19" s="1296"/>
      <c r="D19" s="2840"/>
      <c r="E19" s="2841"/>
      <c r="F19" s="2842"/>
      <c r="G19" s="2840"/>
      <c r="H19" s="2841"/>
      <c r="I19" s="2842"/>
      <c r="J19" s="2892"/>
      <c r="K19" s="2849"/>
      <c r="L19" s="2851"/>
      <c r="M19" s="2894"/>
      <c r="N19" s="2896"/>
      <c r="O19" s="2869"/>
      <c r="P19" s="2872"/>
      <c r="Q19" s="2849"/>
      <c r="R19" s="2886"/>
      <c r="S19" s="2888"/>
      <c r="T19" s="2849"/>
      <c r="U19" s="2862"/>
      <c r="V19" s="1325" t="s">
        <v>1228</v>
      </c>
      <c r="W19" s="1320">
        <v>1960000000</v>
      </c>
      <c r="X19" s="1321">
        <v>0</v>
      </c>
      <c r="Y19" s="1321">
        <v>0</v>
      </c>
      <c r="Z19" s="1308"/>
      <c r="AA19" s="1309"/>
      <c r="AB19" s="2911"/>
      <c r="AC19" s="2911"/>
      <c r="AD19" s="2911"/>
      <c r="AE19" s="2911"/>
      <c r="AF19" s="2911"/>
      <c r="AG19" s="2911"/>
      <c r="AH19" s="2911"/>
      <c r="AI19" s="2911"/>
      <c r="AJ19" s="2911"/>
      <c r="AK19" s="2911"/>
      <c r="AL19" s="2911"/>
      <c r="AM19" s="2911"/>
      <c r="AN19" s="2890"/>
      <c r="AO19" s="1310"/>
      <c r="AP19" s="2890"/>
      <c r="AQ19" s="2890"/>
      <c r="AR19" s="2908"/>
      <c r="AS19" s="1311"/>
      <c r="AT19" s="2890"/>
      <c r="AU19" s="2890"/>
      <c r="AV19" s="2890"/>
      <c r="AW19" s="2890"/>
      <c r="AX19" s="2890"/>
      <c r="AY19" s="2890"/>
      <c r="AZ19" s="2890"/>
      <c r="BA19" s="2877"/>
      <c r="BB19" s="2877"/>
      <c r="BC19" s="2879"/>
      <c r="BD19" s="1310"/>
      <c r="BE19" s="1310"/>
      <c r="BF19" s="1324">
        <v>42870</v>
      </c>
      <c r="BG19" s="1324">
        <v>42870</v>
      </c>
      <c r="BH19" s="1324">
        <v>43100</v>
      </c>
      <c r="BI19" s="1324">
        <v>43100</v>
      </c>
      <c r="BJ19" s="2911"/>
    </row>
    <row r="20" spans="1:62" s="1312" customFormat="1" ht="41.25" customHeight="1" x14ac:dyDescent="0.2">
      <c r="A20" s="1295"/>
      <c r="B20" s="1295"/>
      <c r="C20" s="1296"/>
      <c r="D20" s="2840"/>
      <c r="E20" s="2841"/>
      <c r="F20" s="2842"/>
      <c r="G20" s="2840"/>
      <c r="H20" s="2841"/>
      <c r="I20" s="2842"/>
      <c r="J20" s="2892"/>
      <c r="K20" s="2849"/>
      <c r="L20" s="2851"/>
      <c r="M20" s="2894"/>
      <c r="N20" s="2896"/>
      <c r="O20" s="2869"/>
      <c r="P20" s="2872"/>
      <c r="Q20" s="2849"/>
      <c r="R20" s="2886"/>
      <c r="S20" s="2888"/>
      <c r="T20" s="2849"/>
      <c r="U20" s="2862"/>
      <c r="V20" s="1325" t="s">
        <v>1229</v>
      </c>
      <c r="W20" s="1320">
        <v>707600000</v>
      </c>
      <c r="X20" s="1321">
        <v>0</v>
      </c>
      <c r="Y20" s="1321">
        <v>0</v>
      </c>
      <c r="Z20" s="1308"/>
      <c r="AA20" s="1309"/>
      <c r="AB20" s="2911"/>
      <c r="AC20" s="2911"/>
      <c r="AD20" s="2911"/>
      <c r="AE20" s="2911"/>
      <c r="AF20" s="2911"/>
      <c r="AG20" s="2911"/>
      <c r="AH20" s="2911"/>
      <c r="AI20" s="2911"/>
      <c r="AJ20" s="2911"/>
      <c r="AK20" s="2911"/>
      <c r="AL20" s="2911"/>
      <c r="AM20" s="2911"/>
      <c r="AN20" s="2890"/>
      <c r="AO20" s="1310"/>
      <c r="AP20" s="2890"/>
      <c r="AQ20" s="2890"/>
      <c r="AR20" s="2908"/>
      <c r="AS20" s="1311"/>
      <c r="AT20" s="2890"/>
      <c r="AU20" s="2890"/>
      <c r="AV20" s="2890"/>
      <c r="AW20" s="2890"/>
      <c r="AX20" s="2890"/>
      <c r="AY20" s="2890"/>
      <c r="AZ20" s="2890"/>
      <c r="BA20" s="2877"/>
      <c r="BB20" s="2877"/>
      <c r="BC20" s="2879"/>
      <c r="BD20" s="1310"/>
      <c r="BE20" s="1310"/>
      <c r="BF20" s="1324">
        <v>42898</v>
      </c>
      <c r="BG20" s="1324">
        <v>42898</v>
      </c>
      <c r="BH20" s="1324">
        <v>43089</v>
      </c>
      <c r="BI20" s="1324">
        <v>43089</v>
      </c>
      <c r="BJ20" s="2911"/>
    </row>
    <row r="21" spans="1:62" s="1312" customFormat="1" ht="71.25" x14ac:dyDescent="0.2">
      <c r="A21" s="1295"/>
      <c r="B21" s="1295"/>
      <c r="C21" s="1296"/>
      <c r="D21" s="2840"/>
      <c r="E21" s="2841"/>
      <c r="F21" s="2842"/>
      <c r="G21" s="2840"/>
      <c r="H21" s="2841"/>
      <c r="I21" s="2842"/>
      <c r="J21" s="2847"/>
      <c r="K21" s="2860"/>
      <c r="L21" s="2882"/>
      <c r="M21" s="2895"/>
      <c r="N21" s="2896"/>
      <c r="O21" s="2869"/>
      <c r="P21" s="2872"/>
      <c r="Q21" s="2849"/>
      <c r="R21" s="2887"/>
      <c r="S21" s="2876"/>
      <c r="T21" s="2849"/>
      <c r="U21" s="2862"/>
      <c r="V21" s="1326" t="s">
        <v>1230</v>
      </c>
      <c r="W21" s="1327">
        <v>50000000</v>
      </c>
      <c r="X21" s="1328">
        <v>50000000</v>
      </c>
      <c r="Y21" s="1328">
        <v>0</v>
      </c>
      <c r="Z21" s="1308"/>
      <c r="AA21" s="1309"/>
      <c r="AB21" s="2911"/>
      <c r="AC21" s="2911"/>
      <c r="AD21" s="2911"/>
      <c r="AE21" s="2911"/>
      <c r="AF21" s="2911"/>
      <c r="AG21" s="2911"/>
      <c r="AH21" s="2911"/>
      <c r="AI21" s="2911"/>
      <c r="AJ21" s="2911"/>
      <c r="AK21" s="2911"/>
      <c r="AL21" s="2911"/>
      <c r="AM21" s="2911"/>
      <c r="AN21" s="2890"/>
      <c r="AO21" s="1310"/>
      <c r="AP21" s="2890"/>
      <c r="AQ21" s="2890"/>
      <c r="AR21" s="2908"/>
      <c r="AS21" s="1311"/>
      <c r="AT21" s="2890"/>
      <c r="AU21" s="2890"/>
      <c r="AV21" s="2890"/>
      <c r="AW21" s="2890"/>
      <c r="AX21" s="2890"/>
      <c r="AY21" s="2890"/>
      <c r="AZ21" s="2891"/>
      <c r="BA21" s="2866"/>
      <c r="BB21" s="2866"/>
      <c r="BC21" s="2880"/>
      <c r="BD21" s="1310"/>
      <c r="BE21" s="1310"/>
      <c r="BF21" s="1324">
        <v>42835</v>
      </c>
      <c r="BG21" s="1324">
        <v>42835</v>
      </c>
      <c r="BH21" s="1324">
        <v>43060</v>
      </c>
      <c r="BI21" s="1324">
        <v>43060</v>
      </c>
      <c r="BJ21" s="2911"/>
    </row>
    <row r="22" spans="1:62" s="1312" customFormat="1" ht="28.5" x14ac:dyDescent="0.2">
      <c r="A22" s="1295"/>
      <c r="B22" s="1295"/>
      <c r="C22" s="1296"/>
      <c r="D22" s="2840"/>
      <c r="E22" s="2841"/>
      <c r="F22" s="2842"/>
      <c r="G22" s="2840"/>
      <c r="H22" s="2841"/>
      <c r="I22" s="2842"/>
      <c r="J22" s="2881">
        <v>217</v>
      </c>
      <c r="K22" s="2864" t="s">
        <v>1231</v>
      </c>
      <c r="L22" s="2850" t="s">
        <v>18</v>
      </c>
      <c r="M22" s="2867">
        <v>5</v>
      </c>
      <c r="N22" s="2883">
        <v>3.5000000000000001E-3</v>
      </c>
      <c r="O22" s="2869"/>
      <c r="P22" s="2872"/>
      <c r="Q22" s="2849"/>
      <c r="R22" s="2885">
        <f>+S22/9051631612</f>
        <v>0.64012013086331954</v>
      </c>
      <c r="S22" s="2875">
        <v>5794131612</v>
      </c>
      <c r="T22" s="2849"/>
      <c r="U22" s="2862"/>
      <c r="V22" s="1325" t="s">
        <v>1232</v>
      </c>
      <c r="W22" s="1329">
        <v>3685000000</v>
      </c>
      <c r="X22" s="1329">
        <v>0</v>
      </c>
      <c r="Y22" s="1329">
        <v>0</v>
      </c>
      <c r="Z22" s="1308"/>
      <c r="AA22" s="1309"/>
      <c r="AB22" s="2911"/>
      <c r="AC22" s="2911"/>
      <c r="AD22" s="2911"/>
      <c r="AE22" s="2911"/>
      <c r="AF22" s="2911"/>
      <c r="AG22" s="2911"/>
      <c r="AH22" s="2911"/>
      <c r="AI22" s="2911"/>
      <c r="AJ22" s="2911"/>
      <c r="AK22" s="2911"/>
      <c r="AL22" s="2911"/>
      <c r="AM22" s="2911"/>
      <c r="AN22" s="2890"/>
      <c r="AO22" s="1310"/>
      <c r="AP22" s="2890"/>
      <c r="AQ22" s="2890"/>
      <c r="AR22" s="2908"/>
      <c r="AS22" s="1311"/>
      <c r="AT22" s="2890"/>
      <c r="AU22" s="2890"/>
      <c r="AV22" s="2890"/>
      <c r="AW22" s="2890"/>
      <c r="AX22" s="2890"/>
      <c r="AY22" s="2890"/>
      <c r="AZ22" s="2889">
        <v>5</v>
      </c>
      <c r="BA22" s="2865">
        <v>114480000</v>
      </c>
      <c r="BB22" s="2865">
        <v>20600000</v>
      </c>
      <c r="BC22" s="2897">
        <f>BB22/BA22</f>
        <v>0.17994409503843467</v>
      </c>
      <c r="BD22" s="1310"/>
      <c r="BE22" s="1310"/>
      <c r="BF22" s="1324">
        <v>42776</v>
      </c>
      <c r="BG22" s="1324">
        <v>42776</v>
      </c>
      <c r="BH22" s="1324">
        <v>43084</v>
      </c>
      <c r="BI22" s="1324">
        <v>43084</v>
      </c>
      <c r="BJ22" s="2911"/>
    </row>
    <row r="23" spans="1:62" s="1312" customFormat="1" ht="21" customHeight="1" x14ac:dyDescent="0.2">
      <c r="A23" s="1295"/>
      <c r="B23" s="1295"/>
      <c r="C23" s="1296"/>
      <c r="D23" s="2840"/>
      <c r="E23" s="2841"/>
      <c r="F23" s="2842"/>
      <c r="G23" s="2840"/>
      <c r="H23" s="2841"/>
      <c r="I23" s="2842"/>
      <c r="J23" s="2881"/>
      <c r="K23" s="2864"/>
      <c r="L23" s="2851"/>
      <c r="M23" s="2867"/>
      <c r="N23" s="2884"/>
      <c r="O23" s="2869"/>
      <c r="P23" s="2872"/>
      <c r="Q23" s="2849"/>
      <c r="R23" s="2886"/>
      <c r="S23" s="2888"/>
      <c r="T23" s="2849"/>
      <c r="U23" s="2862"/>
      <c r="V23" s="1325" t="s">
        <v>1233</v>
      </c>
      <c r="W23" s="1329">
        <v>237231612</v>
      </c>
      <c r="X23" s="1329">
        <v>0</v>
      </c>
      <c r="Y23" s="1329">
        <v>0</v>
      </c>
      <c r="Z23" s="1308"/>
      <c r="AA23" s="1309"/>
      <c r="AB23" s="2911"/>
      <c r="AC23" s="2911"/>
      <c r="AD23" s="2911"/>
      <c r="AE23" s="2911"/>
      <c r="AF23" s="2911"/>
      <c r="AG23" s="2911"/>
      <c r="AH23" s="2911"/>
      <c r="AI23" s="2911"/>
      <c r="AJ23" s="2911"/>
      <c r="AK23" s="2911"/>
      <c r="AL23" s="2911"/>
      <c r="AM23" s="2911"/>
      <c r="AN23" s="2890"/>
      <c r="AO23" s="1310"/>
      <c r="AP23" s="2890"/>
      <c r="AQ23" s="2890"/>
      <c r="AR23" s="2908"/>
      <c r="AS23" s="1311"/>
      <c r="AT23" s="2890"/>
      <c r="AU23" s="2890"/>
      <c r="AV23" s="2890"/>
      <c r="AW23" s="2890"/>
      <c r="AX23" s="2890"/>
      <c r="AY23" s="2890"/>
      <c r="AZ23" s="2890"/>
      <c r="BA23" s="2877"/>
      <c r="BB23" s="2877"/>
      <c r="BC23" s="2898"/>
      <c r="BD23" s="1310"/>
      <c r="BE23" s="1310"/>
      <c r="BF23" s="1324">
        <v>42804</v>
      </c>
      <c r="BG23" s="1324">
        <v>42804</v>
      </c>
      <c r="BH23" s="1324">
        <v>43085</v>
      </c>
      <c r="BI23" s="1324">
        <v>43085</v>
      </c>
      <c r="BJ23" s="2911"/>
    </row>
    <row r="24" spans="1:62" s="1312" customFormat="1" ht="28.5" x14ac:dyDescent="0.2">
      <c r="A24" s="1295"/>
      <c r="B24" s="1295"/>
      <c r="C24" s="1296"/>
      <c r="D24" s="2840"/>
      <c r="E24" s="2841"/>
      <c r="F24" s="2842"/>
      <c r="G24" s="2840"/>
      <c r="H24" s="2841"/>
      <c r="I24" s="2842"/>
      <c r="J24" s="2881"/>
      <c r="K24" s="2864"/>
      <c r="L24" s="2851"/>
      <c r="M24" s="2867"/>
      <c r="N24" s="2884"/>
      <c r="O24" s="2869"/>
      <c r="P24" s="2872"/>
      <c r="Q24" s="2849"/>
      <c r="R24" s="2886"/>
      <c r="S24" s="2888"/>
      <c r="T24" s="2849"/>
      <c r="U24" s="2862"/>
      <c r="V24" s="1325" t="s">
        <v>1234</v>
      </c>
      <c r="W24" s="1329">
        <v>15000000</v>
      </c>
      <c r="X24" s="1329">
        <v>5000000</v>
      </c>
      <c r="Y24" s="1329">
        <v>0</v>
      </c>
      <c r="Z24" s="1308"/>
      <c r="AA24" s="1309"/>
      <c r="AB24" s="2911"/>
      <c r="AC24" s="2911"/>
      <c r="AD24" s="2911"/>
      <c r="AE24" s="2911"/>
      <c r="AF24" s="2911"/>
      <c r="AG24" s="2911"/>
      <c r="AH24" s="2911"/>
      <c r="AI24" s="2911"/>
      <c r="AJ24" s="2911"/>
      <c r="AK24" s="2911"/>
      <c r="AL24" s="2911"/>
      <c r="AM24" s="2911"/>
      <c r="AN24" s="2890"/>
      <c r="AO24" s="1310"/>
      <c r="AP24" s="2890"/>
      <c r="AQ24" s="2890"/>
      <c r="AR24" s="2908"/>
      <c r="AS24" s="1311"/>
      <c r="AT24" s="2890"/>
      <c r="AU24" s="2890"/>
      <c r="AV24" s="2890"/>
      <c r="AW24" s="2890"/>
      <c r="AX24" s="2890"/>
      <c r="AY24" s="2890"/>
      <c r="AZ24" s="2890"/>
      <c r="BA24" s="2877"/>
      <c r="BB24" s="2877"/>
      <c r="BC24" s="2898"/>
      <c r="BD24" s="1310"/>
      <c r="BE24" s="1310"/>
      <c r="BF24" s="1324">
        <v>42767</v>
      </c>
      <c r="BG24" s="1324">
        <v>42767</v>
      </c>
      <c r="BH24" s="1324">
        <v>42536</v>
      </c>
      <c r="BI24" s="1324">
        <v>42536</v>
      </c>
      <c r="BJ24" s="2911"/>
    </row>
    <row r="25" spans="1:62" s="1312" customFormat="1" ht="28.5" x14ac:dyDescent="0.2">
      <c r="A25" s="1295"/>
      <c r="B25" s="1295"/>
      <c r="C25" s="1296"/>
      <c r="D25" s="2840"/>
      <c r="E25" s="2841"/>
      <c r="F25" s="2842"/>
      <c r="G25" s="2840"/>
      <c r="H25" s="2841"/>
      <c r="I25" s="2842"/>
      <c r="J25" s="2881"/>
      <c r="K25" s="2864"/>
      <c r="L25" s="2851"/>
      <c r="M25" s="2867"/>
      <c r="N25" s="2884"/>
      <c r="O25" s="2869"/>
      <c r="P25" s="2872"/>
      <c r="Q25" s="2849"/>
      <c r="R25" s="2886"/>
      <c r="S25" s="2888"/>
      <c r="T25" s="2849"/>
      <c r="U25" s="2862"/>
      <c r="V25" s="1325" t="s">
        <v>1235</v>
      </c>
      <c r="W25" s="1329">
        <v>308000000</v>
      </c>
      <c r="X25" s="1329">
        <v>0</v>
      </c>
      <c r="Y25" s="1329">
        <v>0</v>
      </c>
      <c r="Z25" s="1308"/>
      <c r="AA25" s="1309"/>
      <c r="AB25" s="2911"/>
      <c r="AC25" s="2911"/>
      <c r="AD25" s="2911"/>
      <c r="AE25" s="2911"/>
      <c r="AF25" s="2911"/>
      <c r="AG25" s="2911"/>
      <c r="AH25" s="2911"/>
      <c r="AI25" s="2911"/>
      <c r="AJ25" s="2911"/>
      <c r="AK25" s="2911"/>
      <c r="AL25" s="2911"/>
      <c r="AM25" s="2911"/>
      <c r="AN25" s="2890"/>
      <c r="AO25" s="1310"/>
      <c r="AP25" s="2890"/>
      <c r="AQ25" s="2890"/>
      <c r="AR25" s="2908"/>
      <c r="AS25" s="1311"/>
      <c r="AT25" s="2890"/>
      <c r="AU25" s="2890"/>
      <c r="AV25" s="2890"/>
      <c r="AW25" s="2890"/>
      <c r="AX25" s="2890"/>
      <c r="AY25" s="2890"/>
      <c r="AZ25" s="2890"/>
      <c r="BA25" s="2877"/>
      <c r="BB25" s="2877"/>
      <c r="BC25" s="2898"/>
      <c r="BD25" s="1310"/>
      <c r="BE25" s="1310"/>
      <c r="BF25" s="1324">
        <v>42786</v>
      </c>
      <c r="BG25" s="1324">
        <v>42786</v>
      </c>
      <c r="BH25" s="1324">
        <v>42537</v>
      </c>
      <c r="BI25" s="1324">
        <v>42537</v>
      </c>
      <c r="BJ25" s="2911"/>
    </row>
    <row r="26" spans="1:62" s="1312" customFormat="1" ht="21" customHeight="1" x14ac:dyDescent="0.2">
      <c r="A26" s="1295"/>
      <c r="B26" s="1295"/>
      <c r="C26" s="1296"/>
      <c r="D26" s="2840"/>
      <c r="E26" s="2841"/>
      <c r="F26" s="2842"/>
      <c r="G26" s="2840"/>
      <c r="H26" s="2841"/>
      <c r="I26" s="2842"/>
      <c r="J26" s="2881"/>
      <c r="K26" s="2864"/>
      <c r="L26" s="2851"/>
      <c r="M26" s="2867"/>
      <c r="N26" s="2884"/>
      <c r="O26" s="2869"/>
      <c r="P26" s="2872"/>
      <c r="Q26" s="2849"/>
      <c r="R26" s="2886"/>
      <c r="S26" s="2888"/>
      <c r="T26" s="2849"/>
      <c r="U26" s="2862"/>
      <c r="V26" s="1325" t="s">
        <v>1236</v>
      </c>
      <c r="W26" s="1329">
        <v>125000000</v>
      </c>
      <c r="X26" s="1329">
        <v>0</v>
      </c>
      <c r="Y26" s="1329">
        <v>0</v>
      </c>
      <c r="Z26" s="1308"/>
      <c r="AA26" s="1309"/>
      <c r="AB26" s="2911"/>
      <c r="AC26" s="2911"/>
      <c r="AD26" s="2911"/>
      <c r="AE26" s="2911"/>
      <c r="AF26" s="2911"/>
      <c r="AG26" s="2911"/>
      <c r="AH26" s="2911"/>
      <c r="AI26" s="2911"/>
      <c r="AJ26" s="2911"/>
      <c r="AK26" s="2911"/>
      <c r="AL26" s="2911"/>
      <c r="AM26" s="2911"/>
      <c r="AN26" s="2890"/>
      <c r="AO26" s="1310"/>
      <c r="AP26" s="2890"/>
      <c r="AQ26" s="2890"/>
      <c r="AR26" s="2908"/>
      <c r="AS26" s="1311"/>
      <c r="AT26" s="2890"/>
      <c r="AU26" s="2890"/>
      <c r="AV26" s="2890"/>
      <c r="AW26" s="2890"/>
      <c r="AX26" s="2890"/>
      <c r="AY26" s="2890"/>
      <c r="AZ26" s="2890"/>
      <c r="BA26" s="2877"/>
      <c r="BB26" s="2877"/>
      <c r="BC26" s="2898"/>
      <c r="BD26" s="1310"/>
      <c r="BE26" s="1310"/>
      <c r="BF26" s="1324">
        <v>42804</v>
      </c>
      <c r="BG26" s="1324">
        <v>42804</v>
      </c>
      <c r="BH26" s="1324">
        <v>43085</v>
      </c>
      <c r="BI26" s="1324">
        <v>43085</v>
      </c>
      <c r="BJ26" s="2911"/>
    </row>
    <row r="27" spans="1:62" s="1312" customFormat="1" ht="42.75" x14ac:dyDescent="0.2">
      <c r="A27" s="1295"/>
      <c r="B27" s="1295"/>
      <c r="C27" s="1296"/>
      <c r="D27" s="2840"/>
      <c r="E27" s="2841"/>
      <c r="F27" s="2842"/>
      <c r="G27" s="2840"/>
      <c r="H27" s="2841"/>
      <c r="I27" s="2842"/>
      <c r="J27" s="2881"/>
      <c r="K27" s="2864"/>
      <c r="L27" s="2851"/>
      <c r="M27" s="2867"/>
      <c r="N27" s="2884"/>
      <c r="O27" s="2869"/>
      <c r="P27" s="2872"/>
      <c r="Q27" s="2849"/>
      <c r="R27" s="2886"/>
      <c r="S27" s="2888"/>
      <c r="T27" s="2849"/>
      <c r="U27" s="2862"/>
      <c r="V27" s="1325" t="s">
        <v>1237</v>
      </c>
      <c r="W27" s="1329">
        <v>15000000</v>
      </c>
      <c r="X27" s="1329">
        <v>0</v>
      </c>
      <c r="Y27" s="1329">
        <v>0</v>
      </c>
      <c r="Z27" s="1330">
        <v>20</v>
      </c>
      <c r="AA27" s="1331" t="s">
        <v>208</v>
      </c>
      <c r="AB27" s="2911"/>
      <c r="AC27" s="2911"/>
      <c r="AD27" s="2911"/>
      <c r="AE27" s="2911"/>
      <c r="AF27" s="2911"/>
      <c r="AG27" s="2911"/>
      <c r="AH27" s="2911"/>
      <c r="AI27" s="2911"/>
      <c r="AJ27" s="2911"/>
      <c r="AK27" s="2911"/>
      <c r="AL27" s="2911"/>
      <c r="AM27" s="2911"/>
      <c r="AN27" s="2890"/>
      <c r="AO27" s="1310"/>
      <c r="AP27" s="2890"/>
      <c r="AQ27" s="2890"/>
      <c r="AR27" s="2908"/>
      <c r="AS27" s="1311"/>
      <c r="AT27" s="2890"/>
      <c r="AU27" s="2890"/>
      <c r="AV27" s="2890"/>
      <c r="AW27" s="2890"/>
      <c r="AX27" s="2890"/>
      <c r="AY27" s="2890"/>
      <c r="AZ27" s="2890"/>
      <c r="BA27" s="2877"/>
      <c r="BB27" s="2877"/>
      <c r="BC27" s="2898"/>
      <c r="BD27" s="1310"/>
      <c r="BE27" s="1310"/>
      <c r="BF27" s="1324">
        <v>42750</v>
      </c>
      <c r="BG27" s="1324">
        <v>42750</v>
      </c>
      <c r="BH27" s="1324">
        <v>42916</v>
      </c>
      <c r="BI27" s="1324">
        <v>42916</v>
      </c>
      <c r="BJ27" s="2911"/>
    </row>
    <row r="28" spans="1:62" s="1312" customFormat="1" ht="28.5" x14ac:dyDescent="0.2">
      <c r="A28" s="1295"/>
      <c r="B28" s="1295"/>
      <c r="C28" s="1296"/>
      <c r="D28" s="2840"/>
      <c r="E28" s="2841"/>
      <c r="F28" s="2842"/>
      <c r="G28" s="2840"/>
      <c r="H28" s="2841"/>
      <c r="I28" s="2842"/>
      <c r="J28" s="2881"/>
      <c r="K28" s="2864"/>
      <c r="L28" s="2851"/>
      <c r="M28" s="2867"/>
      <c r="N28" s="2884"/>
      <c r="O28" s="2869"/>
      <c r="P28" s="2872"/>
      <c r="Q28" s="2849"/>
      <c r="R28" s="2886"/>
      <c r="S28" s="2888"/>
      <c r="T28" s="2849"/>
      <c r="U28" s="2862"/>
      <c r="V28" s="1325" t="s">
        <v>1238</v>
      </c>
      <c r="W28" s="1329">
        <v>300000000</v>
      </c>
      <c r="X28" s="1329">
        <v>0</v>
      </c>
      <c r="Y28" s="1329">
        <v>0</v>
      </c>
      <c r="Z28" s="1330">
        <v>88</v>
      </c>
      <c r="AA28" s="1331" t="s">
        <v>350</v>
      </c>
      <c r="AB28" s="2911"/>
      <c r="AC28" s="2911"/>
      <c r="AD28" s="2911"/>
      <c r="AE28" s="2911"/>
      <c r="AF28" s="2911"/>
      <c r="AG28" s="2911"/>
      <c r="AH28" s="2911"/>
      <c r="AI28" s="2911"/>
      <c r="AJ28" s="2911"/>
      <c r="AK28" s="2911"/>
      <c r="AL28" s="2911"/>
      <c r="AM28" s="2911"/>
      <c r="AN28" s="2890"/>
      <c r="AO28" s="1310"/>
      <c r="AP28" s="2890"/>
      <c r="AQ28" s="2890"/>
      <c r="AR28" s="2908"/>
      <c r="AS28" s="1311"/>
      <c r="AT28" s="2890"/>
      <c r="AU28" s="2890"/>
      <c r="AV28" s="2890"/>
      <c r="AW28" s="2890"/>
      <c r="AX28" s="2890"/>
      <c r="AY28" s="2890"/>
      <c r="AZ28" s="2890"/>
      <c r="BA28" s="2877"/>
      <c r="BB28" s="2877"/>
      <c r="BC28" s="2898"/>
      <c r="BD28" s="1310"/>
      <c r="BE28" s="1310"/>
      <c r="BF28" s="1324">
        <v>42804</v>
      </c>
      <c r="BG28" s="1324">
        <v>42804</v>
      </c>
      <c r="BH28" s="1324">
        <v>43085</v>
      </c>
      <c r="BI28" s="1324">
        <v>43085</v>
      </c>
      <c r="BJ28" s="2911"/>
    </row>
    <row r="29" spans="1:62" s="1312" customFormat="1" ht="84" customHeight="1" x14ac:dyDescent="0.2">
      <c r="A29" s="1295"/>
      <c r="B29" s="1295"/>
      <c r="C29" s="1296"/>
      <c r="D29" s="2840"/>
      <c r="E29" s="2841"/>
      <c r="F29" s="2842"/>
      <c r="G29" s="2840"/>
      <c r="H29" s="2841"/>
      <c r="I29" s="2842"/>
      <c r="J29" s="2881"/>
      <c r="K29" s="2864"/>
      <c r="L29" s="2851"/>
      <c r="M29" s="2867"/>
      <c r="N29" s="2884"/>
      <c r="O29" s="2869"/>
      <c r="P29" s="2872"/>
      <c r="Q29" s="2849"/>
      <c r="R29" s="2886"/>
      <c r="S29" s="2888"/>
      <c r="T29" s="2849"/>
      <c r="U29" s="2862"/>
      <c r="V29" s="1325" t="s">
        <v>1239</v>
      </c>
      <c r="W29" s="1329">
        <v>290000000</v>
      </c>
      <c r="X29" s="1329">
        <v>1180000</v>
      </c>
      <c r="Y29" s="1329">
        <v>0</v>
      </c>
      <c r="Z29" s="1332">
        <v>42</v>
      </c>
      <c r="AA29" s="1309" t="s">
        <v>1240</v>
      </c>
      <c r="AB29" s="2911"/>
      <c r="AC29" s="2911"/>
      <c r="AD29" s="2911"/>
      <c r="AE29" s="2911"/>
      <c r="AF29" s="2911"/>
      <c r="AG29" s="2911"/>
      <c r="AH29" s="2911"/>
      <c r="AI29" s="2911"/>
      <c r="AJ29" s="2911"/>
      <c r="AK29" s="2911"/>
      <c r="AL29" s="2911"/>
      <c r="AM29" s="2911"/>
      <c r="AN29" s="2890"/>
      <c r="AO29" s="1310"/>
      <c r="AP29" s="2890"/>
      <c r="AQ29" s="2890"/>
      <c r="AR29" s="2908"/>
      <c r="AS29" s="1311"/>
      <c r="AT29" s="2890"/>
      <c r="AU29" s="2890"/>
      <c r="AV29" s="2890"/>
      <c r="AW29" s="2890"/>
      <c r="AX29" s="2890"/>
      <c r="AY29" s="2890"/>
      <c r="AZ29" s="2890"/>
      <c r="BA29" s="2877"/>
      <c r="BB29" s="2877"/>
      <c r="BC29" s="2898"/>
      <c r="BD29" s="1330">
        <v>20</v>
      </c>
      <c r="BE29" s="1310" t="s">
        <v>1241</v>
      </c>
      <c r="BF29" s="1324">
        <v>42804</v>
      </c>
      <c r="BG29" s="1324">
        <v>42804</v>
      </c>
      <c r="BH29" s="1324">
        <v>43085</v>
      </c>
      <c r="BI29" s="1324">
        <v>43085</v>
      </c>
      <c r="BJ29" s="2911"/>
    </row>
    <row r="30" spans="1:62" s="1312" customFormat="1" ht="84" customHeight="1" x14ac:dyDescent="0.2">
      <c r="A30" s="1295"/>
      <c r="B30" s="1295"/>
      <c r="C30" s="1296"/>
      <c r="D30" s="2840"/>
      <c r="E30" s="2841"/>
      <c r="F30" s="2842"/>
      <c r="G30" s="2840"/>
      <c r="H30" s="2841"/>
      <c r="I30" s="2842"/>
      <c r="J30" s="2881"/>
      <c r="K30" s="2864"/>
      <c r="L30" s="2851"/>
      <c r="M30" s="2867"/>
      <c r="N30" s="2884"/>
      <c r="O30" s="2869"/>
      <c r="P30" s="2872"/>
      <c r="Q30" s="2849"/>
      <c r="R30" s="2886"/>
      <c r="S30" s="2888"/>
      <c r="T30" s="2849"/>
      <c r="U30" s="2862"/>
      <c r="V30" s="1325" t="s">
        <v>1242</v>
      </c>
      <c r="W30" s="1329">
        <v>260000000</v>
      </c>
      <c r="X30" s="1329">
        <v>0</v>
      </c>
      <c r="Y30" s="1329">
        <v>0</v>
      </c>
      <c r="Z30" s="1332">
        <v>92</v>
      </c>
      <c r="AA30" s="1309" t="s">
        <v>1243</v>
      </c>
      <c r="AB30" s="2911"/>
      <c r="AC30" s="2911"/>
      <c r="AD30" s="2911"/>
      <c r="AE30" s="2911"/>
      <c r="AF30" s="2911"/>
      <c r="AG30" s="2911"/>
      <c r="AH30" s="2911"/>
      <c r="AI30" s="2911"/>
      <c r="AJ30" s="2911"/>
      <c r="AK30" s="2911"/>
      <c r="AL30" s="2911"/>
      <c r="AM30" s="2911"/>
      <c r="AN30" s="2890"/>
      <c r="AO30" s="1310"/>
      <c r="AP30" s="2890"/>
      <c r="AQ30" s="2890"/>
      <c r="AR30" s="2908"/>
      <c r="AS30" s="1311"/>
      <c r="AT30" s="2890"/>
      <c r="AU30" s="2890"/>
      <c r="AV30" s="2890"/>
      <c r="AW30" s="2890"/>
      <c r="AX30" s="2890"/>
      <c r="AY30" s="2890"/>
      <c r="AZ30" s="2890"/>
      <c r="BA30" s="2877"/>
      <c r="BB30" s="2877"/>
      <c r="BC30" s="2898"/>
      <c r="BD30" s="1330">
        <v>88</v>
      </c>
      <c r="BE30" s="1310" t="s">
        <v>1244</v>
      </c>
      <c r="BF30" s="1324">
        <v>42901</v>
      </c>
      <c r="BG30" s="1324">
        <v>42901</v>
      </c>
      <c r="BH30" s="1324">
        <v>43054</v>
      </c>
      <c r="BI30" s="1324">
        <v>43054</v>
      </c>
      <c r="BJ30" s="2911"/>
    </row>
    <row r="31" spans="1:62" s="1312" customFormat="1" ht="68.25" customHeight="1" x14ac:dyDescent="0.2">
      <c r="A31" s="1295"/>
      <c r="B31" s="1295"/>
      <c r="C31" s="1296"/>
      <c r="D31" s="2840"/>
      <c r="E31" s="2841"/>
      <c r="F31" s="2842"/>
      <c r="G31" s="2840"/>
      <c r="H31" s="2841"/>
      <c r="I31" s="2842"/>
      <c r="J31" s="2881"/>
      <c r="K31" s="2864"/>
      <c r="L31" s="2851"/>
      <c r="M31" s="2867"/>
      <c r="N31" s="2884"/>
      <c r="O31" s="2869"/>
      <c r="P31" s="2872"/>
      <c r="Q31" s="2849"/>
      <c r="R31" s="2886"/>
      <c r="S31" s="2888"/>
      <c r="T31" s="2849"/>
      <c r="U31" s="2862"/>
      <c r="V31" s="1325" t="s">
        <v>1245</v>
      </c>
      <c r="W31" s="1329">
        <v>15000000</v>
      </c>
      <c r="X31" s="1329">
        <v>0</v>
      </c>
      <c r="Y31" s="1329">
        <v>0</v>
      </c>
      <c r="Z31" s="1308"/>
      <c r="AA31" s="1309"/>
      <c r="AB31" s="2911"/>
      <c r="AC31" s="2911"/>
      <c r="AD31" s="2911"/>
      <c r="AE31" s="2911"/>
      <c r="AF31" s="2911"/>
      <c r="AG31" s="2911"/>
      <c r="AH31" s="2911"/>
      <c r="AI31" s="2911"/>
      <c r="AJ31" s="2911"/>
      <c r="AK31" s="2911"/>
      <c r="AL31" s="2911"/>
      <c r="AM31" s="2911"/>
      <c r="AN31" s="2890"/>
      <c r="AO31" s="1310"/>
      <c r="AP31" s="2890"/>
      <c r="AQ31" s="2890"/>
      <c r="AR31" s="2908"/>
      <c r="AS31" s="1311"/>
      <c r="AT31" s="2890"/>
      <c r="AU31" s="2890"/>
      <c r="AV31" s="2890"/>
      <c r="AW31" s="2890"/>
      <c r="AX31" s="2890"/>
      <c r="AY31" s="2890"/>
      <c r="AZ31" s="2890"/>
      <c r="BA31" s="2877"/>
      <c r="BB31" s="2877"/>
      <c r="BC31" s="2898"/>
      <c r="BD31" s="1332">
        <v>42</v>
      </c>
      <c r="BE31" s="1310"/>
      <c r="BF31" s="1324">
        <v>42781</v>
      </c>
      <c r="BG31" s="1324">
        <v>42781</v>
      </c>
      <c r="BH31" s="1324">
        <v>42845</v>
      </c>
      <c r="BI31" s="1324">
        <v>42845</v>
      </c>
      <c r="BJ31" s="2911"/>
    </row>
    <row r="32" spans="1:62" s="1312" customFormat="1" ht="57" x14ac:dyDescent="0.2">
      <c r="A32" s="1295"/>
      <c r="B32" s="1295"/>
      <c r="C32" s="1296"/>
      <c r="D32" s="2840"/>
      <c r="E32" s="2841"/>
      <c r="F32" s="2842"/>
      <c r="G32" s="2840"/>
      <c r="H32" s="2841"/>
      <c r="I32" s="2842"/>
      <c r="J32" s="2881"/>
      <c r="K32" s="2864"/>
      <c r="L32" s="2851"/>
      <c r="M32" s="2867"/>
      <c r="N32" s="2884"/>
      <c r="O32" s="2869"/>
      <c r="P32" s="2872"/>
      <c r="Q32" s="2849"/>
      <c r="R32" s="2886"/>
      <c r="S32" s="2888"/>
      <c r="T32" s="2849"/>
      <c r="U32" s="2862"/>
      <c r="V32" s="1333" t="s">
        <v>1246</v>
      </c>
      <c r="W32" s="1329">
        <v>300000000</v>
      </c>
      <c r="X32" s="1329">
        <v>0</v>
      </c>
      <c r="Y32" s="1329">
        <v>0</v>
      </c>
      <c r="Z32" s="1308"/>
      <c r="AA32" s="1309"/>
      <c r="AB32" s="2911"/>
      <c r="AC32" s="2911"/>
      <c r="AD32" s="2911"/>
      <c r="AE32" s="2911"/>
      <c r="AF32" s="2911"/>
      <c r="AG32" s="2911"/>
      <c r="AH32" s="2911"/>
      <c r="AI32" s="2911"/>
      <c r="AJ32" s="2911"/>
      <c r="AK32" s="2911"/>
      <c r="AL32" s="2911"/>
      <c r="AM32" s="2911"/>
      <c r="AN32" s="2890"/>
      <c r="AO32" s="1310"/>
      <c r="AP32" s="2890"/>
      <c r="AQ32" s="2890"/>
      <c r="AR32" s="2908"/>
      <c r="AS32" s="1311"/>
      <c r="AT32" s="2890"/>
      <c r="AU32" s="2890"/>
      <c r="AV32" s="2890"/>
      <c r="AW32" s="2890"/>
      <c r="AX32" s="2890"/>
      <c r="AY32" s="2890"/>
      <c r="AZ32" s="2890"/>
      <c r="BA32" s="2877"/>
      <c r="BB32" s="2877"/>
      <c r="BC32" s="2898"/>
      <c r="BD32" s="1332">
        <v>92</v>
      </c>
      <c r="BE32" s="1310"/>
      <c r="BF32" s="1324">
        <v>42830</v>
      </c>
      <c r="BG32" s="1324">
        <v>42830</v>
      </c>
      <c r="BH32" s="1324">
        <v>43100</v>
      </c>
      <c r="BI32" s="1324">
        <v>43100</v>
      </c>
      <c r="BJ32" s="2911"/>
    </row>
    <row r="33" spans="1:62" s="1312" customFormat="1" ht="42.75" x14ac:dyDescent="0.2">
      <c r="A33" s="1295"/>
      <c r="B33" s="1295"/>
      <c r="C33" s="1296"/>
      <c r="D33" s="2840"/>
      <c r="E33" s="2841"/>
      <c r="F33" s="2842"/>
      <c r="G33" s="2840"/>
      <c r="H33" s="2841"/>
      <c r="I33" s="2842"/>
      <c r="J33" s="2881"/>
      <c r="K33" s="2864"/>
      <c r="L33" s="2851"/>
      <c r="M33" s="2867"/>
      <c r="N33" s="2884"/>
      <c r="O33" s="2869"/>
      <c r="P33" s="2872"/>
      <c r="Q33" s="2849"/>
      <c r="R33" s="2886"/>
      <c r="S33" s="2888"/>
      <c r="T33" s="2849"/>
      <c r="U33" s="2862"/>
      <c r="V33" s="571" t="s">
        <v>1247</v>
      </c>
      <c r="W33" s="1329">
        <v>87100000</v>
      </c>
      <c r="X33" s="1329">
        <f>40800000+12500000</f>
        <v>53300000</v>
      </c>
      <c r="Y33" s="1329">
        <f>7200000+2500000</f>
        <v>9700000</v>
      </c>
      <c r="Z33" s="1308"/>
      <c r="AA33" s="1309"/>
      <c r="AB33" s="2911"/>
      <c r="AC33" s="2911"/>
      <c r="AD33" s="2911"/>
      <c r="AE33" s="2911"/>
      <c r="AF33" s="2911"/>
      <c r="AG33" s="2911"/>
      <c r="AH33" s="2911"/>
      <c r="AI33" s="2911"/>
      <c r="AJ33" s="2911"/>
      <c r="AK33" s="2911"/>
      <c r="AL33" s="2911"/>
      <c r="AM33" s="2911"/>
      <c r="AN33" s="2890"/>
      <c r="AO33" s="1310"/>
      <c r="AP33" s="2890"/>
      <c r="AQ33" s="2890"/>
      <c r="AR33" s="2908"/>
      <c r="AS33" s="1311"/>
      <c r="AT33" s="2890"/>
      <c r="AU33" s="2890"/>
      <c r="AV33" s="2890"/>
      <c r="AW33" s="2890"/>
      <c r="AX33" s="2890"/>
      <c r="AY33" s="2890"/>
      <c r="AZ33" s="2890"/>
      <c r="BA33" s="2877"/>
      <c r="BB33" s="2877"/>
      <c r="BC33" s="2898"/>
      <c r="BD33" s="1308"/>
      <c r="BE33" s="1310"/>
      <c r="BF33" s="1324">
        <v>42750</v>
      </c>
      <c r="BG33" s="1324">
        <v>42750</v>
      </c>
      <c r="BH33" s="1324">
        <v>42916</v>
      </c>
      <c r="BI33" s="1324">
        <v>42916</v>
      </c>
      <c r="BJ33" s="2911"/>
    </row>
    <row r="34" spans="1:62" s="1312" customFormat="1" ht="42.75" x14ac:dyDescent="0.2">
      <c r="A34" s="1295"/>
      <c r="B34" s="1295"/>
      <c r="C34" s="1296"/>
      <c r="D34" s="2840"/>
      <c r="E34" s="2841"/>
      <c r="F34" s="2842"/>
      <c r="G34" s="2840"/>
      <c r="H34" s="2841"/>
      <c r="I34" s="2842"/>
      <c r="J34" s="2881"/>
      <c r="K34" s="2864"/>
      <c r="L34" s="2851"/>
      <c r="M34" s="2867"/>
      <c r="N34" s="2884"/>
      <c r="O34" s="2869"/>
      <c r="P34" s="2872"/>
      <c r="Q34" s="2849"/>
      <c r="R34" s="2886"/>
      <c r="S34" s="2888"/>
      <c r="T34" s="2849"/>
      <c r="U34" s="2862"/>
      <c r="V34" s="571" t="s">
        <v>1248</v>
      </c>
      <c r="W34" s="1329">
        <v>57500000</v>
      </c>
      <c r="X34" s="1329">
        <f>22500000+5000000</f>
        <v>27500000</v>
      </c>
      <c r="Y34" s="1329">
        <f>5000000+2000000</f>
        <v>7000000</v>
      </c>
      <c r="Z34" s="1308"/>
      <c r="AA34" s="1309"/>
      <c r="AB34" s="2911"/>
      <c r="AC34" s="2911"/>
      <c r="AD34" s="2911"/>
      <c r="AE34" s="2911"/>
      <c r="AF34" s="2911"/>
      <c r="AG34" s="2911"/>
      <c r="AH34" s="2911"/>
      <c r="AI34" s="2911"/>
      <c r="AJ34" s="2911"/>
      <c r="AK34" s="2911"/>
      <c r="AL34" s="2911"/>
      <c r="AM34" s="2911"/>
      <c r="AN34" s="2890"/>
      <c r="AO34" s="1310"/>
      <c r="AP34" s="2890"/>
      <c r="AQ34" s="2890"/>
      <c r="AR34" s="2908"/>
      <c r="AS34" s="1311"/>
      <c r="AT34" s="2890"/>
      <c r="AU34" s="2890"/>
      <c r="AV34" s="2890"/>
      <c r="AW34" s="2890"/>
      <c r="AX34" s="2890"/>
      <c r="AY34" s="2890"/>
      <c r="AZ34" s="2890"/>
      <c r="BA34" s="2877"/>
      <c r="BB34" s="2877"/>
      <c r="BC34" s="2898"/>
      <c r="BD34" s="1310"/>
      <c r="BE34" s="1310"/>
      <c r="BF34" s="1324">
        <v>42750</v>
      </c>
      <c r="BG34" s="1324">
        <v>42750</v>
      </c>
      <c r="BH34" s="1324">
        <v>42916</v>
      </c>
      <c r="BI34" s="1324">
        <v>42916</v>
      </c>
      <c r="BJ34" s="2911"/>
    </row>
    <row r="35" spans="1:62" s="1312" customFormat="1" ht="57" x14ac:dyDescent="0.2">
      <c r="A35" s="1295"/>
      <c r="B35" s="1295"/>
      <c r="C35" s="1296"/>
      <c r="D35" s="2840"/>
      <c r="E35" s="2841"/>
      <c r="F35" s="2842"/>
      <c r="G35" s="2840"/>
      <c r="H35" s="2841"/>
      <c r="I35" s="2842"/>
      <c r="J35" s="2881"/>
      <c r="K35" s="2864"/>
      <c r="L35" s="2851"/>
      <c r="M35" s="2867"/>
      <c r="N35" s="2884"/>
      <c r="O35" s="2869"/>
      <c r="P35" s="2872"/>
      <c r="Q35" s="2849"/>
      <c r="R35" s="2886"/>
      <c r="S35" s="2888"/>
      <c r="T35" s="2849"/>
      <c r="U35" s="2862"/>
      <c r="V35" s="62" t="s">
        <v>1249</v>
      </c>
      <c r="W35" s="1329">
        <v>57500000</v>
      </c>
      <c r="X35" s="1329">
        <f>5000000+22500000</f>
        <v>27500000</v>
      </c>
      <c r="Y35" s="1329">
        <f>1400000+2500000</f>
        <v>3900000</v>
      </c>
      <c r="Z35" s="1308"/>
      <c r="AA35" s="1309"/>
      <c r="AB35" s="2911"/>
      <c r="AC35" s="2911"/>
      <c r="AD35" s="2911"/>
      <c r="AE35" s="2911"/>
      <c r="AF35" s="2911"/>
      <c r="AG35" s="2911"/>
      <c r="AH35" s="2911"/>
      <c r="AI35" s="2911"/>
      <c r="AJ35" s="2911"/>
      <c r="AK35" s="2911"/>
      <c r="AL35" s="2911"/>
      <c r="AM35" s="2911"/>
      <c r="AN35" s="2890"/>
      <c r="AO35" s="1310"/>
      <c r="AP35" s="2890"/>
      <c r="AQ35" s="2890"/>
      <c r="AR35" s="2908"/>
      <c r="AS35" s="1311"/>
      <c r="AT35" s="2890"/>
      <c r="AU35" s="2890"/>
      <c r="AV35" s="2890"/>
      <c r="AW35" s="2890"/>
      <c r="AX35" s="2890"/>
      <c r="AY35" s="2890"/>
      <c r="AZ35" s="2890"/>
      <c r="BA35" s="2877"/>
      <c r="BB35" s="2877"/>
      <c r="BC35" s="2898"/>
      <c r="BD35" s="1310"/>
      <c r="BE35" s="1310"/>
      <c r="BF35" s="1324">
        <v>42750</v>
      </c>
      <c r="BG35" s="1324">
        <v>42750</v>
      </c>
      <c r="BH35" s="1324">
        <v>42916</v>
      </c>
      <c r="BI35" s="1324">
        <v>42916</v>
      </c>
      <c r="BJ35" s="2911"/>
    </row>
    <row r="36" spans="1:62" s="1312" customFormat="1" ht="42.75" x14ac:dyDescent="0.2">
      <c r="A36" s="1295"/>
      <c r="B36" s="1295"/>
      <c r="C36" s="1296"/>
      <c r="D36" s="2840"/>
      <c r="E36" s="2841"/>
      <c r="F36" s="2842"/>
      <c r="G36" s="2840"/>
      <c r="H36" s="2841"/>
      <c r="I36" s="2842"/>
      <c r="J36" s="2881"/>
      <c r="K36" s="2864"/>
      <c r="L36" s="2882"/>
      <c r="M36" s="2867"/>
      <c r="N36" s="2884"/>
      <c r="O36" s="2869"/>
      <c r="P36" s="2872"/>
      <c r="Q36" s="2849"/>
      <c r="R36" s="2887"/>
      <c r="S36" s="2876"/>
      <c r="T36" s="2849"/>
      <c r="U36" s="2862"/>
      <c r="V36" s="1325" t="s">
        <v>1250</v>
      </c>
      <c r="W36" s="1329">
        <v>41800000</v>
      </c>
      <c r="X36" s="1329">
        <v>0</v>
      </c>
      <c r="Y36" s="1329">
        <v>0</v>
      </c>
      <c r="Z36" s="1308"/>
      <c r="AA36" s="1309"/>
      <c r="AB36" s="2911"/>
      <c r="AC36" s="2911"/>
      <c r="AD36" s="2911"/>
      <c r="AE36" s="2911"/>
      <c r="AF36" s="2911"/>
      <c r="AG36" s="2911"/>
      <c r="AH36" s="2911"/>
      <c r="AI36" s="2911"/>
      <c r="AJ36" s="2911"/>
      <c r="AK36" s="2911"/>
      <c r="AL36" s="2911"/>
      <c r="AM36" s="2911"/>
      <c r="AN36" s="2890"/>
      <c r="AO36" s="1310"/>
      <c r="AP36" s="2890"/>
      <c r="AQ36" s="2890"/>
      <c r="AR36" s="2908"/>
      <c r="AS36" s="1311"/>
      <c r="AT36" s="2890"/>
      <c r="AU36" s="2890"/>
      <c r="AV36" s="2890"/>
      <c r="AW36" s="2890"/>
      <c r="AX36" s="2890"/>
      <c r="AY36" s="2890"/>
      <c r="AZ36" s="2891"/>
      <c r="BA36" s="2866"/>
      <c r="BB36" s="2877"/>
      <c r="BC36" s="2899"/>
      <c r="BD36" s="1310"/>
      <c r="BE36" s="1310"/>
      <c r="BF36" s="1324">
        <v>42750</v>
      </c>
      <c r="BG36" s="1324">
        <v>42750</v>
      </c>
      <c r="BH36" s="1324">
        <v>42916</v>
      </c>
      <c r="BI36" s="1324">
        <v>42916</v>
      </c>
      <c r="BJ36" s="2911"/>
    </row>
    <row r="37" spans="1:62" s="1312" customFormat="1" ht="51" customHeight="1" x14ac:dyDescent="0.2">
      <c r="A37" s="1295"/>
      <c r="B37" s="1295"/>
      <c r="C37" s="1296"/>
      <c r="D37" s="2840"/>
      <c r="E37" s="2841"/>
      <c r="F37" s="2842"/>
      <c r="G37" s="2840"/>
      <c r="H37" s="2841"/>
      <c r="I37" s="2842"/>
      <c r="J37" s="2881">
        <v>218</v>
      </c>
      <c r="K37" s="2864" t="s">
        <v>1251</v>
      </c>
      <c r="L37" s="2900" t="s">
        <v>18</v>
      </c>
      <c r="M37" s="2867">
        <v>3</v>
      </c>
      <c r="N37" s="2901">
        <v>4.1000000000000002E-2</v>
      </c>
      <c r="O37" s="2869"/>
      <c r="P37" s="2872"/>
      <c r="Q37" s="2849"/>
      <c r="R37" s="2885">
        <f>+S37/9051631612</f>
        <v>2.8226955200129505E-2</v>
      </c>
      <c r="S37" s="2875">
        <v>255500000</v>
      </c>
      <c r="T37" s="2849"/>
      <c r="U37" s="2862"/>
      <c r="V37" s="1325" t="s">
        <v>1252</v>
      </c>
      <c r="W37" s="1329">
        <v>50000000</v>
      </c>
      <c r="X37" s="1329">
        <f>10000000+9800000</f>
        <v>19800000</v>
      </c>
      <c r="Y37" s="1329">
        <f>2500000+1000000</f>
        <v>3500000</v>
      </c>
      <c r="Z37" s="1308"/>
      <c r="AA37" s="1309"/>
      <c r="AB37" s="2911"/>
      <c r="AC37" s="2911"/>
      <c r="AD37" s="2911"/>
      <c r="AE37" s="2911"/>
      <c r="AF37" s="2911"/>
      <c r="AG37" s="2911"/>
      <c r="AH37" s="2911"/>
      <c r="AI37" s="2911"/>
      <c r="AJ37" s="2911"/>
      <c r="AK37" s="2911"/>
      <c r="AL37" s="2911"/>
      <c r="AM37" s="2911"/>
      <c r="AN37" s="2890"/>
      <c r="AO37" s="1310"/>
      <c r="AP37" s="2890"/>
      <c r="AQ37" s="2890"/>
      <c r="AR37" s="2908"/>
      <c r="AS37" s="1311"/>
      <c r="AT37" s="2890"/>
      <c r="AU37" s="2890"/>
      <c r="AV37" s="2890"/>
      <c r="AW37" s="2890"/>
      <c r="AX37" s="2890"/>
      <c r="AY37" s="2890"/>
      <c r="AZ37" s="2889">
        <v>2</v>
      </c>
      <c r="BA37" s="2904">
        <v>19800000</v>
      </c>
      <c r="BB37" s="2904">
        <v>3500000</v>
      </c>
      <c r="BC37" s="2878">
        <f>BB37/BA37</f>
        <v>0.17676767676767677</v>
      </c>
      <c r="BD37" s="1310"/>
      <c r="BE37" s="1310"/>
      <c r="BF37" s="1324">
        <v>42750</v>
      </c>
      <c r="BG37" s="1324">
        <v>42750</v>
      </c>
      <c r="BH37" s="1324">
        <v>42916</v>
      </c>
      <c r="BI37" s="1324">
        <v>42916</v>
      </c>
      <c r="BJ37" s="2911"/>
    </row>
    <row r="38" spans="1:62" s="1312" customFormat="1" ht="35.25" customHeight="1" x14ac:dyDescent="0.2">
      <c r="A38" s="1295"/>
      <c r="B38" s="1295"/>
      <c r="C38" s="1296"/>
      <c r="D38" s="2840"/>
      <c r="E38" s="2841"/>
      <c r="F38" s="2842"/>
      <c r="G38" s="2840"/>
      <c r="H38" s="2841"/>
      <c r="I38" s="2842"/>
      <c r="J38" s="2881"/>
      <c r="K38" s="2864"/>
      <c r="L38" s="2900"/>
      <c r="M38" s="2867"/>
      <c r="N38" s="2902"/>
      <c r="O38" s="2869"/>
      <c r="P38" s="2872"/>
      <c r="Q38" s="2849"/>
      <c r="R38" s="2886"/>
      <c r="S38" s="2888"/>
      <c r="T38" s="2849"/>
      <c r="U38" s="2862"/>
      <c r="V38" s="1334" t="s">
        <v>1253</v>
      </c>
      <c r="W38" s="1335">
        <v>100000000</v>
      </c>
      <c r="X38" s="1336"/>
      <c r="Y38" s="1336"/>
      <c r="Z38" s="1308"/>
      <c r="AA38" s="1309"/>
      <c r="AB38" s="2911"/>
      <c r="AC38" s="2911"/>
      <c r="AD38" s="2911"/>
      <c r="AE38" s="2911"/>
      <c r="AF38" s="2911"/>
      <c r="AG38" s="2911"/>
      <c r="AH38" s="2911"/>
      <c r="AI38" s="2911"/>
      <c r="AJ38" s="2911"/>
      <c r="AK38" s="2911"/>
      <c r="AL38" s="2911"/>
      <c r="AM38" s="2911"/>
      <c r="AN38" s="2890"/>
      <c r="AO38" s="1310"/>
      <c r="AP38" s="2890"/>
      <c r="AQ38" s="2890"/>
      <c r="AR38" s="2908"/>
      <c r="AS38" s="1311"/>
      <c r="AT38" s="2890"/>
      <c r="AU38" s="2890"/>
      <c r="AV38" s="2890"/>
      <c r="AW38" s="2890"/>
      <c r="AX38" s="2890"/>
      <c r="AY38" s="2890"/>
      <c r="AZ38" s="2890"/>
      <c r="BA38" s="2905"/>
      <c r="BB38" s="2905"/>
      <c r="BC38" s="2879"/>
      <c r="BD38" s="1310"/>
      <c r="BE38" s="1310"/>
      <c r="BF38" s="1324">
        <v>42809</v>
      </c>
      <c r="BG38" s="1324">
        <v>42809</v>
      </c>
      <c r="BH38" s="1324">
        <v>43089</v>
      </c>
      <c r="BI38" s="1324">
        <v>43089</v>
      </c>
      <c r="BJ38" s="2911"/>
    </row>
    <row r="39" spans="1:62" s="1312" customFormat="1" ht="26.25" customHeight="1" x14ac:dyDescent="0.2">
      <c r="A39" s="1295"/>
      <c r="B39" s="1295"/>
      <c r="C39" s="1296"/>
      <c r="D39" s="2840"/>
      <c r="E39" s="2841"/>
      <c r="F39" s="2842"/>
      <c r="G39" s="2840"/>
      <c r="H39" s="2841"/>
      <c r="I39" s="2842"/>
      <c r="J39" s="2881"/>
      <c r="K39" s="2864"/>
      <c r="L39" s="2900"/>
      <c r="M39" s="2867"/>
      <c r="N39" s="2902"/>
      <c r="O39" s="2869"/>
      <c r="P39" s="2872"/>
      <c r="Q39" s="2849"/>
      <c r="R39" s="2886"/>
      <c r="S39" s="2888"/>
      <c r="T39" s="2849"/>
      <c r="U39" s="2862"/>
      <c r="V39" s="1314" t="s">
        <v>1254</v>
      </c>
      <c r="W39" s="1335">
        <v>30000000</v>
      </c>
      <c r="X39" s="1336"/>
      <c r="Y39" s="1336"/>
      <c r="Z39" s="1308"/>
      <c r="AA39" s="1309"/>
      <c r="AB39" s="2911"/>
      <c r="AC39" s="2911"/>
      <c r="AD39" s="2911"/>
      <c r="AE39" s="2911"/>
      <c r="AF39" s="2911"/>
      <c r="AG39" s="2911"/>
      <c r="AH39" s="2911"/>
      <c r="AI39" s="2911"/>
      <c r="AJ39" s="2911"/>
      <c r="AK39" s="2911"/>
      <c r="AL39" s="2911"/>
      <c r="AM39" s="2911"/>
      <c r="AN39" s="2890"/>
      <c r="AO39" s="1310"/>
      <c r="AP39" s="2890"/>
      <c r="AQ39" s="2890"/>
      <c r="AR39" s="2908"/>
      <c r="AS39" s="1311"/>
      <c r="AT39" s="2890"/>
      <c r="AU39" s="2890"/>
      <c r="AV39" s="2890"/>
      <c r="AW39" s="2890"/>
      <c r="AX39" s="2890"/>
      <c r="AY39" s="2890"/>
      <c r="AZ39" s="2890"/>
      <c r="BA39" s="2905"/>
      <c r="BB39" s="2905"/>
      <c r="BC39" s="2879"/>
      <c r="BD39" s="1310"/>
      <c r="BE39" s="1310"/>
      <c r="BF39" s="1324">
        <v>42809</v>
      </c>
      <c r="BG39" s="1324">
        <v>42809</v>
      </c>
      <c r="BH39" s="1324">
        <v>43089</v>
      </c>
      <c r="BI39" s="1324">
        <v>43089</v>
      </c>
      <c r="BJ39" s="2911"/>
    </row>
    <row r="40" spans="1:62" s="1312" customFormat="1" ht="34.5" customHeight="1" x14ac:dyDescent="0.2">
      <c r="A40" s="1295"/>
      <c r="B40" s="1295"/>
      <c r="C40" s="1296"/>
      <c r="D40" s="2840"/>
      <c r="E40" s="2841"/>
      <c r="F40" s="2842"/>
      <c r="G40" s="2840"/>
      <c r="H40" s="2841"/>
      <c r="I40" s="2842"/>
      <c r="J40" s="2881"/>
      <c r="K40" s="2864"/>
      <c r="L40" s="2900"/>
      <c r="M40" s="2867"/>
      <c r="N40" s="2902"/>
      <c r="O40" s="2869"/>
      <c r="P40" s="2872"/>
      <c r="Q40" s="2849"/>
      <c r="R40" s="2886"/>
      <c r="S40" s="2888"/>
      <c r="T40" s="2849"/>
      <c r="U40" s="2862"/>
      <c r="V40" s="1314" t="s">
        <v>1255</v>
      </c>
      <c r="W40" s="1335">
        <v>30000000</v>
      </c>
      <c r="X40" s="1336"/>
      <c r="Y40" s="1336"/>
      <c r="Z40" s="1308"/>
      <c r="AA40" s="1309"/>
      <c r="AB40" s="2911"/>
      <c r="AC40" s="2911"/>
      <c r="AD40" s="2911"/>
      <c r="AE40" s="2911"/>
      <c r="AF40" s="2911"/>
      <c r="AG40" s="2911"/>
      <c r="AH40" s="2911"/>
      <c r="AI40" s="2911"/>
      <c r="AJ40" s="2911"/>
      <c r="AK40" s="2911"/>
      <c r="AL40" s="2911"/>
      <c r="AM40" s="2911"/>
      <c r="AN40" s="2890"/>
      <c r="AO40" s="1310"/>
      <c r="AP40" s="2890"/>
      <c r="AQ40" s="2890"/>
      <c r="AR40" s="2908"/>
      <c r="AS40" s="1311"/>
      <c r="AT40" s="2890"/>
      <c r="AU40" s="2890"/>
      <c r="AV40" s="2890"/>
      <c r="AW40" s="2890"/>
      <c r="AX40" s="2890"/>
      <c r="AY40" s="2890"/>
      <c r="AZ40" s="2890"/>
      <c r="BA40" s="2905"/>
      <c r="BB40" s="2905"/>
      <c r="BC40" s="2879"/>
      <c r="BD40" s="1310"/>
      <c r="BE40" s="1310"/>
      <c r="BF40" s="1324">
        <v>42906</v>
      </c>
      <c r="BG40" s="1324">
        <v>42906</v>
      </c>
      <c r="BH40" s="1324">
        <v>43023</v>
      </c>
      <c r="BI40" s="1324">
        <v>43023</v>
      </c>
      <c r="BJ40" s="2911"/>
    </row>
    <row r="41" spans="1:62" s="1312" customFormat="1" ht="40.5" customHeight="1" x14ac:dyDescent="0.2">
      <c r="A41" s="1295"/>
      <c r="B41" s="1295"/>
      <c r="C41" s="1296"/>
      <c r="D41" s="2840"/>
      <c r="E41" s="2841"/>
      <c r="F41" s="2842"/>
      <c r="G41" s="2843"/>
      <c r="H41" s="2844"/>
      <c r="I41" s="2845"/>
      <c r="J41" s="2881"/>
      <c r="K41" s="2864"/>
      <c r="L41" s="2900"/>
      <c r="M41" s="2867"/>
      <c r="N41" s="2903"/>
      <c r="O41" s="2870"/>
      <c r="P41" s="2873"/>
      <c r="Q41" s="2860"/>
      <c r="R41" s="2887"/>
      <c r="S41" s="2876"/>
      <c r="T41" s="2860"/>
      <c r="U41" s="2863"/>
      <c r="V41" s="1314" t="s">
        <v>1256</v>
      </c>
      <c r="W41" s="1327">
        <v>45500000</v>
      </c>
      <c r="X41" s="1328"/>
      <c r="Y41" s="1328"/>
      <c r="Z41" s="1337"/>
      <c r="AA41" s="1338"/>
      <c r="AB41" s="2912"/>
      <c r="AC41" s="2912"/>
      <c r="AD41" s="2912"/>
      <c r="AE41" s="2912"/>
      <c r="AF41" s="2912"/>
      <c r="AG41" s="2912"/>
      <c r="AH41" s="2912"/>
      <c r="AI41" s="2912"/>
      <c r="AJ41" s="2912"/>
      <c r="AK41" s="2912"/>
      <c r="AL41" s="2912"/>
      <c r="AM41" s="2912"/>
      <c r="AN41" s="2891"/>
      <c r="AO41" s="1339"/>
      <c r="AP41" s="2891"/>
      <c r="AQ41" s="2891"/>
      <c r="AR41" s="2909"/>
      <c r="AS41" s="1340"/>
      <c r="AT41" s="2891"/>
      <c r="AU41" s="2891"/>
      <c r="AV41" s="2891"/>
      <c r="AW41" s="2891"/>
      <c r="AX41" s="2891"/>
      <c r="AY41" s="2891"/>
      <c r="AZ41" s="2891"/>
      <c r="BA41" s="2906"/>
      <c r="BB41" s="2906"/>
      <c r="BC41" s="2880"/>
      <c r="BD41" s="1339"/>
      <c r="BE41" s="1339"/>
      <c r="BF41" s="1324">
        <v>42799</v>
      </c>
      <c r="BG41" s="1324">
        <v>42799</v>
      </c>
      <c r="BH41" s="1324">
        <v>43089</v>
      </c>
      <c r="BI41" s="1324">
        <v>43089</v>
      </c>
      <c r="BJ41" s="2911"/>
    </row>
    <row r="42" spans="1:62" s="192" customFormat="1" ht="25.5" customHeight="1" x14ac:dyDescent="0.2">
      <c r="A42" s="1295"/>
      <c r="B42" s="1295"/>
      <c r="C42" s="1296"/>
      <c r="D42" s="2840"/>
      <c r="E42" s="2841"/>
      <c r="F42" s="2842"/>
      <c r="G42" s="1297">
        <v>76</v>
      </c>
      <c r="H42" s="105" t="s">
        <v>1257</v>
      </c>
      <c r="I42" s="105"/>
      <c r="J42" s="105"/>
      <c r="K42" s="1298"/>
      <c r="L42" s="105"/>
      <c r="M42" s="105"/>
      <c r="N42" s="105"/>
      <c r="O42" s="105"/>
      <c r="P42" s="105"/>
      <c r="Q42" s="73"/>
      <c r="R42" s="1299"/>
      <c r="S42" s="1300"/>
      <c r="T42" s="73"/>
      <c r="U42" s="1298"/>
      <c r="V42" s="1298"/>
      <c r="W42" s="1301"/>
      <c r="X42" s="1301"/>
      <c r="Y42" s="1301"/>
      <c r="Z42" s="1301"/>
      <c r="AA42" s="1341"/>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302"/>
      <c r="BD42" s="105"/>
      <c r="BE42" s="105"/>
      <c r="BF42" s="784"/>
      <c r="BG42" s="784"/>
      <c r="BH42" s="784"/>
      <c r="BI42" s="1342"/>
      <c r="BJ42" s="2910" t="s">
        <v>1223</v>
      </c>
    </row>
    <row r="43" spans="1:62" s="1312" customFormat="1" ht="42.75" x14ac:dyDescent="0.2">
      <c r="A43" s="1295"/>
      <c r="B43" s="1295"/>
      <c r="C43" s="1296"/>
      <c r="D43" s="2840"/>
      <c r="E43" s="2841"/>
      <c r="F43" s="2842"/>
      <c r="G43" s="2925"/>
      <c r="H43" s="2928"/>
      <c r="I43" s="2929"/>
      <c r="J43" s="2934">
        <v>219</v>
      </c>
      <c r="K43" s="2848" t="s">
        <v>1258</v>
      </c>
      <c r="L43" s="2936" t="s">
        <v>1259</v>
      </c>
      <c r="M43" s="2938">
        <v>11</v>
      </c>
      <c r="N43" s="2940">
        <v>0.69</v>
      </c>
      <c r="O43" s="2869" t="s">
        <v>1260</v>
      </c>
      <c r="P43" s="2871" t="s">
        <v>1261</v>
      </c>
      <c r="Q43" s="2848" t="s">
        <v>1262</v>
      </c>
      <c r="R43" s="2885">
        <f>+S43/418000000</f>
        <v>0.26698564593301438</v>
      </c>
      <c r="S43" s="2875">
        <v>111600000</v>
      </c>
      <c r="T43" s="2848" t="s">
        <v>1263</v>
      </c>
      <c r="U43" s="2848" t="s">
        <v>1264</v>
      </c>
      <c r="V43" s="1314" t="s">
        <v>1265</v>
      </c>
      <c r="W43" s="1328">
        <v>101600000</v>
      </c>
      <c r="X43" s="1328">
        <f>30000000+10500000+10500000+10500000+7500000+10500000</f>
        <v>79500000</v>
      </c>
      <c r="Y43" s="1328">
        <f>4500000+2500000</f>
        <v>7000000</v>
      </c>
      <c r="Z43" s="2945"/>
      <c r="AA43" s="2910"/>
      <c r="AB43" s="2947">
        <v>1195</v>
      </c>
      <c r="AC43" s="2910">
        <v>431</v>
      </c>
      <c r="AD43" s="2910">
        <v>1324</v>
      </c>
      <c r="AE43" s="2910">
        <v>486</v>
      </c>
      <c r="AF43" s="2910">
        <v>507</v>
      </c>
      <c r="AG43" s="2910">
        <v>185</v>
      </c>
      <c r="AH43" s="2910">
        <v>1598</v>
      </c>
      <c r="AI43" s="2910">
        <v>584</v>
      </c>
      <c r="AJ43" s="2910">
        <v>4203</v>
      </c>
      <c r="AK43" s="2910">
        <v>1590</v>
      </c>
      <c r="AL43" s="2910">
        <v>1421</v>
      </c>
      <c r="AM43" s="2910">
        <v>547</v>
      </c>
      <c r="AN43" s="2958"/>
      <c r="AO43" s="1343"/>
      <c r="AP43" s="2961"/>
      <c r="AQ43" s="1343"/>
      <c r="AR43" s="1344"/>
      <c r="AS43" s="1344"/>
      <c r="AT43" s="2961"/>
      <c r="AU43" s="1343"/>
      <c r="AV43" s="1344"/>
      <c r="AW43" s="1344"/>
      <c r="AX43" s="1344"/>
      <c r="AY43" s="1344"/>
      <c r="AZ43" s="2889">
        <v>4</v>
      </c>
      <c r="BA43" s="2913">
        <v>79500000</v>
      </c>
      <c r="BB43" s="2913">
        <v>7000000</v>
      </c>
      <c r="BC43" s="2915">
        <f>BB43/BA43</f>
        <v>8.8050314465408799E-2</v>
      </c>
      <c r="BD43" s="2917" t="s">
        <v>1266</v>
      </c>
      <c r="BE43" s="2917" t="s">
        <v>1223</v>
      </c>
      <c r="BF43" s="1324">
        <v>42750</v>
      </c>
      <c r="BG43" s="1324">
        <v>42750</v>
      </c>
      <c r="BH43" s="1324">
        <v>43018</v>
      </c>
      <c r="BI43" s="1324">
        <v>43018</v>
      </c>
      <c r="BJ43" s="2911"/>
    </row>
    <row r="44" spans="1:62" s="1312" customFormat="1" ht="28.5" x14ac:dyDescent="0.2">
      <c r="A44" s="1295"/>
      <c r="B44" s="1295"/>
      <c r="C44" s="1296"/>
      <c r="D44" s="2840"/>
      <c r="E44" s="2841"/>
      <c r="F44" s="2842"/>
      <c r="G44" s="2926"/>
      <c r="H44" s="2930"/>
      <c r="I44" s="2931"/>
      <c r="J44" s="2935"/>
      <c r="K44" s="2860"/>
      <c r="L44" s="2937"/>
      <c r="M44" s="2939"/>
      <c r="N44" s="2940"/>
      <c r="O44" s="2869"/>
      <c r="P44" s="2872"/>
      <c r="Q44" s="2849"/>
      <c r="R44" s="2887"/>
      <c r="S44" s="2876"/>
      <c r="T44" s="2849"/>
      <c r="U44" s="2849"/>
      <c r="V44" s="1314" t="s">
        <v>1267</v>
      </c>
      <c r="W44" s="1328">
        <v>10000000</v>
      </c>
      <c r="X44" s="1328"/>
      <c r="Y44" s="1328"/>
      <c r="Z44" s="2946"/>
      <c r="AA44" s="2911"/>
      <c r="AB44" s="2948"/>
      <c r="AC44" s="2911"/>
      <c r="AD44" s="2911"/>
      <c r="AE44" s="2911"/>
      <c r="AF44" s="2911"/>
      <c r="AG44" s="2911"/>
      <c r="AH44" s="2911"/>
      <c r="AI44" s="2911"/>
      <c r="AJ44" s="2911"/>
      <c r="AK44" s="2911"/>
      <c r="AL44" s="2911"/>
      <c r="AM44" s="2911"/>
      <c r="AN44" s="2959"/>
      <c r="AO44" s="1345"/>
      <c r="AP44" s="2962"/>
      <c r="AQ44" s="1345"/>
      <c r="AR44" s="1346"/>
      <c r="AS44" s="1346"/>
      <c r="AT44" s="2962"/>
      <c r="AU44" s="1345"/>
      <c r="AV44" s="1346"/>
      <c r="AW44" s="1346"/>
      <c r="AX44" s="1346"/>
      <c r="AY44" s="1346"/>
      <c r="AZ44" s="2891"/>
      <c r="BA44" s="2914"/>
      <c r="BB44" s="2914"/>
      <c r="BC44" s="2916"/>
      <c r="BD44" s="2918"/>
      <c r="BE44" s="2918"/>
      <c r="BF44" s="1324">
        <v>42814</v>
      </c>
      <c r="BG44" s="1324">
        <v>42814</v>
      </c>
      <c r="BH44" s="1324">
        <v>42962</v>
      </c>
      <c r="BI44" s="1324">
        <v>42962</v>
      </c>
      <c r="BJ44" s="2911"/>
    </row>
    <row r="45" spans="1:62" s="1312" customFormat="1" ht="15" x14ac:dyDescent="0.2">
      <c r="A45" s="1295"/>
      <c r="B45" s="1295"/>
      <c r="C45" s="1296"/>
      <c r="D45" s="2840"/>
      <c r="E45" s="2841"/>
      <c r="F45" s="2842"/>
      <c r="G45" s="2926"/>
      <c r="H45" s="2930"/>
      <c r="I45" s="2931"/>
      <c r="J45" s="2934">
        <v>220</v>
      </c>
      <c r="K45" s="2848" t="s">
        <v>1268</v>
      </c>
      <c r="L45" s="2936" t="s">
        <v>18</v>
      </c>
      <c r="M45" s="2954">
        <v>9</v>
      </c>
      <c r="N45" s="2957">
        <v>0.43</v>
      </c>
      <c r="O45" s="2869" t="s">
        <v>1269</v>
      </c>
      <c r="P45" s="2872"/>
      <c r="Q45" s="2849"/>
      <c r="R45" s="2885">
        <f>+S45/418000000</f>
        <v>0.62583732057416264</v>
      </c>
      <c r="S45" s="2875">
        <v>261600000</v>
      </c>
      <c r="T45" s="2849"/>
      <c r="U45" s="2849"/>
      <c r="V45" s="2848" t="s">
        <v>1270</v>
      </c>
      <c r="W45" s="2865">
        <v>80000000</v>
      </c>
      <c r="X45" s="2865">
        <f>10500000+7000000+7000000+7000000+10000000+4500000+15000000</f>
        <v>61000000</v>
      </c>
      <c r="Y45" s="2865">
        <f>2500000+2500000+2500000+2500000+2500000</f>
        <v>12500000</v>
      </c>
      <c r="Z45" s="2946"/>
      <c r="AA45" s="1347"/>
      <c r="AB45" s="2948"/>
      <c r="AC45" s="2911"/>
      <c r="AD45" s="2911"/>
      <c r="AE45" s="2911"/>
      <c r="AF45" s="2911"/>
      <c r="AG45" s="2911"/>
      <c r="AH45" s="2911"/>
      <c r="AI45" s="2911"/>
      <c r="AJ45" s="2911"/>
      <c r="AK45" s="2911"/>
      <c r="AL45" s="2911"/>
      <c r="AM45" s="2911"/>
      <c r="AN45" s="2959"/>
      <c r="AO45" s="1345"/>
      <c r="AP45" s="2962"/>
      <c r="AQ45" s="1345"/>
      <c r="AR45" s="1346"/>
      <c r="AS45" s="1346"/>
      <c r="AT45" s="2962"/>
      <c r="AU45" s="1345"/>
      <c r="AV45" s="1346"/>
      <c r="AW45" s="1346"/>
      <c r="AX45" s="1346"/>
      <c r="AY45" s="1346"/>
      <c r="AZ45" s="2889">
        <v>4</v>
      </c>
      <c r="BA45" s="2913">
        <v>67000000</v>
      </c>
      <c r="BB45" s="2913">
        <v>12500000</v>
      </c>
      <c r="BC45" s="2921">
        <f>BB45/BA45</f>
        <v>0.18656716417910449</v>
      </c>
      <c r="BD45" s="2918"/>
      <c r="BE45" s="2918"/>
      <c r="BF45" s="2924">
        <v>42750</v>
      </c>
      <c r="BG45" s="2924">
        <v>42750</v>
      </c>
      <c r="BH45" s="2924">
        <v>42962</v>
      </c>
      <c r="BI45" s="2924">
        <v>42962</v>
      </c>
      <c r="BJ45" s="2911"/>
    </row>
    <row r="46" spans="1:62" s="1312" customFormat="1" ht="31.5" customHeight="1" x14ac:dyDescent="0.2">
      <c r="A46" s="1295"/>
      <c r="B46" s="1295"/>
      <c r="C46" s="1296"/>
      <c r="D46" s="2840"/>
      <c r="E46" s="2841"/>
      <c r="F46" s="2842"/>
      <c r="G46" s="2926"/>
      <c r="H46" s="2930"/>
      <c r="I46" s="2931"/>
      <c r="J46" s="2951"/>
      <c r="K46" s="2849"/>
      <c r="L46" s="2952"/>
      <c r="M46" s="2955"/>
      <c r="N46" s="2957"/>
      <c r="O46" s="2869"/>
      <c r="P46" s="2872"/>
      <c r="Q46" s="2849"/>
      <c r="R46" s="2886"/>
      <c r="S46" s="2888"/>
      <c r="T46" s="2849"/>
      <c r="U46" s="2849"/>
      <c r="V46" s="2860"/>
      <c r="W46" s="2866"/>
      <c r="X46" s="2866"/>
      <c r="Y46" s="2866"/>
      <c r="Z46" s="2946"/>
      <c r="AA46" s="1309"/>
      <c r="AB46" s="2948"/>
      <c r="AC46" s="2911"/>
      <c r="AD46" s="2911"/>
      <c r="AE46" s="2911"/>
      <c r="AF46" s="2911"/>
      <c r="AG46" s="2911"/>
      <c r="AH46" s="2911"/>
      <c r="AI46" s="2911"/>
      <c r="AJ46" s="2911"/>
      <c r="AK46" s="2911"/>
      <c r="AL46" s="2911"/>
      <c r="AM46" s="2911"/>
      <c r="AN46" s="2959"/>
      <c r="AO46" s="1345"/>
      <c r="AP46" s="2962"/>
      <c r="AQ46" s="1345"/>
      <c r="AR46" s="1346"/>
      <c r="AS46" s="1346"/>
      <c r="AT46" s="2962"/>
      <c r="AU46" s="1345"/>
      <c r="AV46" s="1346"/>
      <c r="AW46" s="1346"/>
      <c r="AX46" s="1346"/>
      <c r="AY46" s="1346"/>
      <c r="AZ46" s="2890"/>
      <c r="BA46" s="2920"/>
      <c r="BB46" s="2920"/>
      <c r="BC46" s="2922"/>
      <c r="BD46" s="2918"/>
      <c r="BE46" s="2918"/>
      <c r="BF46" s="2924"/>
      <c r="BG46" s="2924"/>
      <c r="BH46" s="2924"/>
      <c r="BI46" s="2924"/>
      <c r="BJ46" s="2911"/>
    </row>
    <row r="47" spans="1:62" s="1312" customFormat="1" ht="28.5" x14ac:dyDescent="0.2">
      <c r="A47" s="1295"/>
      <c r="B47" s="1295"/>
      <c r="C47" s="1296"/>
      <c r="D47" s="2840"/>
      <c r="E47" s="2841"/>
      <c r="F47" s="2842"/>
      <c r="G47" s="2926"/>
      <c r="H47" s="2930"/>
      <c r="I47" s="2931"/>
      <c r="J47" s="2951"/>
      <c r="K47" s="2849"/>
      <c r="L47" s="2952"/>
      <c r="M47" s="2955"/>
      <c r="N47" s="2957"/>
      <c r="O47" s="2869"/>
      <c r="P47" s="2872"/>
      <c r="Q47" s="2849"/>
      <c r="R47" s="2886"/>
      <c r="S47" s="2888"/>
      <c r="T47" s="2849"/>
      <c r="U47" s="2849"/>
      <c r="V47" s="1314" t="s">
        <v>1271</v>
      </c>
      <c r="W47" s="1348">
        <v>5000000</v>
      </c>
      <c r="X47" s="1328"/>
      <c r="Y47" s="1328"/>
      <c r="Z47" s="2946"/>
      <c r="AA47" s="1347"/>
      <c r="AB47" s="2948"/>
      <c r="AC47" s="2911"/>
      <c r="AD47" s="2911"/>
      <c r="AE47" s="2911"/>
      <c r="AF47" s="2911"/>
      <c r="AG47" s="2911"/>
      <c r="AH47" s="2911"/>
      <c r="AI47" s="2911"/>
      <c r="AJ47" s="2911"/>
      <c r="AK47" s="2911"/>
      <c r="AL47" s="2911"/>
      <c r="AM47" s="2911"/>
      <c r="AN47" s="2959"/>
      <c r="AO47" s="1345"/>
      <c r="AP47" s="2962"/>
      <c r="AQ47" s="1345"/>
      <c r="AR47" s="1346"/>
      <c r="AS47" s="1346"/>
      <c r="AT47" s="2962"/>
      <c r="AU47" s="1345"/>
      <c r="AV47" s="1346"/>
      <c r="AW47" s="1346"/>
      <c r="AX47" s="1346"/>
      <c r="AY47" s="1346"/>
      <c r="AZ47" s="2890"/>
      <c r="BA47" s="2920"/>
      <c r="BB47" s="2920"/>
      <c r="BC47" s="2922"/>
      <c r="BD47" s="2918"/>
      <c r="BE47" s="2918"/>
      <c r="BF47" s="1324">
        <v>42791</v>
      </c>
      <c r="BG47" s="1324">
        <v>42791</v>
      </c>
      <c r="BH47" s="1324">
        <v>43023</v>
      </c>
      <c r="BI47" s="1324">
        <v>43023</v>
      </c>
      <c r="BJ47" s="2911"/>
    </row>
    <row r="48" spans="1:62" s="1312" customFormat="1" ht="57" x14ac:dyDescent="0.2">
      <c r="A48" s="1295"/>
      <c r="B48" s="1295"/>
      <c r="C48" s="1296"/>
      <c r="D48" s="2840"/>
      <c r="E48" s="2841"/>
      <c r="F48" s="2842"/>
      <c r="G48" s="2926"/>
      <c r="H48" s="2930"/>
      <c r="I48" s="2931"/>
      <c r="J48" s="2951"/>
      <c r="K48" s="2849"/>
      <c r="L48" s="2952"/>
      <c r="M48" s="2955"/>
      <c r="N48" s="2957"/>
      <c r="O48" s="2869"/>
      <c r="P48" s="2872"/>
      <c r="Q48" s="2849"/>
      <c r="R48" s="2886"/>
      <c r="S48" s="2888"/>
      <c r="T48" s="2849"/>
      <c r="U48" s="2849"/>
      <c r="V48" s="1314" t="s">
        <v>1272</v>
      </c>
      <c r="W48" s="1348">
        <v>95000000</v>
      </c>
      <c r="X48" s="1328"/>
      <c r="Y48" s="1328"/>
      <c r="Z48" s="1349"/>
      <c r="AA48" s="1347"/>
      <c r="AB48" s="2948"/>
      <c r="AC48" s="2911"/>
      <c r="AD48" s="2911"/>
      <c r="AE48" s="2911"/>
      <c r="AF48" s="2911"/>
      <c r="AG48" s="2911"/>
      <c r="AH48" s="2911"/>
      <c r="AI48" s="2911"/>
      <c r="AJ48" s="2911"/>
      <c r="AK48" s="2911"/>
      <c r="AL48" s="2911"/>
      <c r="AM48" s="2911"/>
      <c r="AN48" s="2959"/>
      <c r="AO48" s="1345"/>
      <c r="AP48" s="2962"/>
      <c r="AQ48" s="1345"/>
      <c r="AR48" s="1346"/>
      <c r="AS48" s="1346"/>
      <c r="AT48" s="2962"/>
      <c r="AU48" s="1345"/>
      <c r="AV48" s="1346"/>
      <c r="AW48" s="1346"/>
      <c r="AX48" s="1346"/>
      <c r="AY48" s="1346"/>
      <c r="AZ48" s="2890"/>
      <c r="BA48" s="2920"/>
      <c r="BB48" s="2920"/>
      <c r="BC48" s="2922"/>
      <c r="BD48" s="2918"/>
      <c r="BE48" s="2918"/>
      <c r="BF48" s="1324">
        <v>42809</v>
      </c>
      <c r="BG48" s="1324">
        <v>42809</v>
      </c>
      <c r="BH48" s="1324">
        <v>43084</v>
      </c>
      <c r="BI48" s="1324">
        <v>43084</v>
      </c>
      <c r="BJ48" s="2911"/>
    </row>
    <row r="49" spans="1:62" s="1312" customFormat="1" ht="28.5" x14ac:dyDescent="0.2">
      <c r="A49" s="1295"/>
      <c r="B49" s="1295"/>
      <c r="C49" s="1296"/>
      <c r="D49" s="2840"/>
      <c r="E49" s="2841"/>
      <c r="F49" s="2842"/>
      <c r="G49" s="2926"/>
      <c r="H49" s="2930"/>
      <c r="I49" s="2931"/>
      <c r="J49" s="2951"/>
      <c r="K49" s="2849"/>
      <c r="L49" s="2952"/>
      <c r="M49" s="2955"/>
      <c r="N49" s="2957"/>
      <c r="O49" s="2869"/>
      <c r="P49" s="2872"/>
      <c r="Q49" s="2849"/>
      <c r="R49" s="2886"/>
      <c r="S49" s="2888"/>
      <c r="T49" s="2849"/>
      <c r="U49" s="2849"/>
      <c r="V49" s="1314" t="s">
        <v>1273</v>
      </c>
      <c r="W49" s="1348">
        <v>40000000</v>
      </c>
      <c r="X49" s="1328">
        <v>6000000</v>
      </c>
      <c r="Y49" s="1328"/>
      <c r="Z49" s="1350">
        <v>20</v>
      </c>
      <c r="AA49" s="1347" t="s">
        <v>1274</v>
      </c>
      <c r="AB49" s="2948"/>
      <c r="AC49" s="2911"/>
      <c r="AD49" s="2911"/>
      <c r="AE49" s="2911"/>
      <c r="AF49" s="2911"/>
      <c r="AG49" s="2911"/>
      <c r="AH49" s="2911"/>
      <c r="AI49" s="2911"/>
      <c r="AJ49" s="2911"/>
      <c r="AK49" s="2911"/>
      <c r="AL49" s="2911"/>
      <c r="AM49" s="2911"/>
      <c r="AN49" s="2959"/>
      <c r="AO49" s="1345"/>
      <c r="AP49" s="2962"/>
      <c r="AQ49" s="1345"/>
      <c r="AR49" s="1346"/>
      <c r="AS49" s="1346"/>
      <c r="AT49" s="2962"/>
      <c r="AU49" s="1345"/>
      <c r="AV49" s="1346"/>
      <c r="AW49" s="1346"/>
      <c r="AX49" s="1346"/>
      <c r="AY49" s="1346"/>
      <c r="AZ49" s="2890"/>
      <c r="BA49" s="2920"/>
      <c r="BB49" s="2920"/>
      <c r="BC49" s="2922"/>
      <c r="BD49" s="2918"/>
      <c r="BE49" s="2918"/>
      <c r="BF49" s="1324">
        <v>42750</v>
      </c>
      <c r="BG49" s="1324">
        <v>42750</v>
      </c>
      <c r="BH49" s="1324">
        <v>42962</v>
      </c>
      <c r="BI49" s="1324">
        <v>42962</v>
      </c>
      <c r="BJ49" s="2911"/>
    </row>
    <row r="50" spans="1:62" s="1312" customFormat="1" ht="43.5" customHeight="1" x14ac:dyDescent="0.2">
      <c r="A50" s="1295"/>
      <c r="B50" s="1295"/>
      <c r="C50" s="1296"/>
      <c r="D50" s="2840"/>
      <c r="E50" s="2841"/>
      <c r="F50" s="2842"/>
      <c r="G50" s="2926"/>
      <c r="H50" s="2930"/>
      <c r="I50" s="2931"/>
      <c r="J50" s="2935"/>
      <c r="K50" s="2860"/>
      <c r="L50" s="2937"/>
      <c r="M50" s="2956"/>
      <c r="N50" s="2957"/>
      <c r="O50" s="2869"/>
      <c r="P50" s="2872"/>
      <c r="Q50" s="2849"/>
      <c r="R50" s="2887"/>
      <c r="S50" s="2876"/>
      <c r="T50" s="2849"/>
      <c r="U50" s="2849"/>
      <c r="V50" s="1314" t="s">
        <v>1267</v>
      </c>
      <c r="W50" s="1328">
        <v>41600000</v>
      </c>
      <c r="X50" s="1328"/>
      <c r="Y50" s="1328"/>
      <c r="Z50" s="1350">
        <v>42</v>
      </c>
      <c r="AA50" s="1309" t="s">
        <v>1275</v>
      </c>
      <c r="AB50" s="2948"/>
      <c r="AC50" s="2911"/>
      <c r="AD50" s="2911"/>
      <c r="AE50" s="2911"/>
      <c r="AF50" s="2911"/>
      <c r="AG50" s="2911"/>
      <c r="AH50" s="2911"/>
      <c r="AI50" s="2911"/>
      <c r="AJ50" s="2911"/>
      <c r="AK50" s="2911"/>
      <c r="AL50" s="2911"/>
      <c r="AM50" s="2911"/>
      <c r="AN50" s="2959"/>
      <c r="AO50" s="1345"/>
      <c r="AP50" s="2962"/>
      <c r="AQ50" s="1345"/>
      <c r="AR50" s="1346"/>
      <c r="AS50" s="1346"/>
      <c r="AT50" s="2962"/>
      <c r="AU50" s="1345"/>
      <c r="AV50" s="1346"/>
      <c r="AW50" s="1346"/>
      <c r="AX50" s="1346"/>
      <c r="AY50" s="1346"/>
      <c r="AZ50" s="2891"/>
      <c r="BA50" s="2914"/>
      <c r="BB50" s="2914"/>
      <c r="BC50" s="2923"/>
      <c r="BD50" s="2918"/>
      <c r="BE50" s="2918"/>
      <c r="BF50" s="1324">
        <v>42814</v>
      </c>
      <c r="BG50" s="1324">
        <v>42814</v>
      </c>
      <c r="BH50" s="1324">
        <v>42962</v>
      </c>
      <c r="BI50" s="1324">
        <v>42962</v>
      </c>
      <c r="BJ50" s="2911"/>
    </row>
    <row r="51" spans="1:62" ht="15" x14ac:dyDescent="0.2">
      <c r="A51" s="1295"/>
      <c r="B51" s="1295"/>
      <c r="C51" s="1296"/>
      <c r="D51" s="2840"/>
      <c r="E51" s="2841"/>
      <c r="F51" s="2842"/>
      <c r="G51" s="2926"/>
      <c r="H51" s="2930"/>
      <c r="I51" s="2931"/>
      <c r="J51" s="2934">
        <v>221</v>
      </c>
      <c r="K51" s="2848" t="s">
        <v>1276</v>
      </c>
      <c r="L51" s="2936" t="s">
        <v>18</v>
      </c>
      <c r="M51" s="2938">
        <v>1</v>
      </c>
      <c r="N51" s="2940">
        <v>0.26</v>
      </c>
      <c r="O51" s="1351"/>
      <c r="P51" s="2872"/>
      <c r="Q51" s="2849"/>
      <c r="R51" s="2885">
        <f>+S51/418000000</f>
        <v>6.4114832535885166E-2</v>
      </c>
      <c r="S51" s="2875">
        <v>26800000</v>
      </c>
      <c r="T51" s="2849"/>
      <c r="U51" s="2849"/>
      <c r="V51" s="2848" t="s">
        <v>1277</v>
      </c>
      <c r="W51" s="2865">
        <v>20000000</v>
      </c>
      <c r="X51" s="2865">
        <v>10000000</v>
      </c>
      <c r="Y51" s="2865">
        <v>7200000</v>
      </c>
      <c r="Z51" s="2950"/>
      <c r="AA51" s="1309"/>
      <c r="AB51" s="2948"/>
      <c r="AC51" s="2911"/>
      <c r="AD51" s="2911"/>
      <c r="AE51" s="2911"/>
      <c r="AF51" s="2911"/>
      <c r="AG51" s="2911"/>
      <c r="AH51" s="2911"/>
      <c r="AI51" s="2911"/>
      <c r="AJ51" s="2911"/>
      <c r="AK51" s="2911"/>
      <c r="AL51" s="2911"/>
      <c r="AM51" s="2911"/>
      <c r="AN51" s="2959"/>
      <c r="AO51" s="1345"/>
      <c r="AP51" s="2962"/>
      <c r="AQ51" s="1345"/>
      <c r="AR51" s="1346"/>
      <c r="AS51" s="1346"/>
      <c r="AT51" s="2962"/>
      <c r="AU51" s="1345"/>
      <c r="AV51" s="1346"/>
      <c r="AW51" s="1346"/>
      <c r="AX51" s="1346"/>
      <c r="AY51" s="1346"/>
      <c r="AZ51" s="2889">
        <v>1</v>
      </c>
      <c r="BA51" s="2913">
        <v>10000000</v>
      </c>
      <c r="BB51" s="2913">
        <v>7200000</v>
      </c>
      <c r="BC51" s="2921">
        <f>BB51/BA51</f>
        <v>0.72</v>
      </c>
      <c r="BD51" s="2918"/>
      <c r="BE51" s="2918"/>
      <c r="BF51" s="2924">
        <v>42750</v>
      </c>
      <c r="BG51" s="2924">
        <v>42750</v>
      </c>
      <c r="BH51" s="2924">
        <v>42916</v>
      </c>
      <c r="BI51" s="2924">
        <v>42916</v>
      </c>
      <c r="BJ51" s="2911"/>
    </row>
    <row r="52" spans="1:62" ht="24.75" customHeight="1" x14ac:dyDescent="0.2">
      <c r="A52" s="1295"/>
      <c r="B52" s="1295"/>
      <c r="C52" s="1296"/>
      <c r="D52" s="2840"/>
      <c r="E52" s="2841"/>
      <c r="F52" s="2842"/>
      <c r="G52" s="2926"/>
      <c r="H52" s="2930"/>
      <c r="I52" s="2931"/>
      <c r="J52" s="2951"/>
      <c r="K52" s="2849"/>
      <c r="L52" s="2952"/>
      <c r="M52" s="2953"/>
      <c r="N52" s="2940"/>
      <c r="O52" s="1351"/>
      <c r="P52" s="2872"/>
      <c r="Q52" s="2849"/>
      <c r="R52" s="2886"/>
      <c r="S52" s="2888"/>
      <c r="T52" s="2849"/>
      <c r="U52" s="2849"/>
      <c r="V52" s="2860"/>
      <c r="W52" s="2866"/>
      <c r="X52" s="2866"/>
      <c r="Y52" s="2866"/>
      <c r="Z52" s="2890"/>
      <c r="AA52" s="1309"/>
      <c r="AB52" s="2948"/>
      <c r="AC52" s="2911"/>
      <c r="AD52" s="2911"/>
      <c r="AE52" s="2911"/>
      <c r="AF52" s="2911"/>
      <c r="AG52" s="2911"/>
      <c r="AH52" s="2911"/>
      <c r="AI52" s="2911"/>
      <c r="AJ52" s="2911"/>
      <c r="AK52" s="2911"/>
      <c r="AL52" s="2911"/>
      <c r="AM52" s="2911"/>
      <c r="AN52" s="2959"/>
      <c r="AO52" s="1345"/>
      <c r="AP52" s="2962"/>
      <c r="AQ52" s="1345"/>
      <c r="AR52" s="1346"/>
      <c r="AS52" s="1346"/>
      <c r="AT52" s="2962"/>
      <c r="AU52" s="1345"/>
      <c r="AV52" s="1346"/>
      <c r="AW52" s="1346"/>
      <c r="AX52" s="1346"/>
      <c r="AY52" s="1346"/>
      <c r="AZ52" s="2890"/>
      <c r="BA52" s="2920"/>
      <c r="BB52" s="2920"/>
      <c r="BC52" s="2922"/>
      <c r="BD52" s="2918"/>
      <c r="BE52" s="2918"/>
      <c r="BF52" s="2924"/>
      <c r="BG52" s="2924"/>
      <c r="BH52" s="2924"/>
      <c r="BI52" s="2924"/>
      <c r="BJ52" s="2911"/>
    </row>
    <row r="53" spans="1:62" ht="15" x14ac:dyDescent="0.2">
      <c r="A53" s="1295"/>
      <c r="B53" s="1295"/>
      <c r="C53" s="1296"/>
      <c r="D53" s="2840"/>
      <c r="E53" s="2841"/>
      <c r="F53" s="2842"/>
      <c r="G53" s="2926"/>
      <c r="H53" s="2930"/>
      <c r="I53" s="2931"/>
      <c r="J53" s="2951"/>
      <c r="K53" s="2849"/>
      <c r="L53" s="2952"/>
      <c r="M53" s="2953"/>
      <c r="N53" s="2940"/>
      <c r="O53" s="1351"/>
      <c r="P53" s="2872"/>
      <c r="Q53" s="2849"/>
      <c r="R53" s="2886"/>
      <c r="S53" s="2888"/>
      <c r="T53" s="2849"/>
      <c r="U53" s="2849"/>
      <c r="V53" s="2848" t="s">
        <v>1267</v>
      </c>
      <c r="W53" s="2865">
        <v>6800000</v>
      </c>
      <c r="X53" s="2865"/>
      <c r="Y53" s="2865"/>
      <c r="Z53" s="2890"/>
      <c r="AA53" s="1309"/>
      <c r="AB53" s="2948"/>
      <c r="AC53" s="2911"/>
      <c r="AD53" s="2911"/>
      <c r="AE53" s="2911"/>
      <c r="AF53" s="2911"/>
      <c r="AG53" s="2911"/>
      <c r="AH53" s="2911"/>
      <c r="AI53" s="2911"/>
      <c r="AJ53" s="2911"/>
      <c r="AK53" s="2911"/>
      <c r="AL53" s="2911"/>
      <c r="AM53" s="2911"/>
      <c r="AN53" s="2959"/>
      <c r="AO53" s="1345"/>
      <c r="AP53" s="2962"/>
      <c r="AQ53" s="1345"/>
      <c r="AR53" s="1346"/>
      <c r="AS53" s="1346"/>
      <c r="AT53" s="2962"/>
      <c r="AU53" s="1345"/>
      <c r="AV53" s="1346"/>
      <c r="AW53" s="1346"/>
      <c r="AX53" s="1346"/>
      <c r="AY53" s="1346"/>
      <c r="AZ53" s="2890"/>
      <c r="BA53" s="2920"/>
      <c r="BB53" s="2920"/>
      <c r="BC53" s="2922"/>
      <c r="BD53" s="2918"/>
      <c r="BE53" s="2918"/>
      <c r="BF53" s="2924">
        <v>42809</v>
      </c>
      <c r="BG53" s="2924">
        <v>42809</v>
      </c>
      <c r="BH53" s="2924">
        <v>42957</v>
      </c>
      <c r="BI53" s="2924">
        <v>42957</v>
      </c>
      <c r="BJ53" s="2911"/>
    </row>
    <row r="54" spans="1:62" ht="15" x14ac:dyDescent="0.2">
      <c r="A54" s="1295"/>
      <c r="B54" s="1295"/>
      <c r="C54" s="1296"/>
      <c r="D54" s="2840"/>
      <c r="E54" s="2841"/>
      <c r="F54" s="2842"/>
      <c r="G54" s="2926"/>
      <c r="H54" s="2930"/>
      <c r="I54" s="2931"/>
      <c r="J54" s="2935"/>
      <c r="K54" s="2860"/>
      <c r="L54" s="2937"/>
      <c r="M54" s="2939"/>
      <c r="N54" s="2940"/>
      <c r="O54" s="1351"/>
      <c r="P54" s="2943"/>
      <c r="Q54" s="2849"/>
      <c r="R54" s="2887"/>
      <c r="S54" s="2876"/>
      <c r="T54" s="2849"/>
      <c r="U54" s="2849"/>
      <c r="V54" s="2860"/>
      <c r="W54" s="2866"/>
      <c r="X54" s="2866"/>
      <c r="Y54" s="2866"/>
      <c r="Z54" s="2890"/>
      <c r="AA54" s="1309"/>
      <c r="AB54" s="2948"/>
      <c r="AC54" s="2911"/>
      <c r="AD54" s="2911"/>
      <c r="AE54" s="2911"/>
      <c r="AF54" s="2911"/>
      <c r="AG54" s="2911"/>
      <c r="AH54" s="2911"/>
      <c r="AI54" s="2911"/>
      <c r="AJ54" s="2911"/>
      <c r="AK54" s="2911"/>
      <c r="AL54" s="2911"/>
      <c r="AM54" s="2911"/>
      <c r="AN54" s="2959"/>
      <c r="AO54" s="1345"/>
      <c r="AP54" s="2962"/>
      <c r="AQ54" s="1345"/>
      <c r="AR54" s="1346"/>
      <c r="AS54" s="1346"/>
      <c r="AT54" s="2962"/>
      <c r="AU54" s="1345"/>
      <c r="AV54" s="1346"/>
      <c r="AW54" s="1346"/>
      <c r="AX54" s="1346"/>
      <c r="AY54" s="1346"/>
      <c r="AZ54" s="2891"/>
      <c r="BA54" s="2914"/>
      <c r="BB54" s="2914"/>
      <c r="BC54" s="2923"/>
      <c r="BD54" s="2918"/>
      <c r="BE54" s="2918"/>
      <c r="BF54" s="2924"/>
      <c r="BG54" s="2924"/>
      <c r="BH54" s="2924"/>
      <c r="BI54" s="2924"/>
      <c r="BJ54" s="2911"/>
    </row>
    <row r="55" spans="1:62" ht="42" customHeight="1" x14ac:dyDescent="0.2">
      <c r="A55" s="1295"/>
      <c r="B55" s="1295"/>
      <c r="C55" s="1296"/>
      <c r="D55" s="2843"/>
      <c r="E55" s="2844"/>
      <c r="F55" s="2845"/>
      <c r="G55" s="2927"/>
      <c r="H55" s="2932"/>
      <c r="I55" s="2933"/>
      <c r="J55" s="1352">
        <v>222</v>
      </c>
      <c r="K55" s="1353" t="s">
        <v>1278</v>
      </c>
      <c r="L55" s="1354" t="s">
        <v>18</v>
      </c>
      <c r="M55" s="1355">
        <v>1</v>
      </c>
      <c r="N55" s="1356">
        <v>0</v>
      </c>
      <c r="O55" s="1357"/>
      <c r="P55" s="2944"/>
      <c r="Q55" s="2860"/>
      <c r="R55" s="1358">
        <f>+S55/418000000</f>
        <v>4.3062200956937802E-2</v>
      </c>
      <c r="S55" s="1359">
        <v>18000000</v>
      </c>
      <c r="T55" s="2860"/>
      <c r="U55" s="2860"/>
      <c r="V55" s="1325" t="s">
        <v>1279</v>
      </c>
      <c r="W55" s="1360">
        <v>18000000</v>
      </c>
      <c r="X55" s="1360"/>
      <c r="Y55" s="1360"/>
      <c r="Z55" s="2890"/>
      <c r="AA55" s="1338"/>
      <c r="AB55" s="2949"/>
      <c r="AC55" s="2912"/>
      <c r="AD55" s="2912"/>
      <c r="AE55" s="2912"/>
      <c r="AF55" s="2912"/>
      <c r="AG55" s="2912"/>
      <c r="AH55" s="2912"/>
      <c r="AI55" s="2912"/>
      <c r="AJ55" s="2912"/>
      <c r="AK55" s="2912"/>
      <c r="AL55" s="2912"/>
      <c r="AM55" s="2912"/>
      <c r="AN55" s="2960"/>
      <c r="AO55" s="1361"/>
      <c r="AP55" s="2963"/>
      <c r="AQ55" s="1361"/>
      <c r="AR55" s="1362"/>
      <c r="AS55" s="1362"/>
      <c r="AT55" s="2963"/>
      <c r="AU55" s="1361"/>
      <c r="AV55" s="1362"/>
      <c r="AW55" s="1362"/>
      <c r="AX55" s="1362"/>
      <c r="AY55" s="1362"/>
      <c r="AZ55" s="1339"/>
      <c r="BA55" s="1363"/>
      <c r="BB55" s="1364"/>
      <c r="BC55" s="1365"/>
      <c r="BD55" s="2919"/>
      <c r="BE55" s="2919"/>
      <c r="BF55" s="1324">
        <v>42750</v>
      </c>
      <c r="BG55" s="1324">
        <v>42750</v>
      </c>
      <c r="BH55" s="1324">
        <v>42977</v>
      </c>
      <c r="BI55" s="1324">
        <v>42977</v>
      </c>
      <c r="BJ55" s="2912"/>
    </row>
    <row r="56" spans="1:62" s="192" customFormat="1" ht="26.25" customHeight="1" x14ac:dyDescent="0.2">
      <c r="A56" s="1295"/>
      <c r="B56" s="1295"/>
      <c r="C56" s="1296"/>
      <c r="D56" s="1288">
        <v>24</v>
      </c>
      <c r="E56" s="767" t="s">
        <v>1280</v>
      </c>
      <c r="F56" s="767"/>
      <c r="G56" s="767"/>
      <c r="H56" s="767"/>
      <c r="I56" s="767"/>
      <c r="J56" s="767"/>
      <c r="K56" s="1289"/>
      <c r="L56" s="767"/>
      <c r="M56" s="767"/>
      <c r="N56" s="767"/>
      <c r="O56" s="767"/>
      <c r="P56" s="767"/>
      <c r="Q56" s="768"/>
      <c r="R56" s="1290"/>
      <c r="S56" s="1291"/>
      <c r="T56" s="768"/>
      <c r="U56" s="1289"/>
      <c r="V56" s="1289"/>
      <c r="W56" s="1292"/>
      <c r="X56" s="1292"/>
      <c r="Y56" s="1292"/>
      <c r="Z56" s="1292"/>
      <c r="AA56" s="1366"/>
      <c r="AB56" s="1292"/>
      <c r="AC56" s="1292"/>
      <c r="AD56" s="1292"/>
      <c r="AE56" s="1292"/>
      <c r="AF56" s="1292"/>
      <c r="AG56" s="1292"/>
      <c r="AH56" s="1292"/>
      <c r="AI56" s="1292"/>
      <c r="AJ56" s="1292"/>
      <c r="AK56" s="1292"/>
      <c r="AL56" s="1292"/>
      <c r="AM56" s="1292"/>
      <c r="AN56" s="1292"/>
      <c r="AO56" s="1292"/>
      <c r="AP56" s="1292"/>
      <c r="AQ56" s="1292"/>
      <c r="AR56" s="1292"/>
      <c r="AS56" s="1292"/>
      <c r="AT56" s="1292"/>
      <c r="AU56" s="1292"/>
      <c r="AV56" s="1292"/>
      <c r="AW56" s="1292"/>
      <c r="AX56" s="1292"/>
      <c r="AY56" s="1292"/>
      <c r="AZ56" s="1292"/>
      <c r="BA56" s="1292"/>
      <c r="BB56" s="1292"/>
      <c r="BC56" s="1294"/>
      <c r="BD56" s="1292"/>
      <c r="BE56" s="1292"/>
      <c r="BF56" s="1292"/>
      <c r="BG56" s="1292"/>
      <c r="BH56" s="774"/>
      <c r="BI56" s="774"/>
      <c r="BJ56" s="100"/>
    </row>
    <row r="57" spans="1:62" s="192" customFormat="1" ht="25.5" customHeight="1" x14ac:dyDescent="0.2">
      <c r="A57" s="1295"/>
      <c r="B57" s="1295"/>
      <c r="C57" s="1296"/>
      <c r="D57" s="1367"/>
      <c r="E57" s="1368"/>
      <c r="F57" s="1369"/>
      <c r="G57" s="1297">
        <v>78</v>
      </c>
      <c r="H57" s="105" t="s">
        <v>1281</v>
      </c>
      <c r="I57" s="105"/>
      <c r="J57" s="105"/>
      <c r="K57" s="1298"/>
      <c r="L57" s="105"/>
      <c r="M57" s="105"/>
      <c r="N57" s="818"/>
      <c r="O57" s="818"/>
      <c r="P57" s="818"/>
      <c r="Q57" s="73"/>
      <c r="R57" s="1299"/>
      <c r="S57" s="1300"/>
      <c r="T57" s="73"/>
      <c r="U57" s="1298"/>
      <c r="V57" s="1298"/>
      <c r="W57" s="1301"/>
      <c r="X57" s="1301"/>
      <c r="Y57" s="1301"/>
      <c r="Z57" s="1301"/>
      <c r="AA57" s="1370"/>
      <c r="AB57" s="1301"/>
      <c r="AC57" s="1301"/>
      <c r="AD57" s="1301"/>
      <c r="AE57" s="1301"/>
      <c r="AF57" s="1301"/>
      <c r="AG57" s="1301"/>
      <c r="AH57" s="1301"/>
      <c r="AI57" s="1301"/>
      <c r="AJ57" s="1301"/>
      <c r="AK57" s="1301"/>
      <c r="AL57" s="1301"/>
      <c r="AM57" s="1301"/>
      <c r="AN57" s="1301"/>
      <c r="AO57" s="1301"/>
      <c r="AP57" s="1301"/>
      <c r="AQ57" s="1301"/>
      <c r="AR57" s="1301"/>
      <c r="AS57" s="1301"/>
      <c r="AT57" s="1301"/>
      <c r="AU57" s="1301"/>
      <c r="AV57" s="1301"/>
      <c r="AW57" s="1301"/>
      <c r="AX57" s="1301"/>
      <c r="AY57" s="1301"/>
      <c r="AZ57" s="1301"/>
      <c r="BA57" s="1301"/>
      <c r="BB57" s="1301"/>
      <c r="BC57" s="1302"/>
      <c r="BD57" s="1301"/>
      <c r="BE57" s="1301"/>
      <c r="BF57" s="1301"/>
      <c r="BG57" s="1301"/>
      <c r="BH57" s="1301"/>
      <c r="BI57" s="1301"/>
      <c r="BJ57" s="1371"/>
    </row>
    <row r="58" spans="1:62" ht="63" customHeight="1" x14ac:dyDescent="0.2">
      <c r="A58" s="1295"/>
      <c r="B58" s="1295"/>
      <c r="C58" s="1296"/>
      <c r="D58" s="2837"/>
      <c r="E58" s="2964"/>
      <c r="F58" s="2965"/>
      <c r="G58" s="2925"/>
      <c r="H58" s="2970"/>
      <c r="I58" s="2971"/>
      <c r="J58" s="2934">
        <v>226</v>
      </c>
      <c r="K58" s="2976" t="s">
        <v>1282</v>
      </c>
      <c r="L58" s="2851" t="s">
        <v>18</v>
      </c>
      <c r="M58" s="2984">
        <v>12</v>
      </c>
      <c r="N58" s="2987">
        <v>0.89</v>
      </c>
      <c r="O58" s="2868" t="s">
        <v>1283</v>
      </c>
      <c r="P58" s="2871" t="s">
        <v>1284</v>
      </c>
      <c r="Q58" s="2848" t="s">
        <v>1285</v>
      </c>
      <c r="R58" s="2885">
        <f>+S58/577187776</f>
        <v>0.43382762146369502</v>
      </c>
      <c r="S58" s="2982">
        <v>250400000</v>
      </c>
      <c r="T58" s="2848" t="s">
        <v>1286</v>
      </c>
      <c r="U58" s="2861" t="s">
        <v>1287</v>
      </c>
      <c r="V58" s="1314" t="s">
        <v>1288</v>
      </c>
      <c r="W58" s="1327">
        <v>10000000</v>
      </c>
      <c r="X58" s="1328">
        <v>7000000</v>
      </c>
      <c r="Y58" s="1328">
        <v>7000000</v>
      </c>
      <c r="Z58" s="1308"/>
      <c r="AA58" s="1372"/>
      <c r="AB58" s="3018">
        <v>363</v>
      </c>
      <c r="AC58" s="2979">
        <v>167</v>
      </c>
      <c r="AD58" s="2979">
        <v>705</v>
      </c>
      <c r="AE58" s="2979">
        <v>188</v>
      </c>
      <c r="AF58" s="2979">
        <v>553</v>
      </c>
      <c r="AG58" s="2979">
        <v>72</v>
      </c>
      <c r="AH58" s="2979">
        <v>835</v>
      </c>
      <c r="AI58" s="2979">
        <v>226</v>
      </c>
      <c r="AJ58" s="2979">
        <v>1717</v>
      </c>
      <c r="AK58" s="2979">
        <v>616</v>
      </c>
      <c r="AL58" s="2979">
        <v>282</v>
      </c>
      <c r="AM58" s="2979">
        <v>212</v>
      </c>
      <c r="AN58" s="2979">
        <v>141</v>
      </c>
      <c r="AO58" s="2979">
        <v>0</v>
      </c>
      <c r="AP58" s="2979">
        <v>113</v>
      </c>
      <c r="AQ58" s="2979">
        <v>0</v>
      </c>
      <c r="AR58" s="1373"/>
      <c r="AS58" s="1373"/>
      <c r="AT58" s="2979">
        <v>5833</v>
      </c>
      <c r="AU58" s="2979">
        <v>1481</v>
      </c>
      <c r="AV58" s="1373"/>
      <c r="AW58" s="1373"/>
      <c r="AX58" s="1373"/>
      <c r="AY58" s="1373"/>
      <c r="AZ58" s="2991">
        <v>5</v>
      </c>
      <c r="BA58" s="2889">
        <v>55900000</v>
      </c>
      <c r="BB58" s="2889">
        <v>18700000</v>
      </c>
      <c r="BC58" s="2988">
        <f>BB58/BA58</f>
        <v>0.33452593917710199</v>
      </c>
      <c r="BD58" s="2991" t="s">
        <v>1289</v>
      </c>
      <c r="BE58" s="2991" t="s">
        <v>1290</v>
      </c>
      <c r="BF58" s="1324">
        <v>42750</v>
      </c>
      <c r="BG58" s="1324">
        <v>42750</v>
      </c>
      <c r="BH58" s="1374">
        <v>42916</v>
      </c>
      <c r="BI58" s="1374">
        <v>42916</v>
      </c>
      <c r="BJ58" s="2910" t="s">
        <v>1290</v>
      </c>
    </row>
    <row r="59" spans="1:62" ht="59.25" customHeight="1" x14ac:dyDescent="0.2">
      <c r="A59" s="1295"/>
      <c r="B59" s="1295"/>
      <c r="C59" s="1296"/>
      <c r="D59" s="2840"/>
      <c r="E59" s="2966"/>
      <c r="F59" s="2967"/>
      <c r="G59" s="2926"/>
      <c r="H59" s="2972"/>
      <c r="I59" s="2973"/>
      <c r="J59" s="2951"/>
      <c r="K59" s="2977"/>
      <c r="L59" s="2851"/>
      <c r="M59" s="2985"/>
      <c r="N59" s="2987"/>
      <c r="O59" s="2869"/>
      <c r="P59" s="2872"/>
      <c r="Q59" s="2849"/>
      <c r="R59" s="2886"/>
      <c r="S59" s="2997"/>
      <c r="T59" s="2849"/>
      <c r="U59" s="2862"/>
      <c r="V59" s="1314" t="s">
        <v>1954</v>
      </c>
      <c r="W59" s="1327">
        <v>20000000</v>
      </c>
      <c r="X59" s="1328">
        <f>9300000+14900000+500000</f>
        <v>24700000</v>
      </c>
      <c r="Y59" s="1328">
        <f>2500000+2500000+500000</f>
        <v>5500000</v>
      </c>
      <c r="Z59" s="1308"/>
      <c r="AA59" s="1347"/>
      <c r="AB59" s="3019"/>
      <c r="AC59" s="2980"/>
      <c r="AD59" s="2980"/>
      <c r="AE59" s="2980"/>
      <c r="AF59" s="2980"/>
      <c r="AG59" s="2980"/>
      <c r="AH59" s="2980"/>
      <c r="AI59" s="2980"/>
      <c r="AJ59" s="2980"/>
      <c r="AK59" s="2980"/>
      <c r="AL59" s="2980"/>
      <c r="AM59" s="2980"/>
      <c r="AN59" s="2980"/>
      <c r="AO59" s="2980"/>
      <c r="AP59" s="2980"/>
      <c r="AQ59" s="2980"/>
      <c r="AR59" s="1375"/>
      <c r="AS59" s="1375"/>
      <c r="AT59" s="2980"/>
      <c r="AU59" s="2980"/>
      <c r="AV59" s="1375"/>
      <c r="AW59" s="1375"/>
      <c r="AX59" s="1375"/>
      <c r="AY59" s="1375"/>
      <c r="AZ59" s="2992"/>
      <c r="BA59" s="2890"/>
      <c r="BB59" s="2890"/>
      <c r="BC59" s="2989"/>
      <c r="BD59" s="2992"/>
      <c r="BE59" s="2992"/>
      <c r="BF59" s="1324">
        <v>42751</v>
      </c>
      <c r="BG59" s="1324">
        <v>42751</v>
      </c>
      <c r="BH59" s="1374">
        <v>42931</v>
      </c>
      <c r="BI59" s="1374">
        <v>42931</v>
      </c>
      <c r="BJ59" s="2911"/>
    </row>
    <row r="60" spans="1:62" ht="85.5" x14ac:dyDescent="0.2">
      <c r="A60" s="1295"/>
      <c r="B60" s="1295"/>
      <c r="C60" s="1296"/>
      <c r="D60" s="2840"/>
      <c r="E60" s="2966"/>
      <c r="F60" s="2967"/>
      <c r="G60" s="2926"/>
      <c r="H60" s="2972"/>
      <c r="I60" s="2973"/>
      <c r="J60" s="2951"/>
      <c r="K60" s="2977"/>
      <c r="L60" s="2851"/>
      <c r="M60" s="2985"/>
      <c r="N60" s="2987"/>
      <c r="O60" s="2869"/>
      <c r="P60" s="2872"/>
      <c r="Q60" s="2849"/>
      <c r="R60" s="2886"/>
      <c r="S60" s="2997"/>
      <c r="T60" s="2849"/>
      <c r="U60" s="2862"/>
      <c r="V60" s="1314" t="s">
        <v>1291</v>
      </c>
      <c r="W60" s="1327">
        <v>20000000</v>
      </c>
      <c r="X60" s="1328">
        <f>10200000</f>
        <v>10200000</v>
      </c>
      <c r="Y60" s="1328">
        <v>1700000</v>
      </c>
      <c r="Z60" s="1308"/>
      <c r="AA60" s="1347"/>
      <c r="AB60" s="3019"/>
      <c r="AC60" s="2980"/>
      <c r="AD60" s="2980"/>
      <c r="AE60" s="2980"/>
      <c r="AF60" s="2980"/>
      <c r="AG60" s="2980"/>
      <c r="AH60" s="2980"/>
      <c r="AI60" s="2980"/>
      <c r="AJ60" s="2980"/>
      <c r="AK60" s="2980"/>
      <c r="AL60" s="2980"/>
      <c r="AM60" s="2980"/>
      <c r="AN60" s="2980"/>
      <c r="AO60" s="2980"/>
      <c r="AP60" s="2980"/>
      <c r="AQ60" s="2980"/>
      <c r="AR60" s="1375"/>
      <c r="AS60" s="1375"/>
      <c r="AT60" s="2980"/>
      <c r="AU60" s="2980"/>
      <c r="AV60" s="1375"/>
      <c r="AW60" s="1375"/>
      <c r="AX60" s="1375"/>
      <c r="AY60" s="1375"/>
      <c r="AZ60" s="2992"/>
      <c r="BA60" s="2890"/>
      <c r="BB60" s="2890"/>
      <c r="BC60" s="2989"/>
      <c r="BD60" s="2992"/>
      <c r="BE60" s="2992"/>
      <c r="BF60" s="1324">
        <v>42751</v>
      </c>
      <c r="BG60" s="1324">
        <v>42751</v>
      </c>
      <c r="BH60" s="1374">
        <v>42931</v>
      </c>
      <c r="BI60" s="1374">
        <v>42931</v>
      </c>
      <c r="BJ60" s="2911"/>
    </row>
    <row r="61" spans="1:62" ht="57" x14ac:dyDescent="0.2">
      <c r="A61" s="1295"/>
      <c r="B61" s="1295"/>
      <c r="C61" s="1296"/>
      <c r="D61" s="2840"/>
      <c r="E61" s="2966"/>
      <c r="F61" s="2967"/>
      <c r="G61" s="2926"/>
      <c r="H61" s="2972"/>
      <c r="I61" s="2973"/>
      <c r="J61" s="2951"/>
      <c r="K61" s="2977"/>
      <c r="L61" s="2851"/>
      <c r="M61" s="2985"/>
      <c r="N61" s="2987"/>
      <c r="O61" s="2869"/>
      <c r="P61" s="2872"/>
      <c r="Q61" s="2849"/>
      <c r="R61" s="2886"/>
      <c r="S61" s="2997"/>
      <c r="T61" s="2849"/>
      <c r="U61" s="2862"/>
      <c r="V61" s="1314" t="s">
        <v>1292</v>
      </c>
      <c r="W61" s="1327">
        <v>10000000</v>
      </c>
      <c r="X61" s="1328">
        <f>8000000+2000000+4000000</f>
        <v>14000000</v>
      </c>
      <c r="Y61" s="1328">
        <f>2500000+2000000</f>
        <v>4500000</v>
      </c>
      <c r="Z61" s="1308"/>
      <c r="AA61" s="1347"/>
      <c r="AB61" s="3019"/>
      <c r="AC61" s="2980"/>
      <c r="AD61" s="2980"/>
      <c r="AE61" s="2980"/>
      <c r="AF61" s="2980"/>
      <c r="AG61" s="2980"/>
      <c r="AH61" s="2980"/>
      <c r="AI61" s="2980"/>
      <c r="AJ61" s="2980"/>
      <c r="AK61" s="2980"/>
      <c r="AL61" s="2980"/>
      <c r="AM61" s="2980"/>
      <c r="AN61" s="2980"/>
      <c r="AO61" s="2980"/>
      <c r="AP61" s="2980"/>
      <c r="AQ61" s="2980"/>
      <c r="AR61" s="1375"/>
      <c r="AS61" s="1375"/>
      <c r="AT61" s="2980"/>
      <c r="AU61" s="2980"/>
      <c r="AV61" s="1375"/>
      <c r="AW61" s="1375"/>
      <c r="AX61" s="1375"/>
      <c r="AY61" s="1375"/>
      <c r="AZ61" s="2992"/>
      <c r="BA61" s="2890"/>
      <c r="BB61" s="2890"/>
      <c r="BC61" s="2989"/>
      <c r="BD61" s="2992"/>
      <c r="BE61" s="2992"/>
      <c r="BF61" s="1324">
        <v>42750</v>
      </c>
      <c r="BG61" s="1324">
        <v>42750</v>
      </c>
      <c r="BH61" s="1374">
        <v>42916</v>
      </c>
      <c r="BI61" s="1374">
        <v>42916</v>
      </c>
      <c r="BJ61" s="2911"/>
    </row>
    <row r="62" spans="1:62" ht="71.25" x14ac:dyDescent="0.2">
      <c r="A62" s="1295"/>
      <c r="B62" s="1295"/>
      <c r="C62" s="1296"/>
      <c r="D62" s="2840"/>
      <c r="E62" s="2966"/>
      <c r="F62" s="2967"/>
      <c r="G62" s="2926"/>
      <c r="H62" s="2972"/>
      <c r="I62" s="2973"/>
      <c r="J62" s="2951"/>
      <c r="K62" s="2977"/>
      <c r="L62" s="2851"/>
      <c r="M62" s="2985"/>
      <c r="N62" s="2987"/>
      <c r="O62" s="2869"/>
      <c r="P62" s="2872"/>
      <c r="Q62" s="2849"/>
      <c r="R62" s="2886"/>
      <c r="S62" s="2997"/>
      <c r="T62" s="2849"/>
      <c r="U62" s="2862"/>
      <c r="V62" s="1314" t="s">
        <v>1293</v>
      </c>
      <c r="W62" s="1327">
        <v>15000000</v>
      </c>
      <c r="X62" s="1328"/>
      <c r="Y62" s="1328"/>
      <c r="Z62" s="1308"/>
      <c r="AA62" s="1347"/>
      <c r="AB62" s="3019"/>
      <c r="AC62" s="2980"/>
      <c r="AD62" s="2980"/>
      <c r="AE62" s="2980"/>
      <c r="AF62" s="2980"/>
      <c r="AG62" s="2980"/>
      <c r="AH62" s="2980"/>
      <c r="AI62" s="2980"/>
      <c r="AJ62" s="2980"/>
      <c r="AK62" s="2980"/>
      <c r="AL62" s="2980"/>
      <c r="AM62" s="2980"/>
      <c r="AN62" s="2980"/>
      <c r="AO62" s="2980"/>
      <c r="AP62" s="2980"/>
      <c r="AQ62" s="2980"/>
      <c r="AR62" s="1375"/>
      <c r="AS62" s="1375"/>
      <c r="AT62" s="2980"/>
      <c r="AU62" s="2980"/>
      <c r="AV62" s="1375"/>
      <c r="AW62" s="1375"/>
      <c r="AX62" s="1375"/>
      <c r="AY62" s="1375"/>
      <c r="AZ62" s="2992"/>
      <c r="BA62" s="2890"/>
      <c r="BB62" s="2890"/>
      <c r="BC62" s="2989"/>
      <c r="BD62" s="2992"/>
      <c r="BE62" s="2992"/>
      <c r="BF62" s="1324">
        <v>42750</v>
      </c>
      <c r="BG62" s="1324">
        <v>42750</v>
      </c>
      <c r="BH62" s="1374">
        <v>42916</v>
      </c>
      <c r="BI62" s="1374">
        <v>42916</v>
      </c>
      <c r="BJ62" s="2911"/>
    </row>
    <row r="63" spans="1:62" ht="28.5" x14ac:dyDescent="0.2">
      <c r="A63" s="1295"/>
      <c r="B63" s="1295"/>
      <c r="C63" s="1296"/>
      <c r="D63" s="2840"/>
      <c r="E63" s="2966"/>
      <c r="F63" s="2967"/>
      <c r="G63" s="2926"/>
      <c r="H63" s="2972"/>
      <c r="I63" s="2973"/>
      <c r="J63" s="2951"/>
      <c r="K63" s="2977"/>
      <c r="L63" s="2851"/>
      <c r="M63" s="2985"/>
      <c r="N63" s="2987"/>
      <c r="O63" s="2869"/>
      <c r="P63" s="2872"/>
      <c r="Q63" s="2849"/>
      <c r="R63" s="2886"/>
      <c r="S63" s="2997"/>
      <c r="T63" s="2849"/>
      <c r="U63" s="2862"/>
      <c r="V63" s="1325" t="s">
        <v>1294</v>
      </c>
      <c r="W63" s="1320">
        <v>150400000</v>
      </c>
      <c r="X63" s="1321"/>
      <c r="Y63" s="1321"/>
      <c r="Z63" s="1308"/>
      <c r="AA63" s="1347"/>
      <c r="AB63" s="3019"/>
      <c r="AC63" s="2980"/>
      <c r="AD63" s="2980"/>
      <c r="AE63" s="2980"/>
      <c r="AF63" s="2980"/>
      <c r="AG63" s="2980"/>
      <c r="AH63" s="2980"/>
      <c r="AI63" s="2980"/>
      <c r="AJ63" s="2980"/>
      <c r="AK63" s="2980"/>
      <c r="AL63" s="2980"/>
      <c r="AM63" s="2980"/>
      <c r="AN63" s="2980"/>
      <c r="AO63" s="2980"/>
      <c r="AP63" s="2980"/>
      <c r="AQ63" s="2980"/>
      <c r="AR63" s="1375"/>
      <c r="AS63" s="1375"/>
      <c r="AT63" s="2980"/>
      <c r="AU63" s="2980"/>
      <c r="AV63" s="1375"/>
      <c r="AW63" s="1375"/>
      <c r="AX63" s="1375"/>
      <c r="AY63" s="1375"/>
      <c r="AZ63" s="2992"/>
      <c r="BA63" s="2890"/>
      <c r="BB63" s="2890"/>
      <c r="BC63" s="2989"/>
      <c r="BD63" s="2992"/>
      <c r="BE63" s="2992"/>
      <c r="BF63" s="2941">
        <v>42814</v>
      </c>
      <c r="BG63" s="2941">
        <v>42814</v>
      </c>
      <c r="BH63" s="2941">
        <v>43089</v>
      </c>
      <c r="BI63" s="2941">
        <v>43089</v>
      </c>
      <c r="BJ63" s="2911"/>
    </row>
    <row r="64" spans="1:62" ht="30" customHeight="1" x14ac:dyDescent="0.2">
      <c r="A64" s="1295"/>
      <c r="B64" s="1295"/>
      <c r="C64" s="1296"/>
      <c r="D64" s="2840"/>
      <c r="E64" s="2966"/>
      <c r="F64" s="2967"/>
      <c r="G64" s="2926"/>
      <c r="H64" s="2972"/>
      <c r="I64" s="2973"/>
      <c r="J64" s="2935"/>
      <c r="K64" s="2978"/>
      <c r="L64" s="2882"/>
      <c r="M64" s="2986"/>
      <c r="N64" s="2987"/>
      <c r="O64" s="2869"/>
      <c r="P64" s="2872"/>
      <c r="Q64" s="2849"/>
      <c r="R64" s="2887"/>
      <c r="S64" s="2983"/>
      <c r="T64" s="2849"/>
      <c r="U64" s="2862"/>
      <c r="V64" s="1325" t="s">
        <v>1295</v>
      </c>
      <c r="W64" s="1320">
        <v>25000000</v>
      </c>
      <c r="X64" s="1321"/>
      <c r="Y64" s="1321"/>
      <c r="Z64" s="1308"/>
      <c r="AA64" s="1347"/>
      <c r="AB64" s="3019"/>
      <c r="AC64" s="2980"/>
      <c r="AD64" s="2980"/>
      <c r="AE64" s="2980"/>
      <c r="AF64" s="2980"/>
      <c r="AG64" s="2980"/>
      <c r="AH64" s="2980"/>
      <c r="AI64" s="2980"/>
      <c r="AJ64" s="2980"/>
      <c r="AK64" s="2980"/>
      <c r="AL64" s="2980"/>
      <c r="AM64" s="2980"/>
      <c r="AN64" s="2980"/>
      <c r="AO64" s="2980"/>
      <c r="AP64" s="2980"/>
      <c r="AQ64" s="2980"/>
      <c r="AR64" s="1375"/>
      <c r="AS64" s="1375"/>
      <c r="AT64" s="2980"/>
      <c r="AU64" s="2980"/>
      <c r="AV64" s="1375"/>
      <c r="AW64" s="1375"/>
      <c r="AX64" s="1375"/>
      <c r="AY64" s="1375"/>
      <c r="AZ64" s="2993"/>
      <c r="BA64" s="2890"/>
      <c r="BB64" s="2891"/>
      <c r="BC64" s="2990"/>
      <c r="BD64" s="2992"/>
      <c r="BE64" s="2992"/>
      <c r="BF64" s="2942"/>
      <c r="BG64" s="2942"/>
      <c r="BH64" s="2942"/>
      <c r="BI64" s="2942"/>
      <c r="BJ64" s="2911"/>
    </row>
    <row r="65" spans="1:62" ht="57" x14ac:dyDescent="0.2">
      <c r="A65" s="1295"/>
      <c r="B65" s="1295"/>
      <c r="C65" s="1296"/>
      <c r="D65" s="2840"/>
      <c r="E65" s="2966"/>
      <c r="F65" s="2967"/>
      <c r="G65" s="2926"/>
      <c r="H65" s="2972"/>
      <c r="I65" s="2973"/>
      <c r="J65" s="2910">
        <v>227</v>
      </c>
      <c r="K65" s="2848" t="s">
        <v>1296</v>
      </c>
      <c r="L65" s="2850" t="s">
        <v>18</v>
      </c>
      <c r="M65" s="2984">
        <v>12</v>
      </c>
      <c r="N65" s="2987">
        <v>0.35</v>
      </c>
      <c r="O65" s="2869"/>
      <c r="P65" s="2872"/>
      <c r="Q65" s="2849"/>
      <c r="R65" s="2885">
        <f>+S65/577189776</f>
        <v>0.35742143845597152</v>
      </c>
      <c r="S65" s="2982">
        <v>206300000</v>
      </c>
      <c r="T65" s="2849"/>
      <c r="U65" s="2862"/>
      <c r="V65" s="1325" t="s">
        <v>1297</v>
      </c>
      <c r="W65" s="1320">
        <v>85000000</v>
      </c>
      <c r="X65" s="1321"/>
      <c r="Y65" s="1321"/>
      <c r="Z65" s="1308"/>
      <c r="AA65" s="1347"/>
      <c r="AB65" s="3019"/>
      <c r="AC65" s="2980"/>
      <c r="AD65" s="2980"/>
      <c r="AE65" s="2980"/>
      <c r="AF65" s="2980"/>
      <c r="AG65" s="2980"/>
      <c r="AH65" s="2980"/>
      <c r="AI65" s="2980"/>
      <c r="AJ65" s="2980"/>
      <c r="AK65" s="2980"/>
      <c r="AL65" s="2980"/>
      <c r="AM65" s="2980"/>
      <c r="AN65" s="2980"/>
      <c r="AO65" s="2980"/>
      <c r="AP65" s="2980"/>
      <c r="AQ65" s="2980"/>
      <c r="AR65" s="1375"/>
      <c r="AS65" s="1375"/>
      <c r="AT65" s="2980"/>
      <c r="AU65" s="2980"/>
      <c r="AV65" s="1375"/>
      <c r="AW65" s="1375"/>
      <c r="AX65" s="1375"/>
      <c r="AY65" s="1375"/>
      <c r="AZ65" s="2991">
        <v>2</v>
      </c>
      <c r="BA65" s="2889">
        <v>22775000</v>
      </c>
      <c r="BB65" s="2889">
        <v>6000000</v>
      </c>
      <c r="BC65" s="2988">
        <f>BB65/BA65</f>
        <v>0.26344676180021953</v>
      </c>
      <c r="BD65" s="2992"/>
      <c r="BE65" s="2992"/>
      <c r="BF65" s="1324">
        <v>42786</v>
      </c>
      <c r="BG65" s="1324">
        <v>42786</v>
      </c>
      <c r="BH65" s="1374">
        <v>43089</v>
      </c>
      <c r="BI65" s="1374">
        <v>43089</v>
      </c>
      <c r="BJ65" s="2911"/>
    </row>
    <row r="66" spans="1:62" ht="85.5" x14ac:dyDescent="0.2">
      <c r="A66" s="1295"/>
      <c r="B66" s="1295"/>
      <c r="C66" s="1296"/>
      <c r="D66" s="2840"/>
      <c r="E66" s="2966"/>
      <c r="F66" s="2967"/>
      <c r="G66" s="2926"/>
      <c r="H66" s="2972"/>
      <c r="I66" s="2973"/>
      <c r="J66" s="2912"/>
      <c r="K66" s="2860"/>
      <c r="L66" s="2882"/>
      <c r="M66" s="2986"/>
      <c r="N66" s="2987"/>
      <c r="O66" s="2869"/>
      <c r="P66" s="2872"/>
      <c r="Q66" s="2849"/>
      <c r="R66" s="2887"/>
      <c r="S66" s="2983"/>
      <c r="T66" s="2849"/>
      <c r="U66" s="2862"/>
      <c r="V66" s="1325" t="s">
        <v>1298</v>
      </c>
      <c r="W66" s="1320">
        <v>121300000</v>
      </c>
      <c r="X66" s="1321">
        <f>13575000+5000000+4200000</f>
        <v>22775000</v>
      </c>
      <c r="Y66" s="1321">
        <f>2600000+2000000+1400000</f>
        <v>6000000</v>
      </c>
      <c r="Z66" s="1310">
        <v>20</v>
      </c>
      <c r="AA66" s="1347" t="s">
        <v>1274</v>
      </c>
      <c r="AB66" s="3019"/>
      <c r="AC66" s="2980"/>
      <c r="AD66" s="2980"/>
      <c r="AE66" s="2980"/>
      <c r="AF66" s="2980"/>
      <c r="AG66" s="2980"/>
      <c r="AH66" s="2980"/>
      <c r="AI66" s="2980"/>
      <c r="AJ66" s="2980"/>
      <c r="AK66" s="2980"/>
      <c r="AL66" s="2980"/>
      <c r="AM66" s="2980"/>
      <c r="AN66" s="2980"/>
      <c r="AO66" s="2980"/>
      <c r="AP66" s="2980"/>
      <c r="AQ66" s="2980"/>
      <c r="AR66" s="1375"/>
      <c r="AS66" s="1375"/>
      <c r="AT66" s="2980"/>
      <c r="AU66" s="2980"/>
      <c r="AV66" s="1375"/>
      <c r="AW66" s="1375"/>
      <c r="AX66" s="1375"/>
      <c r="AY66" s="1375"/>
      <c r="AZ66" s="2993"/>
      <c r="BA66" s="2891"/>
      <c r="BB66" s="2891"/>
      <c r="BC66" s="2990"/>
      <c r="BD66" s="2992"/>
      <c r="BE66" s="2992"/>
      <c r="BF66" s="1324">
        <v>42819</v>
      </c>
      <c r="BG66" s="1324">
        <v>42819</v>
      </c>
      <c r="BH66" s="1374">
        <v>43089</v>
      </c>
      <c r="BI66" s="1374">
        <v>43089</v>
      </c>
      <c r="BJ66" s="2911"/>
    </row>
    <row r="67" spans="1:62" ht="28.5" x14ac:dyDescent="0.2">
      <c r="A67" s="1295"/>
      <c r="B67" s="1295"/>
      <c r="C67" s="1296"/>
      <c r="D67" s="2840"/>
      <c r="E67" s="2966"/>
      <c r="F67" s="2967"/>
      <c r="G67" s="2926"/>
      <c r="H67" s="2972"/>
      <c r="I67" s="2973"/>
      <c r="J67" s="2910">
        <v>228</v>
      </c>
      <c r="K67" s="2994" t="s">
        <v>1299</v>
      </c>
      <c r="L67" s="2850" t="s">
        <v>18</v>
      </c>
      <c r="M67" s="2984">
        <v>2</v>
      </c>
      <c r="N67" s="2987">
        <v>0.3</v>
      </c>
      <c r="O67" s="2869"/>
      <c r="P67" s="2872"/>
      <c r="Q67" s="2849"/>
      <c r="R67" s="2885">
        <f>+S67/577189776</f>
        <v>4.3486563767546706E-2</v>
      </c>
      <c r="S67" s="2982">
        <v>25100000</v>
      </c>
      <c r="T67" s="2849"/>
      <c r="U67" s="2862"/>
      <c r="V67" s="1314" t="s">
        <v>1300</v>
      </c>
      <c r="W67" s="1327">
        <v>6400000</v>
      </c>
      <c r="X67" s="1328">
        <f>724604+724604+1517972+724604</f>
        <v>3691784</v>
      </c>
      <c r="Y67" s="1328">
        <f>724604+724604+1517972+724604</f>
        <v>3691784</v>
      </c>
      <c r="Z67" s="1310">
        <v>88</v>
      </c>
      <c r="AA67" s="1347" t="s">
        <v>1301</v>
      </c>
      <c r="AB67" s="3019"/>
      <c r="AC67" s="2980"/>
      <c r="AD67" s="2980"/>
      <c r="AE67" s="2980"/>
      <c r="AF67" s="2980"/>
      <c r="AG67" s="2980"/>
      <c r="AH67" s="2980"/>
      <c r="AI67" s="2980"/>
      <c r="AJ67" s="2980"/>
      <c r="AK67" s="2980"/>
      <c r="AL67" s="2980"/>
      <c r="AM67" s="2980"/>
      <c r="AN67" s="2980"/>
      <c r="AO67" s="2980"/>
      <c r="AP67" s="2980"/>
      <c r="AQ67" s="2980"/>
      <c r="AR67" s="1375"/>
      <c r="AS67" s="1375"/>
      <c r="AT67" s="2980"/>
      <c r="AU67" s="2980"/>
      <c r="AV67" s="1375"/>
      <c r="AW67" s="1375"/>
      <c r="AX67" s="1375"/>
      <c r="AY67" s="1375"/>
      <c r="AZ67" s="2991">
        <v>0</v>
      </c>
      <c r="BA67" s="2889">
        <v>6801784</v>
      </c>
      <c r="BB67" s="2889">
        <v>6801784</v>
      </c>
      <c r="BC67" s="2988">
        <f>BB67/BA67</f>
        <v>1</v>
      </c>
      <c r="BD67" s="2992"/>
      <c r="BE67" s="2992"/>
      <c r="BF67" s="1324">
        <v>42755</v>
      </c>
      <c r="BG67" s="1324">
        <v>42755</v>
      </c>
      <c r="BH67" s="1374">
        <v>42756</v>
      </c>
      <c r="BI67" s="1374">
        <v>42756</v>
      </c>
      <c r="BJ67" s="2911"/>
    </row>
    <row r="68" spans="1:62" ht="26.25" customHeight="1" x14ac:dyDescent="0.2">
      <c r="A68" s="1295"/>
      <c r="B68" s="1295"/>
      <c r="C68" s="1296"/>
      <c r="D68" s="2840"/>
      <c r="E68" s="2966"/>
      <c r="F68" s="2967"/>
      <c r="G68" s="2926"/>
      <c r="H68" s="2972"/>
      <c r="I68" s="2973"/>
      <c r="J68" s="2911"/>
      <c r="K68" s="2995"/>
      <c r="L68" s="2851"/>
      <c r="M68" s="2985"/>
      <c r="N68" s="2987"/>
      <c r="O68" s="2869"/>
      <c r="P68" s="2872"/>
      <c r="Q68" s="2849"/>
      <c r="R68" s="2886"/>
      <c r="S68" s="2997"/>
      <c r="T68" s="2849"/>
      <c r="U68" s="2862"/>
      <c r="V68" s="1314" t="s">
        <v>1302</v>
      </c>
      <c r="W68" s="1327">
        <v>9600000</v>
      </c>
      <c r="X68" s="1328"/>
      <c r="Y68" s="1328"/>
      <c r="Z68" s="1308"/>
      <c r="AA68" s="1347"/>
      <c r="AB68" s="3019"/>
      <c r="AC68" s="2980"/>
      <c r="AD68" s="2980"/>
      <c r="AE68" s="2980"/>
      <c r="AF68" s="2980"/>
      <c r="AG68" s="2980"/>
      <c r="AH68" s="2980"/>
      <c r="AI68" s="2980"/>
      <c r="AJ68" s="2980"/>
      <c r="AK68" s="2980"/>
      <c r="AL68" s="2980"/>
      <c r="AM68" s="2980"/>
      <c r="AN68" s="2980"/>
      <c r="AO68" s="2980"/>
      <c r="AP68" s="2980"/>
      <c r="AQ68" s="2980"/>
      <c r="AR68" s="1375"/>
      <c r="AS68" s="1375"/>
      <c r="AT68" s="2980"/>
      <c r="AU68" s="2980"/>
      <c r="AV68" s="1375"/>
      <c r="AW68" s="1375"/>
      <c r="AX68" s="1375"/>
      <c r="AY68" s="1375"/>
      <c r="AZ68" s="2992"/>
      <c r="BA68" s="2890"/>
      <c r="BB68" s="2890"/>
      <c r="BC68" s="2989"/>
      <c r="BD68" s="2992"/>
      <c r="BE68" s="2992"/>
      <c r="BF68" s="1324">
        <v>42840</v>
      </c>
      <c r="BG68" s="1324">
        <v>42840</v>
      </c>
      <c r="BH68" s="1374">
        <v>42841</v>
      </c>
      <c r="BI68" s="1374">
        <v>42841</v>
      </c>
      <c r="BJ68" s="2911"/>
    </row>
    <row r="69" spans="1:62" ht="21.75" customHeight="1" x14ac:dyDescent="0.2">
      <c r="A69" s="1295"/>
      <c r="B69" s="1295"/>
      <c r="C69" s="1296"/>
      <c r="D69" s="2840"/>
      <c r="E69" s="2966"/>
      <c r="F69" s="2967"/>
      <c r="G69" s="2926"/>
      <c r="H69" s="2972"/>
      <c r="I69" s="2973"/>
      <c r="J69" s="2911"/>
      <c r="K69" s="2995"/>
      <c r="L69" s="2851"/>
      <c r="M69" s="2985"/>
      <c r="N69" s="2987"/>
      <c r="O69" s="2869"/>
      <c r="P69" s="2872"/>
      <c r="Q69" s="2849"/>
      <c r="R69" s="2886"/>
      <c r="S69" s="2997"/>
      <c r="T69" s="2849"/>
      <c r="U69" s="2862"/>
      <c r="V69" s="1314" t="s">
        <v>1295</v>
      </c>
      <c r="W69" s="1327">
        <v>4100000</v>
      </c>
      <c r="X69" s="1328"/>
      <c r="Y69" s="1328"/>
      <c r="Z69" s="1308"/>
      <c r="AA69" s="1347"/>
      <c r="AB69" s="3019"/>
      <c r="AC69" s="2980"/>
      <c r="AD69" s="2980"/>
      <c r="AE69" s="2980"/>
      <c r="AF69" s="2980"/>
      <c r="AG69" s="2980"/>
      <c r="AH69" s="2980"/>
      <c r="AI69" s="2980"/>
      <c r="AJ69" s="2980"/>
      <c r="AK69" s="2980"/>
      <c r="AL69" s="2980"/>
      <c r="AM69" s="2980"/>
      <c r="AN69" s="2980"/>
      <c r="AO69" s="2980"/>
      <c r="AP69" s="2980"/>
      <c r="AQ69" s="2980"/>
      <c r="AR69" s="1375"/>
      <c r="AS69" s="1375"/>
      <c r="AT69" s="2980"/>
      <c r="AU69" s="2980"/>
      <c r="AV69" s="1375"/>
      <c r="AW69" s="1375"/>
      <c r="AX69" s="1375"/>
      <c r="AY69" s="1375"/>
      <c r="AZ69" s="2992"/>
      <c r="BA69" s="2890"/>
      <c r="BB69" s="2890"/>
      <c r="BC69" s="2989"/>
      <c r="BD69" s="2992"/>
      <c r="BE69" s="2992"/>
      <c r="BF69" s="2941">
        <v>42755</v>
      </c>
      <c r="BG69" s="2941">
        <v>42755</v>
      </c>
      <c r="BH69" s="2941">
        <v>42977</v>
      </c>
      <c r="BI69" s="2941">
        <v>42977</v>
      </c>
      <c r="BJ69" s="2911"/>
    </row>
    <row r="70" spans="1:62" ht="28.5" x14ac:dyDescent="0.2">
      <c r="A70" s="1295"/>
      <c r="B70" s="1295"/>
      <c r="C70" s="1296"/>
      <c r="D70" s="2840"/>
      <c r="E70" s="2966"/>
      <c r="F70" s="2967"/>
      <c r="G70" s="2926"/>
      <c r="H70" s="2972"/>
      <c r="I70" s="2973"/>
      <c r="J70" s="2912"/>
      <c r="K70" s="2996"/>
      <c r="L70" s="2882"/>
      <c r="M70" s="2986"/>
      <c r="N70" s="2987"/>
      <c r="O70" s="2869"/>
      <c r="P70" s="2872"/>
      <c r="Q70" s="2849"/>
      <c r="R70" s="2887"/>
      <c r="S70" s="2983"/>
      <c r="T70" s="2849"/>
      <c r="U70" s="2862"/>
      <c r="V70" s="1314" t="s">
        <v>1303</v>
      </c>
      <c r="W70" s="1327">
        <v>5000000</v>
      </c>
      <c r="X70" s="1328">
        <f>3000000+110000</f>
        <v>3110000</v>
      </c>
      <c r="Y70" s="1328">
        <f>3000000+110000</f>
        <v>3110000</v>
      </c>
      <c r="Z70" s="1308"/>
      <c r="AA70" s="1347"/>
      <c r="AB70" s="3019"/>
      <c r="AC70" s="2980"/>
      <c r="AD70" s="2980"/>
      <c r="AE70" s="2980"/>
      <c r="AF70" s="2980"/>
      <c r="AG70" s="2980"/>
      <c r="AH70" s="2980"/>
      <c r="AI70" s="2980"/>
      <c r="AJ70" s="2980"/>
      <c r="AK70" s="2980"/>
      <c r="AL70" s="2980"/>
      <c r="AM70" s="2980"/>
      <c r="AN70" s="2980"/>
      <c r="AO70" s="2980"/>
      <c r="AP70" s="2980"/>
      <c r="AQ70" s="2980"/>
      <c r="AR70" s="1375"/>
      <c r="AS70" s="1375"/>
      <c r="AT70" s="2980"/>
      <c r="AU70" s="2980"/>
      <c r="AV70" s="1375"/>
      <c r="AW70" s="1375"/>
      <c r="AX70" s="1375"/>
      <c r="AY70" s="1375"/>
      <c r="AZ70" s="2993"/>
      <c r="BA70" s="2891"/>
      <c r="BB70" s="2891"/>
      <c r="BC70" s="2990"/>
      <c r="BD70" s="2992"/>
      <c r="BE70" s="2992"/>
      <c r="BF70" s="2942"/>
      <c r="BG70" s="2942"/>
      <c r="BH70" s="2942"/>
      <c r="BI70" s="2942"/>
      <c r="BJ70" s="2911"/>
    </row>
    <row r="71" spans="1:62" ht="71.25" x14ac:dyDescent="0.2">
      <c r="A71" s="1295"/>
      <c r="B71" s="1295"/>
      <c r="C71" s="1296"/>
      <c r="D71" s="2840"/>
      <c r="E71" s="2966"/>
      <c r="F71" s="2967"/>
      <c r="G71" s="2926"/>
      <c r="H71" s="2972"/>
      <c r="I71" s="2973"/>
      <c r="J71" s="2910">
        <v>229</v>
      </c>
      <c r="K71" s="2848" t="s">
        <v>1304</v>
      </c>
      <c r="L71" s="2850" t="s">
        <v>18</v>
      </c>
      <c r="M71" s="2984">
        <v>13</v>
      </c>
      <c r="N71" s="3001">
        <v>3</v>
      </c>
      <c r="O71" s="2869"/>
      <c r="P71" s="2872"/>
      <c r="Q71" s="2849"/>
      <c r="R71" s="2885">
        <f>+S71/577189776</f>
        <v>8.2035410135192693E-2</v>
      </c>
      <c r="S71" s="2982">
        <v>47350000</v>
      </c>
      <c r="T71" s="2849"/>
      <c r="U71" s="2862"/>
      <c r="V71" s="1314" t="s">
        <v>1305</v>
      </c>
      <c r="W71" s="1327">
        <v>23675000</v>
      </c>
      <c r="X71" s="1328">
        <f>8800000+7900000+3000000</f>
        <v>19700000</v>
      </c>
      <c r="Y71" s="1328">
        <f>1800000+1400000</f>
        <v>3200000</v>
      </c>
      <c r="Z71" s="1308"/>
      <c r="AA71" s="1347"/>
      <c r="AB71" s="3019"/>
      <c r="AC71" s="2980"/>
      <c r="AD71" s="2980"/>
      <c r="AE71" s="2980"/>
      <c r="AF71" s="2980"/>
      <c r="AG71" s="2980"/>
      <c r="AH71" s="2980"/>
      <c r="AI71" s="2980"/>
      <c r="AJ71" s="2980"/>
      <c r="AK71" s="2980"/>
      <c r="AL71" s="2980"/>
      <c r="AM71" s="2980"/>
      <c r="AN71" s="2980"/>
      <c r="AO71" s="2980"/>
      <c r="AP71" s="2980"/>
      <c r="AQ71" s="2980"/>
      <c r="AR71" s="1375"/>
      <c r="AS71" s="1375"/>
      <c r="AT71" s="2980"/>
      <c r="AU71" s="2980"/>
      <c r="AV71" s="1375"/>
      <c r="AW71" s="1375"/>
      <c r="AX71" s="1375"/>
      <c r="AY71" s="1375"/>
      <c r="AZ71" s="2991">
        <v>3</v>
      </c>
      <c r="BA71" s="2889">
        <v>40345000</v>
      </c>
      <c r="BB71" s="2889">
        <v>10090000</v>
      </c>
      <c r="BC71" s="2988">
        <f>BB71/BA71</f>
        <v>0.2500929483207337</v>
      </c>
      <c r="BD71" s="2992"/>
      <c r="BE71" s="2992"/>
      <c r="BF71" s="1324">
        <v>42755</v>
      </c>
      <c r="BG71" s="1324">
        <v>42755</v>
      </c>
      <c r="BH71" s="1374">
        <v>42974</v>
      </c>
      <c r="BI71" s="1374">
        <v>42974</v>
      </c>
      <c r="BJ71" s="2911"/>
    </row>
    <row r="72" spans="1:62" ht="57" x14ac:dyDescent="0.2">
      <c r="A72" s="1295"/>
      <c r="B72" s="1295"/>
      <c r="C72" s="1296"/>
      <c r="D72" s="2840"/>
      <c r="E72" s="2966"/>
      <c r="F72" s="2967"/>
      <c r="G72" s="2926"/>
      <c r="H72" s="2972"/>
      <c r="I72" s="2973"/>
      <c r="J72" s="2912"/>
      <c r="K72" s="2860"/>
      <c r="L72" s="2882"/>
      <c r="M72" s="2986"/>
      <c r="N72" s="3001"/>
      <c r="O72" s="2869"/>
      <c r="P72" s="2872"/>
      <c r="Q72" s="2849"/>
      <c r="R72" s="2887"/>
      <c r="S72" s="2983"/>
      <c r="T72" s="2849"/>
      <c r="U72" s="2862"/>
      <c r="V72" s="1314" t="s">
        <v>1306</v>
      </c>
      <c r="W72" s="1327">
        <v>23675000</v>
      </c>
      <c r="X72" s="1328">
        <v>20645000</v>
      </c>
      <c r="Y72" s="1328">
        <v>6890000</v>
      </c>
      <c r="Z72" s="1308"/>
      <c r="AA72" s="1347"/>
      <c r="AB72" s="3019"/>
      <c r="AC72" s="2980"/>
      <c r="AD72" s="2980"/>
      <c r="AE72" s="2980"/>
      <c r="AF72" s="2980"/>
      <c r="AG72" s="2980"/>
      <c r="AH72" s="2980"/>
      <c r="AI72" s="2980"/>
      <c r="AJ72" s="2980"/>
      <c r="AK72" s="2980"/>
      <c r="AL72" s="2980"/>
      <c r="AM72" s="2980"/>
      <c r="AN72" s="2980"/>
      <c r="AO72" s="2980"/>
      <c r="AP72" s="2980"/>
      <c r="AQ72" s="2980"/>
      <c r="AR72" s="1375"/>
      <c r="AS72" s="1375"/>
      <c r="AT72" s="2980"/>
      <c r="AU72" s="2980"/>
      <c r="AV72" s="1375"/>
      <c r="AW72" s="1375"/>
      <c r="AX72" s="1375"/>
      <c r="AY72" s="1375"/>
      <c r="AZ72" s="2993"/>
      <c r="BA72" s="2891"/>
      <c r="BB72" s="2891"/>
      <c r="BC72" s="2990"/>
      <c r="BD72" s="2992"/>
      <c r="BE72" s="2992"/>
      <c r="BF72" s="1324">
        <v>42755</v>
      </c>
      <c r="BG72" s="1324">
        <v>42755</v>
      </c>
      <c r="BH72" s="1374">
        <v>42974</v>
      </c>
      <c r="BI72" s="1374">
        <v>42974</v>
      </c>
      <c r="BJ72" s="2911"/>
    </row>
    <row r="73" spans="1:62" ht="42.75" customHeight="1" x14ac:dyDescent="0.2">
      <c r="A73" s="1295"/>
      <c r="B73" s="1295"/>
      <c r="C73" s="1296"/>
      <c r="D73" s="2840"/>
      <c r="E73" s="2966"/>
      <c r="F73" s="2967"/>
      <c r="G73" s="2926"/>
      <c r="H73" s="2972"/>
      <c r="I73" s="2973"/>
      <c r="J73" s="2910">
        <v>230</v>
      </c>
      <c r="K73" s="2994" t="s">
        <v>1307</v>
      </c>
      <c r="L73" s="2850" t="s">
        <v>1259</v>
      </c>
      <c r="M73" s="2938">
        <v>1</v>
      </c>
      <c r="N73" s="2998">
        <v>7.9000000000000001E-2</v>
      </c>
      <c r="O73" s="2869"/>
      <c r="P73" s="2872"/>
      <c r="Q73" s="2849"/>
      <c r="R73" s="2885">
        <f>+S73/577189776</f>
        <v>8.3230469418432665E-2</v>
      </c>
      <c r="S73" s="2982">
        <v>48039776</v>
      </c>
      <c r="T73" s="2849"/>
      <c r="U73" s="2862"/>
      <c r="V73" s="1314" t="s">
        <v>1308</v>
      </c>
      <c r="W73" s="1328">
        <v>4000000</v>
      </c>
      <c r="X73" s="1328">
        <f>500000+3500000</f>
        <v>4000000</v>
      </c>
      <c r="Y73" s="1328">
        <f>500000+1000000</f>
        <v>1500000</v>
      </c>
      <c r="Z73" s="1308"/>
      <c r="AA73" s="1347"/>
      <c r="AB73" s="3019"/>
      <c r="AC73" s="2980"/>
      <c r="AD73" s="2980"/>
      <c r="AE73" s="2980"/>
      <c r="AF73" s="2980"/>
      <c r="AG73" s="2980"/>
      <c r="AH73" s="2980"/>
      <c r="AI73" s="2980"/>
      <c r="AJ73" s="2980"/>
      <c r="AK73" s="2980"/>
      <c r="AL73" s="2980"/>
      <c r="AM73" s="2980"/>
      <c r="AN73" s="2980"/>
      <c r="AO73" s="2980"/>
      <c r="AP73" s="2980"/>
      <c r="AQ73" s="2980"/>
      <c r="AR73" s="1375"/>
      <c r="AS73" s="1375"/>
      <c r="AT73" s="2980"/>
      <c r="AU73" s="2980"/>
      <c r="AV73" s="1375"/>
      <c r="AW73" s="1375"/>
      <c r="AX73" s="1375"/>
      <c r="AY73" s="1375"/>
      <c r="AZ73" s="2991">
        <v>2</v>
      </c>
      <c r="BA73" s="2889">
        <v>20700000</v>
      </c>
      <c r="BB73" s="2889">
        <v>3800000</v>
      </c>
      <c r="BC73" s="2988">
        <f>BB73/BA73</f>
        <v>0.18357487922705315</v>
      </c>
      <c r="BD73" s="2992"/>
      <c r="BE73" s="2992"/>
      <c r="BF73" s="1324">
        <v>42755</v>
      </c>
      <c r="BG73" s="1324">
        <v>42755</v>
      </c>
      <c r="BH73" s="1374">
        <v>42875</v>
      </c>
      <c r="BI73" s="1374">
        <v>42875</v>
      </c>
      <c r="BJ73" s="2911"/>
    </row>
    <row r="74" spans="1:62" ht="57" x14ac:dyDescent="0.2">
      <c r="A74" s="1295"/>
      <c r="B74" s="1295"/>
      <c r="C74" s="1296"/>
      <c r="D74" s="2840"/>
      <c r="E74" s="2966"/>
      <c r="F74" s="2967"/>
      <c r="G74" s="2926"/>
      <c r="H74" s="2972"/>
      <c r="I74" s="2973"/>
      <c r="J74" s="2911"/>
      <c r="K74" s="2995"/>
      <c r="L74" s="2851"/>
      <c r="M74" s="2953"/>
      <c r="N74" s="2999"/>
      <c r="O74" s="2869"/>
      <c r="P74" s="2872"/>
      <c r="Q74" s="2849"/>
      <c r="R74" s="2886"/>
      <c r="S74" s="2997"/>
      <c r="T74" s="2849"/>
      <c r="U74" s="2862"/>
      <c r="V74" s="1314" t="s">
        <v>1309</v>
      </c>
      <c r="W74" s="1328">
        <v>3000000</v>
      </c>
      <c r="X74" s="1328">
        <v>3000000</v>
      </c>
      <c r="Y74" s="1328">
        <v>900000</v>
      </c>
      <c r="Z74" s="1308"/>
      <c r="AA74" s="1347"/>
      <c r="AB74" s="3019"/>
      <c r="AC74" s="2980"/>
      <c r="AD74" s="2980"/>
      <c r="AE74" s="2980"/>
      <c r="AF74" s="2980"/>
      <c r="AG74" s="2980"/>
      <c r="AH74" s="2980"/>
      <c r="AI74" s="2980"/>
      <c r="AJ74" s="2980"/>
      <c r="AK74" s="2980"/>
      <c r="AL74" s="2980"/>
      <c r="AM74" s="2980"/>
      <c r="AN74" s="2980"/>
      <c r="AO74" s="2980"/>
      <c r="AP74" s="2980"/>
      <c r="AQ74" s="2980"/>
      <c r="AR74" s="1375"/>
      <c r="AS74" s="1375"/>
      <c r="AT74" s="2980"/>
      <c r="AU74" s="2980"/>
      <c r="AV74" s="1375"/>
      <c r="AW74" s="1375"/>
      <c r="AX74" s="1375"/>
      <c r="AY74" s="1375"/>
      <c r="AZ74" s="2992"/>
      <c r="BA74" s="2890"/>
      <c r="BB74" s="2890"/>
      <c r="BC74" s="2989"/>
      <c r="BD74" s="2992"/>
      <c r="BE74" s="2992"/>
      <c r="BF74" s="1324">
        <v>42755</v>
      </c>
      <c r="BG74" s="1324">
        <v>42755</v>
      </c>
      <c r="BH74" s="1374">
        <v>42875</v>
      </c>
      <c r="BI74" s="1374">
        <v>42875</v>
      </c>
      <c r="BJ74" s="2911"/>
    </row>
    <row r="75" spans="1:62" ht="90" customHeight="1" x14ac:dyDescent="0.2">
      <c r="A75" s="1295"/>
      <c r="B75" s="1295"/>
      <c r="C75" s="1296"/>
      <c r="D75" s="2840"/>
      <c r="E75" s="2966"/>
      <c r="F75" s="2967"/>
      <c r="G75" s="2926"/>
      <c r="H75" s="2972"/>
      <c r="I75" s="2973"/>
      <c r="J75" s="2911"/>
      <c r="K75" s="2995"/>
      <c r="L75" s="2851"/>
      <c r="M75" s="2953"/>
      <c r="N75" s="2999"/>
      <c r="O75" s="2869"/>
      <c r="P75" s="2872"/>
      <c r="Q75" s="2849"/>
      <c r="R75" s="2886"/>
      <c r="S75" s="2997"/>
      <c r="T75" s="2849"/>
      <c r="U75" s="2862"/>
      <c r="V75" s="1325" t="s">
        <v>1310</v>
      </c>
      <c r="W75" s="1321">
        <v>25000000</v>
      </c>
      <c r="X75" s="1321"/>
      <c r="Y75" s="1321"/>
      <c r="Z75" s="1308"/>
      <c r="AA75" s="1347"/>
      <c r="AB75" s="3019"/>
      <c r="AC75" s="2980"/>
      <c r="AD75" s="2980"/>
      <c r="AE75" s="2980"/>
      <c r="AF75" s="2980"/>
      <c r="AG75" s="2980"/>
      <c r="AH75" s="2980"/>
      <c r="AI75" s="2980"/>
      <c r="AJ75" s="2980"/>
      <c r="AK75" s="2980"/>
      <c r="AL75" s="2980"/>
      <c r="AM75" s="2980"/>
      <c r="AN75" s="2980"/>
      <c r="AO75" s="2980"/>
      <c r="AP75" s="2980"/>
      <c r="AQ75" s="2980"/>
      <c r="AR75" s="1375"/>
      <c r="AS75" s="1375"/>
      <c r="AT75" s="2980"/>
      <c r="AU75" s="2980"/>
      <c r="AV75" s="1375"/>
      <c r="AW75" s="1375"/>
      <c r="AX75" s="1375"/>
      <c r="AY75" s="1375"/>
      <c r="AZ75" s="2992"/>
      <c r="BA75" s="2890"/>
      <c r="BB75" s="2890"/>
      <c r="BC75" s="2989"/>
      <c r="BD75" s="2992"/>
      <c r="BE75" s="2992"/>
      <c r="BF75" s="1324">
        <v>42840</v>
      </c>
      <c r="BG75" s="1324">
        <v>42840</v>
      </c>
      <c r="BH75" s="1374" t="s">
        <v>1311</v>
      </c>
      <c r="BI75" s="1374" t="s">
        <v>1311</v>
      </c>
      <c r="BJ75" s="2911"/>
    </row>
    <row r="76" spans="1:62" ht="38.25" customHeight="1" x14ac:dyDescent="0.2">
      <c r="A76" s="1295"/>
      <c r="B76" s="1295"/>
      <c r="C76" s="1296"/>
      <c r="D76" s="2840"/>
      <c r="E76" s="2966"/>
      <c r="F76" s="2967"/>
      <c r="G76" s="2926"/>
      <c r="H76" s="2972"/>
      <c r="I76" s="2973"/>
      <c r="J76" s="2911"/>
      <c r="K76" s="2995"/>
      <c r="L76" s="2851"/>
      <c r="M76" s="2953"/>
      <c r="N76" s="2999"/>
      <c r="O76" s="2869"/>
      <c r="P76" s="2872"/>
      <c r="Q76" s="2849"/>
      <c r="R76" s="2886"/>
      <c r="S76" s="2997"/>
      <c r="T76" s="2849"/>
      <c r="U76" s="2862"/>
      <c r="V76" s="1314" t="s">
        <v>1312</v>
      </c>
      <c r="W76" s="1328">
        <v>7039776</v>
      </c>
      <c r="X76" s="1328">
        <f>400000+4900000+1739776</f>
        <v>7039776</v>
      </c>
      <c r="Y76" s="1328">
        <v>400000</v>
      </c>
      <c r="Z76" s="1308"/>
      <c r="AA76" s="1347"/>
      <c r="AB76" s="3019"/>
      <c r="AC76" s="2980"/>
      <c r="AD76" s="2980"/>
      <c r="AE76" s="2980"/>
      <c r="AF76" s="2980"/>
      <c r="AG76" s="2980"/>
      <c r="AH76" s="2980"/>
      <c r="AI76" s="2980"/>
      <c r="AJ76" s="2980"/>
      <c r="AK76" s="2980"/>
      <c r="AL76" s="2980"/>
      <c r="AM76" s="2980"/>
      <c r="AN76" s="2980"/>
      <c r="AO76" s="2980"/>
      <c r="AP76" s="2980"/>
      <c r="AQ76" s="2980"/>
      <c r="AR76" s="1375"/>
      <c r="AS76" s="1375"/>
      <c r="AT76" s="2980"/>
      <c r="AU76" s="2980"/>
      <c r="AV76" s="1375"/>
      <c r="AW76" s="1375"/>
      <c r="AX76" s="1375"/>
      <c r="AY76" s="1375"/>
      <c r="AZ76" s="2992"/>
      <c r="BA76" s="2890"/>
      <c r="BB76" s="2890"/>
      <c r="BC76" s="2989"/>
      <c r="BD76" s="2992"/>
      <c r="BE76" s="2992"/>
      <c r="BF76" s="1324">
        <v>42755</v>
      </c>
      <c r="BG76" s="1324">
        <v>42755</v>
      </c>
      <c r="BH76" s="1374">
        <v>42875</v>
      </c>
      <c r="BI76" s="1374">
        <v>42875</v>
      </c>
      <c r="BJ76" s="2911"/>
    </row>
    <row r="77" spans="1:62" ht="33.75" customHeight="1" x14ac:dyDescent="0.2">
      <c r="A77" s="1295"/>
      <c r="B77" s="1295"/>
      <c r="C77" s="1296"/>
      <c r="D77" s="2840"/>
      <c r="E77" s="2966"/>
      <c r="F77" s="2967"/>
      <c r="G77" s="2927"/>
      <c r="H77" s="2974"/>
      <c r="I77" s="2975"/>
      <c r="J77" s="2912"/>
      <c r="K77" s="2995"/>
      <c r="L77" s="2851"/>
      <c r="M77" s="2939"/>
      <c r="N77" s="3000"/>
      <c r="O77" s="2870"/>
      <c r="P77" s="2873"/>
      <c r="Q77" s="2860"/>
      <c r="R77" s="2886"/>
      <c r="S77" s="2983"/>
      <c r="T77" s="2860"/>
      <c r="U77" s="2863"/>
      <c r="V77" s="1314" t="s">
        <v>1295</v>
      </c>
      <c r="W77" s="1328">
        <v>9000000</v>
      </c>
      <c r="X77" s="1328">
        <v>6660224</v>
      </c>
      <c r="Y77" s="1328">
        <v>1000000</v>
      </c>
      <c r="Z77" s="1337"/>
      <c r="AA77" s="1376"/>
      <c r="AB77" s="3020"/>
      <c r="AC77" s="2981"/>
      <c r="AD77" s="2981"/>
      <c r="AE77" s="2981"/>
      <c r="AF77" s="2981"/>
      <c r="AG77" s="2981"/>
      <c r="AH77" s="2981"/>
      <c r="AI77" s="2981"/>
      <c r="AJ77" s="2981"/>
      <c r="AK77" s="2981"/>
      <c r="AL77" s="2981"/>
      <c r="AM77" s="2981"/>
      <c r="AN77" s="2981"/>
      <c r="AO77" s="2981"/>
      <c r="AP77" s="2981"/>
      <c r="AQ77" s="2981"/>
      <c r="AR77" s="1377"/>
      <c r="AS77" s="1377"/>
      <c r="AT77" s="2981"/>
      <c r="AU77" s="2981"/>
      <c r="AV77" s="1377"/>
      <c r="AW77" s="1377"/>
      <c r="AX77" s="1377"/>
      <c r="AY77" s="1377"/>
      <c r="AZ77" s="2993"/>
      <c r="BA77" s="2891"/>
      <c r="BB77" s="2891"/>
      <c r="BC77" s="2990"/>
      <c r="BD77" s="2993"/>
      <c r="BE77" s="2993"/>
      <c r="BF77" s="1324">
        <v>42814</v>
      </c>
      <c r="BG77" s="1324">
        <v>42814</v>
      </c>
      <c r="BH77" s="1374">
        <v>42962</v>
      </c>
      <c r="BI77" s="1374">
        <v>42962</v>
      </c>
      <c r="BJ77" s="2911"/>
    </row>
    <row r="78" spans="1:62" s="192" customFormat="1" ht="25.5" customHeight="1" x14ac:dyDescent="0.2">
      <c r="A78" s="1295"/>
      <c r="B78" s="1295"/>
      <c r="C78" s="1296"/>
      <c r="D78" s="2840"/>
      <c r="E78" s="2966"/>
      <c r="F78" s="2967"/>
      <c r="G78" s="1297">
        <v>79</v>
      </c>
      <c r="H78" s="105" t="s">
        <v>1313</v>
      </c>
      <c r="I78" s="105"/>
      <c r="J78" s="105"/>
      <c r="K78" s="1298"/>
      <c r="L78" s="105"/>
      <c r="M78" s="105"/>
      <c r="N78" s="105"/>
      <c r="O78" s="105"/>
      <c r="P78" s="105"/>
      <c r="Q78" s="73"/>
      <c r="R78" s="1299"/>
      <c r="S78" s="1300"/>
      <c r="T78" s="73"/>
      <c r="U78" s="1298"/>
      <c r="V78" s="1298"/>
      <c r="W78" s="1301"/>
      <c r="X78" s="1301"/>
      <c r="Y78" s="1301"/>
      <c r="Z78" s="1301"/>
      <c r="AA78" s="1370"/>
      <c r="AB78" s="1301"/>
      <c r="AC78" s="1301"/>
      <c r="AD78" s="1301"/>
      <c r="AE78" s="1301"/>
      <c r="AF78" s="1301"/>
      <c r="AG78" s="1301"/>
      <c r="AH78" s="1301"/>
      <c r="AI78" s="1301"/>
      <c r="AJ78" s="1301"/>
      <c r="AK78" s="1301"/>
      <c r="AL78" s="1301"/>
      <c r="AM78" s="1301"/>
      <c r="AN78" s="1301"/>
      <c r="AO78" s="1301"/>
      <c r="AP78" s="1301"/>
      <c r="AQ78" s="1301"/>
      <c r="AR78" s="1301"/>
      <c r="AS78" s="1301"/>
      <c r="AT78" s="1301"/>
      <c r="AU78" s="1301"/>
      <c r="AV78" s="1301"/>
      <c r="AW78" s="1301"/>
      <c r="AX78" s="1301"/>
      <c r="AY78" s="1301"/>
      <c r="AZ78" s="1301"/>
      <c r="BA78" s="1301"/>
      <c r="BB78" s="1301"/>
      <c r="BC78" s="1302"/>
      <c r="BD78" s="1301"/>
      <c r="BE78" s="1301"/>
      <c r="BF78" s="1301"/>
      <c r="BG78" s="1301"/>
      <c r="BH78" s="1301"/>
      <c r="BI78" s="1378"/>
      <c r="BJ78" s="2912"/>
    </row>
    <row r="79" spans="1:62" ht="39" customHeight="1" x14ac:dyDescent="0.2">
      <c r="A79" s="1295"/>
      <c r="B79" s="1295"/>
      <c r="C79" s="1296"/>
      <c r="D79" s="2840"/>
      <c r="E79" s="2966"/>
      <c r="F79" s="2967"/>
      <c r="G79" s="2984"/>
      <c r="H79" s="3008"/>
      <c r="I79" s="3009"/>
      <c r="J79" s="2934">
        <v>231</v>
      </c>
      <c r="K79" s="2994" t="s">
        <v>1314</v>
      </c>
      <c r="L79" s="3014" t="s">
        <v>18</v>
      </c>
      <c r="M79" s="2852">
        <v>1</v>
      </c>
      <c r="N79" s="3017">
        <v>0.95</v>
      </c>
      <c r="O79" s="2952" t="s">
        <v>1315</v>
      </c>
      <c r="P79" s="3052" t="s">
        <v>1316</v>
      </c>
      <c r="Q79" s="2848" t="s">
        <v>1317</v>
      </c>
      <c r="R79" s="3044">
        <f>+S79/37080000</f>
        <v>8.3333333333333329E-2</v>
      </c>
      <c r="S79" s="3002">
        <v>3090000</v>
      </c>
      <c r="T79" s="3004" t="s">
        <v>1318</v>
      </c>
      <c r="U79" s="2848" t="s">
        <v>1319</v>
      </c>
      <c r="V79" s="1314" t="s">
        <v>1320</v>
      </c>
      <c r="W79" s="1379">
        <v>1545000</v>
      </c>
      <c r="X79" s="1379">
        <f>45000+1400000+100000</f>
        <v>1545000</v>
      </c>
      <c r="Y79" s="1379">
        <v>1400000</v>
      </c>
      <c r="Z79" s="2893">
        <v>20</v>
      </c>
      <c r="AA79" s="2868" t="s">
        <v>1274</v>
      </c>
      <c r="AB79" s="3024">
        <v>367</v>
      </c>
      <c r="AC79" s="3027">
        <v>247</v>
      </c>
      <c r="AD79" s="3027">
        <v>414</v>
      </c>
      <c r="AE79" s="3027">
        <v>278</v>
      </c>
      <c r="AF79" s="3027">
        <v>157</v>
      </c>
      <c r="AG79" s="3027">
        <v>106</v>
      </c>
      <c r="AH79" s="3027">
        <v>497</v>
      </c>
      <c r="AI79" s="3027">
        <v>334</v>
      </c>
      <c r="AJ79" s="3027">
        <v>1355</v>
      </c>
      <c r="AK79" s="3027">
        <v>909</v>
      </c>
      <c r="AL79" s="3024"/>
      <c r="AM79" s="1380"/>
      <c r="AN79" s="2893">
        <v>12718</v>
      </c>
      <c r="AO79" s="2893">
        <v>0</v>
      </c>
      <c r="AP79" s="3027">
        <v>466</v>
      </c>
      <c r="AQ79" s="3027">
        <v>313</v>
      </c>
      <c r="AR79" s="1381"/>
      <c r="AS79" s="1381"/>
      <c r="AT79" s="3030"/>
      <c r="AU79" s="1382"/>
      <c r="AV79" s="2893"/>
      <c r="AW79" s="1383"/>
      <c r="AX79" s="3048"/>
      <c r="AY79" s="1384"/>
      <c r="AZ79" s="2893">
        <v>1</v>
      </c>
      <c r="BA79" s="2893">
        <v>3090000</v>
      </c>
      <c r="BB79" s="2893">
        <v>2945000</v>
      </c>
      <c r="BC79" s="3021">
        <f>+BA79/3090000</f>
        <v>1</v>
      </c>
      <c r="BD79" s="2893">
        <v>20</v>
      </c>
      <c r="BE79" s="2889" t="s">
        <v>1290</v>
      </c>
      <c r="BF79" s="1324">
        <v>42755</v>
      </c>
      <c r="BG79" s="1324">
        <v>42755</v>
      </c>
      <c r="BH79" s="1324">
        <v>42875</v>
      </c>
      <c r="BI79" s="1324">
        <v>42875</v>
      </c>
      <c r="BJ79" s="2910" t="s">
        <v>1290</v>
      </c>
    </row>
    <row r="80" spans="1:62" ht="57" x14ac:dyDescent="0.2">
      <c r="A80" s="1295"/>
      <c r="B80" s="1295"/>
      <c r="C80" s="1296"/>
      <c r="D80" s="2840"/>
      <c r="E80" s="2966"/>
      <c r="F80" s="2967"/>
      <c r="G80" s="2985"/>
      <c r="H80" s="3010"/>
      <c r="I80" s="3011"/>
      <c r="J80" s="2935"/>
      <c r="K80" s="2996"/>
      <c r="L80" s="3015"/>
      <c r="M80" s="3016"/>
      <c r="N80" s="3017"/>
      <c r="O80" s="2952"/>
      <c r="P80" s="3053"/>
      <c r="Q80" s="2849"/>
      <c r="R80" s="3046"/>
      <c r="S80" s="3003"/>
      <c r="T80" s="3005"/>
      <c r="U80" s="2849"/>
      <c r="V80" s="1314" t="s">
        <v>1321</v>
      </c>
      <c r="W80" s="1379">
        <v>1545000</v>
      </c>
      <c r="X80" s="1379">
        <f>1545000</f>
        <v>1545000</v>
      </c>
      <c r="Y80" s="1379">
        <v>1545000</v>
      </c>
      <c r="Z80" s="2894"/>
      <c r="AA80" s="2869"/>
      <c r="AB80" s="3025"/>
      <c r="AC80" s="3028"/>
      <c r="AD80" s="3028"/>
      <c r="AE80" s="3028"/>
      <c r="AF80" s="3028"/>
      <c r="AG80" s="3028"/>
      <c r="AH80" s="3028"/>
      <c r="AI80" s="3028"/>
      <c r="AJ80" s="3028"/>
      <c r="AK80" s="3028"/>
      <c r="AL80" s="3025"/>
      <c r="AM80" s="1385"/>
      <c r="AN80" s="2894"/>
      <c r="AO80" s="2894"/>
      <c r="AP80" s="3028"/>
      <c r="AQ80" s="3028"/>
      <c r="AR80" s="1386"/>
      <c r="AS80" s="1386"/>
      <c r="AT80" s="3031"/>
      <c r="AU80" s="1387"/>
      <c r="AV80" s="2894"/>
      <c r="AW80" s="1388"/>
      <c r="AX80" s="3049"/>
      <c r="AY80" s="1389"/>
      <c r="AZ80" s="2895"/>
      <c r="BA80" s="2895"/>
      <c r="BB80" s="2895"/>
      <c r="BC80" s="3022"/>
      <c r="BD80" s="2894"/>
      <c r="BE80" s="2894"/>
      <c r="BF80" s="1324">
        <v>42755</v>
      </c>
      <c r="BG80" s="1324">
        <v>42755</v>
      </c>
      <c r="BH80" s="1324">
        <v>42875</v>
      </c>
      <c r="BI80" s="1324">
        <v>42875</v>
      </c>
      <c r="BJ80" s="2911"/>
    </row>
    <row r="81" spans="1:62" ht="30" customHeight="1" x14ac:dyDescent="0.2">
      <c r="A81" s="1295"/>
      <c r="B81" s="1295"/>
      <c r="C81" s="1296"/>
      <c r="D81" s="2840"/>
      <c r="E81" s="2966"/>
      <c r="F81" s="2967"/>
      <c r="G81" s="2985"/>
      <c r="H81" s="3010"/>
      <c r="I81" s="3011"/>
      <c r="J81" s="2934">
        <v>232</v>
      </c>
      <c r="K81" s="2994" t="s">
        <v>1322</v>
      </c>
      <c r="L81" s="3014" t="s">
        <v>18</v>
      </c>
      <c r="M81" s="2852">
        <v>12</v>
      </c>
      <c r="N81" s="2867">
        <v>4</v>
      </c>
      <c r="O81" s="2952"/>
      <c r="P81" s="3053"/>
      <c r="Q81" s="2849"/>
      <c r="R81" s="3044">
        <f>+S81/37080000</f>
        <v>0.51111111111111107</v>
      </c>
      <c r="S81" s="3002">
        <v>18952000</v>
      </c>
      <c r="T81" s="3005"/>
      <c r="U81" s="2849"/>
      <c r="V81" s="1314" t="s">
        <v>1323</v>
      </c>
      <c r="W81" s="1379">
        <v>10000000</v>
      </c>
      <c r="X81" s="1379">
        <f>448000+2552000</f>
        <v>3000000</v>
      </c>
      <c r="Y81" s="1379">
        <v>448000</v>
      </c>
      <c r="Z81" s="2894"/>
      <c r="AA81" s="2869"/>
      <c r="AB81" s="3025"/>
      <c r="AC81" s="3028"/>
      <c r="AD81" s="3028"/>
      <c r="AE81" s="3028"/>
      <c r="AF81" s="3028"/>
      <c r="AG81" s="3028"/>
      <c r="AH81" s="3028"/>
      <c r="AI81" s="3028"/>
      <c r="AJ81" s="3028"/>
      <c r="AK81" s="3028"/>
      <c r="AL81" s="3025"/>
      <c r="AM81" s="1385"/>
      <c r="AN81" s="2894"/>
      <c r="AO81" s="2894"/>
      <c r="AP81" s="3028"/>
      <c r="AQ81" s="3028"/>
      <c r="AR81" s="1386"/>
      <c r="AS81" s="1386"/>
      <c r="AT81" s="3031"/>
      <c r="AU81" s="1387"/>
      <c r="AV81" s="2894"/>
      <c r="AW81" s="1388"/>
      <c r="AX81" s="3049"/>
      <c r="AY81" s="1389"/>
      <c r="AZ81" s="2893">
        <v>1</v>
      </c>
      <c r="BA81" s="2893">
        <v>8952000</v>
      </c>
      <c r="BB81" s="2893">
        <v>4055000</v>
      </c>
      <c r="BC81" s="3021">
        <f>+BA81/18952000</f>
        <v>0.47235120303925709</v>
      </c>
      <c r="BD81" s="2894"/>
      <c r="BE81" s="2894"/>
      <c r="BF81" s="1324">
        <v>42906</v>
      </c>
      <c r="BG81" s="1324">
        <v>42906</v>
      </c>
      <c r="BH81" s="1324">
        <v>43059</v>
      </c>
      <c r="BI81" s="1324">
        <v>43059</v>
      </c>
      <c r="BJ81" s="2911"/>
    </row>
    <row r="82" spans="1:62" ht="71.25" x14ac:dyDescent="0.2">
      <c r="A82" s="1295"/>
      <c r="B82" s="1295"/>
      <c r="C82" s="1296"/>
      <c r="D82" s="2840"/>
      <c r="E82" s="2966"/>
      <c r="F82" s="2967"/>
      <c r="G82" s="2985"/>
      <c r="H82" s="3010"/>
      <c r="I82" s="3011"/>
      <c r="J82" s="2951"/>
      <c r="K82" s="2995"/>
      <c r="L82" s="3047"/>
      <c r="M82" s="2853"/>
      <c r="N82" s="2867"/>
      <c r="O82" s="2952"/>
      <c r="P82" s="3053"/>
      <c r="Q82" s="2849"/>
      <c r="R82" s="3045"/>
      <c r="S82" s="3007"/>
      <c r="T82" s="3005"/>
      <c r="U82" s="2849"/>
      <c r="V82" s="1314" t="s">
        <v>1324</v>
      </c>
      <c r="W82" s="1379">
        <v>4214000</v>
      </c>
      <c r="X82" s="1379">
        <f>4214000</f>
        <v>4214000</v>
      </c>
      <c r="Y82" s="1379">
        <v>1869000</v>
      </c>
      <c r="Z82" s="2894"/>
      <c r="AA82" s="2869"/>
      <c r="AB82" s="3025"/>
      <c r="AC82" s="3028"/>
      <c r="AD82" s="3028"/>
      <c r="AE82" s="3028"/>
      <c r="AF82" s="3028"/>
      <c r="AG82" s="3028"/>
      <c r="AH82" s="3028"/>
      <c r="AI82" s="3028"/>
      <c r="AJ82" s="3028"/>
      <c r="AK82" s="3028"/>
      <c r="AL82" s="3025"/>
      <c r="AM82" s="1385"/>
      <c r="AN82" s="2894"/>
      <c r="AO82" s="2894"/>
      <c r="AP82" s="3028"/>
      <c r="AQ82" s="3028"/>
      <c r="AR82" s="1386"/>
      <c r="AS82" s="1386"/>
      <c r="AT82" s="3031"/>
      <c r="AU82" s="1387"/>
      <c r="AV82" s="2894"/>
      <c r="AW82" s="1388"/>
      <c r="AX82" s="3049"/>
      <c r="AY82" s="1389"/>
      <c r="AZ82" s="2894"/>
      <c r="BA82" s="2894"/>
      <c r="BB82" s="2894"/>
      <c r="BC82" s="3022"/>
      <c r="BD82" s="2894"/>
      <c r="BE82" s="2894"/>
      <c r="BF82" s="1324">
        <v>42755</v>
      </c>
      <c r="BG82" s="1324">
        <v>42755</v>
      </c>
      <c r="BH82" s="1324">
        <v>42875</v>
      </c>
      <c r="BI82" s="1324">
        <v>42875</v>
      </c>
      <c r="BJ82" s="2911"/>
    </row>
    <row r="83" spans="1:62" ht="22.5" customHeight="1" x14ac:dyDescent="0.2">
      <c r="A83" s="1295"/>
      <c r="B83" s="1295"/>
      <c r="C83" s="1296"/>
      <c r="D83" s="2840"/>
      <c r="E83" s="2966"/>
      <c r="F83" s="2967"/>
      <c r="G83" s="2985"/>
      <c r="H83" s="3010"/>
      <c r="I83" s="3011"/>
      <c r="J83" s="2951"/>
      <c r="K83" s="2995"/>
      <c r="L83" s="3047"/>
      <c r="M83" s="2853"/>
      <c r="N83" s="2867"/>
      <c r="O83" s="2952"/>
      <c r="P83" s="3053"/>
      <c r="Q83" s="2849"/>
      <c r="R83" s="3045"/>
      <c r="S83" s="3007"/>
      <c r="T83" s="3005"/>
      <c r="U83" s="2849"/>
      <c r="V83" s="1314" t="s">
        <v>1295</v>
      </c>
      <c r="W83" s="1379">
        <v>3000000</v>
      </c>
      <c r="X83" s="1379"/>
      <c r="Y83" s="1379"/>
      <c r="Z83" s="2894"/>
      <c r="AA83" s="2869"/>
      <c r="AB83" s="3025"/>
      <c r="AC83" s="3028"/>
      <c r="AD83" s="3028"/>
      <c r="AE83" s="3028"/>
      <c r="AF83" s="3028"/>
      <c r="AG83" s="3028"/>
      <c r="AH83" s="3028"/>
      <c r="AI83" s="3028"/>
      <c r="AJ83" s="3028"/>
      <c r="AK83" s="3028"/>
      <c r="AL83" s="3025"/>
      <c r="AM83" s="1385"/>
      <c r="AN83" s="2894"/>
      <c r="AO83" s="2894"/>
      <c r="AP83" s="3028"/>
      <c r="AQ83" s="3028"/>
      <c r="AR83" s="1386"/>
      <c r="AS83" s="1386"/>
      <c r="AT83" s="3031"/>
      <c r="AU83" s="1387"/>
      <c r="AV83" s="2894"/>
      <c r="AW83" s="1388"/>
      <c r="AX83" s="3049"/>
      <c r="AY83" s="1389"/>
      <c r="AZ83" s="2894"/>
      <c r="BA83" s="2894"/>
      <c r="BB83" s="2894"/>
      <c r="BC83" s="3022"/>
      <c r="BD83" s="2894"/>
      <c r="BE83" s="2894"/>
      <c r="BF83" s="1324">
        <v>42814</v>
      </c>
      <c r="BG83" s="1324">
        <v>42814</v>
      </c>
      <c r="BH83" s="1324">
        <v>42962</v>
      </c>
      <c r="BI83" s="1324">
        <v>42962</v>
      </c>
      <c r="BJ83" s="2911"/>
    </row>
    <row r="84" spans="1:62" ht="57" x14ac:dyDescent="0.2">
      <c r="A84" s="1295"/>
      <c r="B84" s="1295"/>
      <c r="C84" s="1296"/>
      <c r="D84" s="2840"/>
      <c r="E84" s="2966"/>
      <c r="F84" s="2967"/>
      <c r="G84" s="2985"/>
      <c r="H84" s="3010"/>
      <c r="I84" s="3011"/>
      <c r="J84" s="2935"/>
      <c r="K84" s="2996"/>
      <c r="L84" s="3015"/>
      <c r="M84" s="3016"/>
      <c r="N84" s="2867"/>
      <c r="O84" s="2952"/>
      <c r="P84" s="3053"/>
      <c r="Q84" s="2849"/>
      <c r="R84" s="3046"/>
      <c r="S84" s="3003"/>
      <c r="T84" s="3005"/>
      <c r="U84" s="2849"/>
      <c r="V84" s="1314" t="s">
        <v>1325</v>
      </c>
      <c r="W84" s="1379">
        <v>1738000</v>
      </c>
      <c r="X84" s="1379">
        <v>1738000</v>
      </c>
      <c r="Y84" s="1379">
        <v>1738000</v>
      </c>
      <c r="Z84" s="2894"/>
      <c r="AA84" s="2869"/>
      <c r="AB84" s="3025"/>
      <c r="AC84" s="3028"/>
      <c r="AD84" s="3028"/>
      <c r="AE84" s="3028"/>
      <c r="AF84" s="3028"/>
      <c r="AG84" s="3028"/>
      <c r="AH84" s="3028"/>
      <c r="AI84" s="3028"/>
      <c r="AJ84" s="3028"/>
      <c r="AK84" s="3028"/>
      <c r="AL84" s="3025"/>
      <c r="AM84" s="1385"/>
      <c r="AN84" s="2894"/>
      <c r="AO84" s="2894"/>
      <c r="AP84" s="3028"/>
      <c r="AQ84" s="3028"/>
      <c r="AR84" s="1386"/>
      <c r="AS84" s="1386"/>
      <c r="AT84" s="3031"/>
      <c r="AU84" s="1387"/>
      <c r="AV84" s="2894"/>
      <c r="AW84" s="1388"/>
      <c r="AX84" s="3049"/>
      <c r="AY84" s="1389"/>
      <c r="AZ84" s="2895"/>
      <c r="BA84" s="2895"/>
      <c r="BB84" s="2895"/>
      <c r="BC84" s="3023"/>
      <c r="BD84" s="2894"/>
      <c r="BE84" s="2894"/>
      <c r="BF84" s="1324">
        <v>42814</v>
      </c>
      <c r="BG84" s="1324">
        <v>42814</v>
      </c>
      <c r="BH84" s="1324">
        <v>42875</v>
      </c>
      <c r="BI84" s="1324">
        <v>42875</v>
      </c>
      <c r="BJ84" s="2911"/>
    </row>
    <row r="85" spans="1:62" ht="51" customHeight="1" x14ac:dyDescent="0.2">
      <c r="A85" s="1295"/>
      <c r="B85" s="1295"/>
      <c r="C85" s="1296"/>
      <c r="D85" s="2840"/>
      <c r="E85" s="2966"/>
      <c r="F85" s="2967"/>
      <c r="G85" s="2985"/>
      <c r="H85" s="3010"/>
      <c r="I85" s="3011"/>
      <c r="J85" s="2934">
        <v>233</v>
      </c>
      <c r="K85" s="2994" t="s">
        <v>1326</v>
      </c>
      <c r="L85" s="2850" t="s">
        <v>18</v>
      </c>
      <c r="M85" s="2852">
        <v>1</v>
      </c>
      <c r="N85" s="3041">
        <v>0.16</v>
      </c>
      <c r="O85" s="2952"/>
      <c r="P85" s="3053"/>
      <c r="Q85" s="2849"/>
      <c r="R85" s="3044">
        <f>+S85/37080000</f>
        <v>0.40555555555555556</v>
      </c>
      <c r="S85" s="3002">
        <v>15038000</v>
      </c>
      <c r="T85" s="3005"/>
      <c r="U85" s="2849"/>
      <c r="V85" s="1314" t="s">
        <v>1327</v>
      </c>
      <c r="W85" s="1379">
        <v>2006000</v>
      </c>
      <c r="X85" s="1379">
        <v>2006000</v>
      </c>
      <c r="Y85" s="1379"/>
      <c r="Z85" s="2894"/>
      <c r="AA85" s="2869"/>
      <c r="AB85" s="3025"/>
      <c r="AC85" s="3028"/>
      <c r="AD85" s="3028"/>
      <c r="AE85" s="3028"/>
      <c r="AF85" s="3028"/>
      <c r="AG85" s="3028"/>
      <c r="AH85" s="3028"/>
      <c r="AI85" s="3028"/>
      <c r="AJ85" s="3028"/>
      <c r="AK85" s="3028"/>
      <c r="AL85" s="3025"/>
      <c r="AM85" s="1385"/>
      <c r="AN85" s="2894"/>
      <c r="AO85" s="2894"/>
      <c r="AP85" s="3028"/>
      <c r="AQ85" s="3028"/>
      <c r="AR85" s="1386"/>
      <c r="AS85" s="1386"/>
      <c r="AT85" s="3031"/>
      <c r="AU85" s="1387"/>
      <c r="AV85" s="2894"/>
      <c r="AW85" s="1388"/>
      <c r="AX85" s="3049"/>
      <c r="AY85" s="1389"/>
      <c r="AZ85" s="2893">
        <v>3</v>
      </c>
      <c r="BA85" s="2893">
        <v>12848000</v>
      </c>
      <c r="BB85" s="2893">
        <v>2500000</v>
      </c>
      <c r="BC85" s="3021">
        <f>BB85/BA85</f>
        <v>0.19458281444582815</v>
      </c>
      <c r="BD85" s="2894"/>
      <c r="BE85" s="2894"/>
      <c r="BF85" s="1390">
        <v>42755</v>
      </c>
      <c r="BG85" s="1390">
        <v>42755</v>
      </c>
      <c r="BH85" s="1391">
        <v>42870</v>
      </c>
      <c r="BI85" s="1391">
        <v>42870</v>
      </c>
      <c r="BJ85" s="2911"/>
    </row>
    <row r="86" spans="1:62" ht="42.75" x14ac:dyDescent="0.2">
      <c r="A86" s="1295"/>
      <c r="B86" s="1295"/>
      <c r="C86" s="1296"/>
      <c r="D86" s="2840"/>
      <c r="E86" s="2966"/>
      <c r="F86" s="2967"/>
      <c r="G86" s="2985"/>
      <c r="H86" s="3010"/>
      <c r="I86" s="3011"/>
      <c r="J86" s="2951"/>
      <c r="K86" s="2995"/>
      <c r="L86" s="2851"/>
      <c r="M86" s="2853"/>
      <c r="N86" s="3042"/>
      <c r="O86" s="2952"/>
      <c r="P86" s="3053"/>
      <c r="Q86" s="2849"/>
      <c r="R86" s="3045"/>
      <c r="S86" s="3007"/>
      <c r="T86" s="3005"/>
      <c r="U86" s="2849"/>
      <c r="V86" s="1314" t="s">
        <v>1328</v>
      </c>
      <c r="W86" s="1379">
        <v>2506000</v>
      </c>
      <c r="X86" s="1379">
        <v>2506000</v>
      </c>
      <c r="Y86" s="1379"/>
      <c r="Z86" s="2894"/>
      <c r="AA86" s="2869"/>
      <c r="AB86" s="3025"/>
      <c r="AC86" s="3028"/>
      <c r="AD86" s="3028"/>
      <c r="AE86" s="3028"/>
      <c r="AF86" s="3028"/>
      <c r="AG86" s="3028"/>
      <c r="AH86" s="3028"/>
      <c r="AI86" s="3028"/>
      <c r="AJ86" s="3028"/>
      <c r="AK86" s="3028"/>
      <c r="AL86" s="3025"/>
      <c r="AM86" s="1385"/>
      <c r="AN86" s="2894"/>
      <c r="AO86" s="2894"/>
      <c r="AP86" s="3028"/>
      <c r="AQ86" s="3028"/>
      <c r="AR86" s="1386"/>
      <c r="AS86" s="1386"/>
      <c r="AT86" s="3031"/>
      <c r="AU86" s="1387"/>
      <c r="AV86" s="2894"/>
      <c r="AW86" s="1388"/>
      <c r="AX86" s="3049"/>
      <c r="AY86" s="1389"/>
      <c r="AZ86" s="2894"/>
      <c r="BA86" s="2894"/>
      <c r="BB86" s="2894"/>
      <c r="BC86" s="3022"/>
      <c r="BD86" s="2894"/>
      <c r="BE86" s="2894"/>
      <c r="BF86" s="1390">
        <v>42755</v>
      </c>
      <c r="BG86" s="1390">
        <v>42755</v>
      </c>
      <c r="BH86" s="1391">
        <v>42870</v>
      </c>
      <c r="BI86" s="1391">
        <v>42870</v>
      </c>
      <c r="BJ86" s="2911"/>
    </row>
    <row r="87" spans="1:62" ht="42.75" x14ac:dyDescent="0.2">
      <c r="A87" s="1295"/>
      <c r="B87" s="1295"/>
      <c r="C87" s="1296"/>
      <c r="D87" s="2840"/>
      <c r="E87" s="2966"/>
      <c r="F87" s="2967"/>
      <c r="G87" s="2985"/>
      <c r="H87" s="3010"/>
      <c r="I87" s="3011"/>
      <c r="J87" s="2951"/>
      <c r="K87" s="2995"/>
      <c r="L87" s="2851"/>
      <c r="M87" s="2853"/>
      <c r="N87" s="3042"/>
      <c r="O87" s="2952"/>
      <c r="P87" s="3053"/>
      <c r="Q87" s="2849"/>
      <c r="R87" s="3045"/>
      <c r="S87" s="3007"/>
      <c r="T87" s="3005"/>
      <c r="U87" s="2849"/>
      <c r="V87" s="1314" t="s">
        <v>1329</v>
      </c>
      <c r="W87" s="1379">
        <v>2506000</v>
      </c>
      <c r="X87" s="1379">
        <v>2506000</v>
      </c>
      <c r="Y87" s="1379">
        <v>2500000</v>
      </c>
      <c r="Z87" s="2894"/>
      <c r="AA87" s="2869"/>
      <c r="AB87" s="3025"/>
      <c r="AC87" s="3028"/>
      <c r="AD87" s="3028"/>
      <c r="AE87" s="3028"/>
      <c r="AF87" s="3028"/>
      <c r="AG87" s="3028"/>
      <c r="AH87" s="3028"/>
      <c r="AI87" s="3028"/>
      <c r="AJ87" s="3028"/>
      <c r="AK87" s="3028"/>
      <c r="AL87" s="3025"/>
      <c r="AM87" s="1385"/>
      <c r="AN87" s="2894"/>
      <c r="AO87" s="2894"/>
      <c r="AP87" s="3028"/>
      <c r="AQ87" s="3028"/>
      <c r="AR87" s="1386"/>
      <c r="AS87" s="1386"/>
      <c r="AT87" s="3031"/>
      <c r="AU87" s="1387"/>
      <c r="AV87" s="2894"/>
      <c r="AW87" s="1388"/>
      <c r="AX87" s="3049"/>
      <c r="AY87" s="1389"/>
      <c r="AZ87" s="2894"/>
      <c r="BA87" s="2894"/>
      <c r="BB87" s="2894"/>
      <c r="BC87" s="3022"/>
      <c r="BD87" s="2894"/>
      <c r="BE87" s="2894"/>
      <c r="BF87" s="1390">
        <v>42755</v>
      </c>
      <c r="BG87" s="1390">
        <v>42755</v>
      </c>
      <c r="BH87" s="1391">
        <v>42870</v>
      </c>
      <c r="BI87" s="1391">
        <v>42870</v>
      </c>
      <c r="BJ87" s="2911"/>
    </row>
    <row r="88" spans="1:62" ht="99.75" x14ac:dyDescent="0.2">
      <c r="A88" s="1295"/>
      <c r="B88" s="1295"/>
      <c r="C88" s="1296"/>
      <c r="D88" s="2840"/>
      <c r="E88" s="2966"/>
      <c r="F88" s="2967"/>
      <c r="G88" s="2985"/>
      <c r="H88" s="3010"/>
      <c r="I88" s="3011"/>
      <c r="J88" s="2951"/>
      <c r="K88" s="2995"/>
      <c r="L88" s="2851"/>
      <c r="M88" s="2853"/>
      <c r="N88" s="3042"/>
      <c r="O88" s="2952"/>
      <c r="P88" s="3053"/>
      <c r="Q88" s="2849"/>
      <c r="R88" s="3045"/>
      <c r="S88" s="3007"/>
      <c r="T88" s="3005"/>
      <c r="U88" s="2849"/>
      <c r="V88" s="1314" t="s">
        <v>1330</v>
      </c>
      <c r="W88" s="1379">
        <v>2512000</v>
      </c>
      <c r="X88" s="1379">
        <v>2512000</v>
      </c>
      <c r="Y88" s="1379"/>
      <c r="Z88" s="2894"/>
      <c r="AA88" s="2869"/>
      <c r="AB88" s="3025"/>
      <c r="AC88" s="3028"/>
      <c r="AD88" s="3028"/>
      <c r="AE88" s="3028"/>
      <c r="AF88" s="3028"/>
      <c r="AG88" s="3028"/>
      <c r="AH88" s="3028"/>
      <c r="AI88" s="3028"/>
      <c r="AJ88" s="3028"/>
      <c r="AK88" s="3028"/>
      <c r="AL88" s="3025"/>
      <c r="AM88" s="1385"/>
      <c r="AN88" s="2894"/>
      <c r="AO88" s="2894"/>
      <c r="AP88" s="3028"/>
      <c r="AQ88" s="3028"/>
      <c r="AR88" s="1386"/>
      <c r="AS88" s="1386"/>
      <c r="AT88" s="3031"/>
      <c r="AU88" s="1387"/>
      <c r="AV88" s="2894"/>
      <c r="AW88" s="1388"/>
      <c r="AX88" s="3049"/>
      <c r="AY88" s="1389"/>
      <c r="AZ88" s="2894"/>
      <c r="BA88" s="2894"/>
      <c r="BB88" s="2894"/>
      <c r="BC88" s="3022"/>
      <c r="BD88" s="2894"/>
      <c r="BE88" s="2894"/>
      <c r="BF88" s="1390">
        <v>42755</v>
      </c>
      <c r="BG88" s="1390">
        <v>42755</v>
      </c>
      <c r="BH88" s="1391">
        <v>42870</v>
      </c>
      <c r="BI88" s="1391">
        <v>42870</v>
      </c>
      <c r="BJ88" s="2911"/>
    </row>
    <row r="89" spans="1:62" ht="42.75" x14ac:dyDescent="0.2">
      <c r="A89" s="1295"/>
      <c r="B89" s="1295"/>
      <c r="C89" s="1296"/>
      <c r="D89" s="2840"/>
      <c r="E89" s="2966"/>
      <c r="F89" s="2967"/>
      <c r="G89" s="2985"/>
      <c r="H89" s="3010"/>
      <c r="I89" s="3011"/>
      <c r="J89" s="2951"/>
      <c r="K89" s="2995"/>
      <c r="L89" s="2851"/>
      <c r="M89" s="2853"/>
      <c r="N89" s="3042"/>
      <c r="O89" s="2952"/>
      <c r="P89" s="3053"/>
      <c r="Q89" s="2849"/>
      <c r="R89" s="3045"/>
      <c r="S89" s="3007"/>
      <c r="T89" s="3005"/>
      <c r="U89" s="2849"/>
      <c r="V89" s="1314" t="s">
        <v>1331</v>
      </c>
      <c r="W89" s="1379">
        <v>2508000</v>
      </c>
      <c r="X89" s="1379">
        <f>200000+2308000</f>
        <v>2508000</v>
      </c>
      <c r="Y89" s="1379"/>
      <c r="Z89" s="2894"/>
      <c r="AA89" s="2869"/>
      <c r="AB89" s="3025"/>
      <c r="AC89" s="3028"/>
      <c r="AD89" s="3028"/>
      <c r="AE89" s="3028"/>
      <c r="AF89" s="3028"/>
      <c r="AG89" s="3028"/>
      <c r="AH89" s="3028"/>
      <c r="AI89" s="3028"/>
      <c r="AJ89" s="3028"/>
      <c r="AK89" s="3028"/>
      <c r="AL89" s="3025"/>
      <c r="AM89" s="1385"/>
      <c r="AN89" s="2894"/>
      <c r="AO89" s="2894"/>
      <c r="AP89" s="3028"/>
      <c r="AQ89" s="3028"/>
      <c r="AR89" s="1386"/>
      <c r="AS89" s="1386"/>
      <c r="AT89" s="3031"/>
      <c r="AU89" s="1387"/>
      <c r="AV89" s="2894"/>
      <c r="AW89" s="1388"/>
      <c r="AX89" s="3049"/>
      <c r="AY89" s="1389"/>
      <c r="AZ89" s="2894"/>
      <c r="BA89" s="2894"/>
      <c r="BB89" s="2894"/>
      <c r="BC89" s="3022"/>
      <c r="BD89" s="2894"/>
      <c r="BE89" s="2894"/>
      <c r="BF89" s="1390">
        <v>42755</v>
      </c>
      <c r="BG89" s="1390">
        <v>42755</v>
      </c>
      <c r="BH89" s="1391">
        <v>42870</v>
      </c>
      <c r="BI89" s="1391">
        <v>42870</v>
      </c>
      <c r="BJ89" s="2911"/>
    </row>
    <row r="90" spans="1:62" ht="29.25" customHeight="1" x14ac:dyDescent="0.2">
      <c r="A90" s="1295"/>
      <c r="B90" s="1295"/>
      <c r="C90" s="1296"/>
      <c r="D90" s="2840"/>
      <c r="E90" s="2966"/>
      <c r="F90" s="2967"/>
      <c r="G90" s="2986"/>
      <c r="H90" s="3012"/>
      <c r="I90" s="3013"/>
      <c r="J90" s="2935"/>
      <c r="K90" s="2995"/>
      <c r="L90" s="2851"/>
      <c r="M90" s="3016"/>
      <c r="N90" s="3043"/>
      <c r="O90" s="2937"/>
      <c r="P90" s="3054"/>
      <c r="Q90" s="2860"/>
      <c r="R90" s="3046"/>
      <c r="S90" s="3003"/>
      <c r="T90" s="3006"/>
      <c r="U90" s="2860"/>
      <c r="V90" s="1314" t="s">
        <v>1295</v>
      </c>
      <c r="W90" s="1379">
        <v>3000000</v>
      </c>
      <c r="X90" s="1379">
        <f>610000+200000</f>
        <v>810000</v>
      </c>
      <c r="Y90" s="1379"/>
      <c r="Z90" s="2895"/>
      <c r="AA90" s="2870"/>
      <c r="AB90" s="3026"/>
      <c r="AC90" s="3029"/>
      <c r="AD90" s="3029"/>
      <c r="AE90" s="3029"/>
      <c r="AF90" s="3029"/>
      <c r="AG90" s="3029"/>
      <c r="AH90" s="3029"/>
      <c r="AI90" s="3029"/>
      <c r="AJ90" s="3029"/>
      <c r="AK90" s="3029"/>
      <c r="AL90" s="3026"/>
      <c r="AM90" s="1392"/>
      <c r="AN90" s="2895"/>
      <c r="AO90" s="2895"/>
      <c r="AP90" s="3029"/>
      <c r="AQ90" s="3029"/>
      <c r="AR90" s="1393"/>
      <c r="AS90" s="1393"/>
      <c r="AT90" s="3032"/>
      <c r="AU90" s="1394"/>
      <c r="AV90" s="2895"/>
      <c r="AW90" s="1395"/>
      <c r="AX90" s="3050"/>
      <c r="AY90" s="1396"/>
      <c r="AZ90" s="2895"/>
      <c r="BA90" s="2895"/>
      <c r="BB90" s="2895"/>
      <c r="BC90" s="3023"/>
      <c r="BD90" s="2895"/>
      <c r="BE90" s="2895"/>
      <c r="BF90" s="1390">
        <v>42755</v>
      </c>
      <c r="BG90" s="1390">
        <v>42755</v>
      </c>
      <c r="BH90" s="1391">
        <v>42870</v>
      </c>
      <c r="BI90" s="1391">
        <v>42870</v>
      </c>
      <c r="BJ90" s="2912"/>
    </row>
    <row r="91" spans="1:62" s="192" customFormat="1" ht="25.5" customHeight="1" x14ac:dyDescent="0.2">
      <c r="A91" s="1295"/>
      <c r="B91" s="1295"/>
      <c r="C91" s="1296"/>
      <c r="D91" s="2840"/>
      <c r="E91" s="2966"/>
      <c r="F91" s="2967"/>
      <c r="G91" s="1297">
        <v>80</v>
      </c>
      <c r="H91" s="105" t="s">
        <v>1332</v>
      </c>
      <c r="I91" s="105"/>
      <c r="J91" s="105"/>
      <c r="K91" s="1298"/>
      <c r="L91" s="105"/>
      <c r="M91" s="105"/>
      <c r="N91" s="105"/>
      <c r="O91" s="105"/>
      <c r="P91" s="105"/>
      <c r="Q91" s="73"/>
      <c r="R91" s="1299"/>
      <c r="S91" s="1300"/>
      <c r="T91" s="73"/>
      <c r="U91" s="1298"/>
      <c r="V91" s="1298"/>
      <c r="W91" s="1301"/>
      <c r="X91" s="1301"/>
      <c r="Y91" s="1301"/>
      <c r="Z91" s="1301"/>
      <c r="AA91" s="1370"/>
      <c r="AB91" s="105"/>
      <c r="AC91" s="105"/>
      <c r="AD91" s="105"/>
      <c r="AE91" s="105"/>
      <c r="AF91" s="105"/>
      <c r="AG91" s="105"/>
      <c r="AH91" s="105"/>
      <c r="AI91" s="105"/>
      <c r="AJ91" s="105"/>
      <c r="AK91" s="105"/>
      <c r="AL91" s="105"/>
      <c r="AM91" s="105"/>
      <c r="AN91" s="105"/>
      <c r="AO91" s="105"/>
      <c r="AP91" s="105"/>
      <c r="AQ91" s="105"/>
      <c r="AR91" s="105"/>
      <c r="AS91" s="105"/>
      <c r="AT91" s="105"/>
      <c r="AU91" s="105"/>
      <c r="AV91" s="105"/>
      <c r="AW91" s="105"/>
      <c r="AX91" s="105"/>
      <c r="AY91" s="105"/>
      <c r="AZ91" s="105"/>
      <c r="BA91" s="105"/>
      <c r="BB91" s="105"/>
      <c r="BC91" s="1302"/>
      <c r="BD91" s="105"/>
      <c r="BE91" s="105"/>
      <c r="BF91" s="784"/>
      <c r="BG91" s="784"/>
      <c r="BH91" s="784"/>
      <c r="BI91" s="1342"/>
      <c r="BJ91" s="2889" t="s">
        <v>1290</v>
      </c>
    </row>
    <row r="92" spans="1:62" ht="28.5" x14ac:dyDescent="0.2">
      <c r="A92" s="1295"/>
      <c r="B92" s="1295"/>
      <c r="C92" s="1296"/>
      <c r="D92" s="2840"/>
      <c r="E92" s="2966"/>
      <c r="F92" s="2967"/>
      <c r="G92" s="2984"/>
      <c r="H92" s="3033"/>
      <c r="I92" s="3034"/>
      <c r="J92" s="2852">
        <v>234</v>
      </c>
      <c r="K92" s="3039" t="s">
        <v>1333</v>
      </c>
      <c r="L92" s="3040" t="s">
        <v>18</v>
      </c>
      <c r="M92" s="3027">
        <v>7</v>
      </c>
      <c r="N92" s="3051">
        <v>1.3</v>
      </c>
      <c r="O92" s="2936" t="s">
        <v>1334</v>
      </c>
      <c r="P92" s="3052" t="s">
        <v>1335</v>
      </c>
      <c r="Q92" s="2848" t="s">
        <v>1336</v>
      </c>
      <c r="R92" s="3055">
        <f>+S92/37080000</f>
        <v>0.3611111111111111</v>
      </c>
      <c r="S92" s="3057">
        <v>13390000</v>
      </c>
      <c r="T92" s="2848" t="s">
        <v>1337</v>
      </c>
      <c r="U92" s="2861" t="s">
        <v>1338</v>
      </c>
      <c r="V92" s="1314" t="s">
        <v>1339</v>
      </c>
      <c r="W92" s="1397">
        <v>10000000</v>
      </c>
      <c r="X92" s="1397">
        <f>6190000+3810000</f>
        <v>10000000</v>
      </c>
      <c r="Y92" s="1397">
        <v>1500000</v>
      </c>
      <c r="Z92" s="2954">
        <v>20</v>
      </c>
      <c r="AA92" s="3070" t="s">
        <v>1274</v>
      </c>
      <c r="AB92" s="3024">
        <v>272</v>
      </c>
      <c r="AC92" s="3027">
        <v>140</v>
      </c>
      <c r="AD92" s="3027">
        <v>306</v>
      </c>
      <c r="AE92" s="3027">
        <v>158</v>
      </c>
      <c r="AF92" s="3027">
        <v>117</v>
      </c>
      <c r="AG92" s="3027">
        <v>60</v>
      </c>
      <c r="AH92" s="3027">
        <v>368</v>
      </c>
      <c r="AI92" s="3027">
        <v>190</v>
      </c>
      <c r="AJ92" s="3027">
        <v>1003</v>
      </c>
      <c r="AK92" s="3027">
        <v>516</v>
      </c>
      <c r="AL92" s="3027">
        <v>346</v>
      </c>
      <c r="AM92" s="3027">
        <v>178</v>
      </c>
      <c r="AN92" s="2852"/>
      <c r="AO92" s="1398"/>
      <c r="AP92" s="2852"/>
      <c r="AQ92" s="1398"/>
      <c r="AR92" s="1383"/>
      <c r="AS92" s="1383"/>
      <c r="AT92" s="2852"/>
      <c r="AU92" s="1398"/>
      <c r="AV92" s="1383"/>
      <c r="AW92" s="1383"/>
      <c r="AX92" s="2893"/>
      <c r="AY92" s="1383"/>
      <c r="AZ92" s="2893">
        <v>3</v>
      </c>
      <c r="BA92" s="2893">
        <v>13390000</v>
      </c>
      <c r="BB92" s="2893">
        <v>2500000</v>
      </c>
      <c r="BC92" s="3021">
        <f>BB92/BA92</f>
        <v>0.18670649738610903</v>
      </c>
      <c r="BD92" s="2893">
        <v>20</v>
      </c>
      <c r="BE92" s="2889" t="s">
        <v>1290</v>
      </c>
      <c r="BF92" s="1390">
        <v>42755</v>
      </c>
      <c r="BG92" s="1390">
        <v>42755</v>
      </c>
      <c r="BH92" s="1399" t="s">
        <v>1340</v>
      </c>
      <c r="BI92" s="1399" t="s">
        <v>1340</v>
      </c>
      <c r="BJ92" s="2890"/>
    </row>
    <row r="93" spans="1:62" ht="24" customHeight="1" x14ac:dyDescent="0.2">
      <c r="A93" s="1295"/>
      <c r="B93" s="1295"/>
      <c r="C93" s="1296"/>
      <c r="D93" s="2840"/>
      <c r="E93" s="2966"/>
      <c r="F93" s="2967"/>
      <c r="G93" s="2985"/>
      <c r="H93" s="3035"/>
      <c r="I93" s="3036"/>
      <c r="J93" s="3016"/>
      <c r="K93" s="3039"/>
      <c r="L93" s="3040"/>
      <c r="M93" s="3029"/>
      <c r="N93" s="3051"/>
      <c r="O93" s="2952"/>
      <c r="P93" s="3053"/>
      <c r="Q93" s="2849"/>
      <c r="R93" s="3056"/>
      <c r="S93" s="3059"/>
      <c r="T93" s="2849"/>
      <c r="U93" s="2862"/>
      <c r="V93" s="1314" t="s">
        <v>1341</v>
      </c>
      <c r="W93" s="1397">
        <v>3390000</v>
      </c>
      <c r="X93" s="1397">
        <f>200000+3190000</f>
        <v>3390000</v>
      </c>
      <c r="Y93" s="1397">
        <v>1000000</v>
      </c>
      <c r="Z93" s="2955"/>
      <c r="AA93" s="3071"/>
      <c r="AB93" s="3025"/>
      <c r="AC93" s="3028"/>
      <c r="AD93" s="3028"/>
      <c r="AE93" s="3028"/>
      <c r="AF93" s="3028"/>
      <c r="AG93" s="3028"/>
      <c r="AH93" s="3028"/>
      <c r="AI93" s="3028"/>
      <c r="AJ93" s="3028"/>
      <c r="AK93" s="3028"/>
      <c r="AL93" s="3028"/>
      <c r="AM93" s="3028"/>
      <c r="AN93" s="2853"/>
      <c r="AO93" s="1400"/>
      <c r="AP93" s="2853"/>
      <c r="AQ93" s="1400"/>
      <c r="AR93" s="1388"/>
      <c r="AS93" s="1388"/>
      <c r="AT93" s="2853"/>
      <c r="AU93" s="1400"/>
      <c r="AV93" s="1388"/>
      <c r="AW93" s="1388"/>
      <c r="AX93" s="2894"/>
      <c r="AY93" s="1388"/>
      <c r="AZ93" s="2895"/>
      <c r="BA93" s="2895"/>
      <c r="BB93" s="2895"/>
      <c r="BC93" s="3023"/>
      <c r="BD93" s="2894"/>
      <c r="BE93" s="2894"/>
      <c r="BF93" s="1390">
        <v>42755</v>
      </c>
      <c r="BG93" s="1390">
        <v>42755</v>
      </c>
      <c r="BH93" s="1399">
        <v>42870</v>
      </c>
      <c r="BI93" s="1399">
        <v>42870</v>
      </c>
      <c r="BJ93" s="2890"/>
    </row>
    <row r="94" spans="1:62" ht="42.75" x14ac:dyDescent="0.2">
      <c r="A94" s="1295"/>
      <c r="B94" s="1295"/>
      <c r="C94" s="1296"/>
      <c r="D94" s="2840"/>
      <c r="E94" s="2966"/>
      <c r="F94" s="2967"/>
      <c r="G94" s="2985"/>
      <c r="H94" s="3035"/>
      <c r="I94" s="3036"/>
      <c r="J94" s="2852">
        <v>235</v>
      </c>
      <c r="K94" s="2976" t="s">
        <v>1342</v>
      </c>
      <c r="L94" s="2850" t="s">
        <v>18</v>
      </c>
      <c r="M94" s="3027">
        <v>7</v>
      </c>
      <c r="N94" s="3027">
        <v>0</v>
      </c>
      <c r="O94" s="2952"/>
      <c r="P94" s="3053"/>
      <c r="Q94" s="2849"/>
      <c r="R94" s="3044">
        <f>+S94/37080000</f>
        <v>0.63888888888888884</v>
      </c>
      <c r="S94" s="3057">
        <v>23690000</v>
      </c>
      <c r="T94" s="2849"/>
      <c r="U94" s="2862"/>
      <c r="V94" s="1314" t="s">
        <v>1343</v>
      </c>
      <c r="W94" s="1397">
        <v>3000000</v>
      </c>
      <c r="X94" s="1397">
        <f>225000+2775000</f>
        <v>3000000</v>
      </c>
      <c r="Y94" s="1397"/>
      <c r="Z94" s="2955"/>
      <c r="AA94" s="3071"/>
      <c r="AB94" s="3025"/>
      <c r="AC94" s="3028"/>
      <c r="AD94" s="3028"/>
      <c r="AE94" s="3028"/>
      <c r="AF94" s="3028"/>
      <c r="AG94" s="3028"/>
      <c r="AH94" s="3028"/>
      <c r="AI94" s="3028"/>
      <c r="AJ94" s="3028"/>
      <c r="AK94" s="3028"/>
      <c r="AL94" s="3028"/>
      <c r="AM94" s="3028"/>
      <c r="AN94" s="2853"/>
      <c r="AO94" s="1400"/>
      <c r="AP94" s="2853"/>
      <c r="AQ94" s="1400"/>
      <c r="AR94" s="1388"/>
      <c r="AS94" s="1388"/>
      <c r="AT94" s="2853"/>
      <c r="AU94" s="1400"/>
      <c r="AV94" s="1388"/>
      <c r="AW94" s="1388"/>
      <c r="AX94" s="2894"/>
      <c r="AY94" s="1388"/>
      <c r="AZ94" s="2893">
        <v>1</v>
      </c>
      <c r="BA94" s="2893">
        <v>5690000</v>
      </c>
      <c r="BB94" s="2893"/>
      <c r="BC94" s="3021">
        <v>0</v>
      </c>
      <c r="BD94" s="2894"/>
      <c r="BE94" s="2894"/>
      <c r="BF94" s="1390">
        <v>42755</v>
      </c>
      <c r="BG94" s="1390">
        <v>42755</v>
      </c>
      <c r="BH94" s="1399">
        <v>42870</v>
      </c>
      <c r="BI94" s="1399">
        <v>42870</v>
      </c>
      <c r="BJ94" s="2890"/>
    </row>
    <row r="95" spans="1:62" ht="18.75" customHeight="1" x14ac:dyDescent="0.2">
      <c r="A95" s="1295"/>
      <c r="B95" s="1295"/>
      <c r="C95" s="1296"/>
      <c r="D95" s="2840"/>
      <c r="E95" s="2966"/>
      <c r="F95" s="2967"/>
      <c r="G95" s="2985"/>
      <c r="H95" s="3035"/>
      <c r="I95" s="3036"/>
      <c r="J95" s="2853"/>
      <c r="K95" s="2977"/>
      <c r="L95" s="2851"/>
      <c r="M95" s="3028"/>
      <c r="N95" s="3028"/>
      <c r="O95" s="2952"/>
      <c r="P95" s="3053"/>
      <c r="Q95" s="2849"/>
      <c r="R95" s="3045"/>
      <c r="S95" s="3058"/>
      <c r="T95" s="2849"/>
      <c r="U95" s="2862"/>
      <c r="V95" s="1314" t="s">
        <v>1344</v>
      </c>
      <c r="W95" s="1397">
        <v>10000000</v>
      </c>
      <c r="X95" s="1397">
        <v>2690000</v>
      </c>
      <c r="Y95" s="1397"/>
      <c r="Z95" s="2955"/>
      <c r="AA95" s="3071"/>
      <c r="AB95" s="3025"/>
      <c r="AC95" s="3028"/>
      <c r="AD95" s="3028"/>
      <c r="AE95" s="3028"/>
      <c r="AF95" s="3028"/>
      <c r="AG95" s="3028"/>
      <c r="AH95" s="3028"/>
      <c r="AI95" s="3028"/>
      <c r="AJ95" s="3028"/>
      <c r="AK95" s="3028"/>
      <c r="AL95" s="3028"/>
      <c r="AM95" s="3028"/>
      <c r="AN95" s="2853"/>
      <c r="AO95" s="1400"/>
      <c r="AP95" s="2853"/>
      <c r="AQ95" s="1400"/>
      <c r="AR95" s="1388"/>
      <c r="AS95" s="1388"/>
      <c r="AT95" s="2853"/>
      <c r="AU95" s="1400"/>
      <c r="AV95" s="1388"/>
      <c r="AW95" s="1388"/>
      <c r="AX95" s="2894"/>
      <c r="AY95" s="1388"/>
      <c r="AZ95" s="2894"/>
      <c r="BA95" s="2894"/>
      <c r="BB95" s="2894"/>
      <c r="BC95" s="3022"/>
      <c r="BD95" s="2894"/>
      <c r="BE95" s="2894"/>
      <c r="BF95" s="1324">
        <v>42906</v>
      </c>
      <c r="BG95" s="1324">
        <v>42906</v>
      </c>
      <c r="BH95" s="1374">
        <v>43059</v>
      </c>
      <c r="BI95" s="1374">
        <v>43059</v>
      </c>
      <c r="BJ95" s="2890"/>
    </row>
    <row r="96" spans="1:62" ht="28.5" x14ac:dyDescent="0.2">
      <c r="A96" s="1295"/>
      <c r="B96" s="1295"/>
      <c r="C96" s="1296"/>
      <c r="D96" s="2840"/>
      <c r="E96" s="2966"/>
      <c r="F96" s="2967"/>
      <c r="G96" s="2985"/>
      <c r="H96" s="3035"/>
      <c r="I96" s="3036"/>
      <c r="J96" s="2853"/>
      <c r="K96" s="2977"/>
      <c r="L96" s="2851"/>
      <c r="M96" s="3028"/>
      <c r="N96" s="3028"/>
      <c r="O96" s="2952"/>
      <c r="P96" s="3053"/>
      <c r="Q96" s="2849"/>
      <c r="R96" s="3045"/>
      <c r="S96" s="3058"/>
      <c r="T96" s="2849"/>
      <c r="U96" s="2862"/>
      <c r="V96" s="1314" t="s">
        <v>1345</v>
      </c>
      <c r="W96" s="1397">
        <v>3000000</v>
      </c>
      <c r="X96" s="1397"/>
      <c r="Y96" s="1397"/>
      <c r="Z96" s="2955"/>
      <c r="AA96" s="3071"/>
      <c r="AB96" s="3025"/>
      <c r="AC96" s="3028"/>
      <c r="AD96" s="3028"/>
      <c r="AE96" s="3028"/>
      <c r="AF96" s="3028"/>
      <c r="AG96" s="3028"/>
      <c r="AH96" s="3028"/>
      <c r="AI96" s="3028"/>
      <c r="AJ96" s="3028"/>
      <c r="AK96" s="3028"/>
      <c r="AL96" s="3028"/>
      <c r="AM96" s="3028"/>
      <c r="AN96" s="2853"/>
      <c r="AO96" s="1400"/>
      <c r="AP96" s="2853"/>
      <c r="AQ96" s="1400"/>
      <c r="AR96" s="1388"/>
      <c r="AS96" s="1388"/>
      <c r="AT96" s="2853"/>
      <c r="AU96" s="1400"/>
      <c r="AV96" s="1388"/>
      <c r="AW96" s="1388"/>
      <c r="AX96" s="2894"/>
      <c r="AY96" s="1388"/>
      <c r="AZ96" s="2894"/>
      <c r="BA96" s="2894"/>
      <c r="BB96" s="2894"/>
      <c r="BC96" s="3022"/>
      <c r="BD96" s="2894"/>
      <c r="BE96" s="2894"/>
      <c r="BF96" s="1390">
        <v>42957</v>
      </c>
      <c r="BG96" s="1390">
        <v>42957</v>
      </c>
      <c r="BH96" s="1399">
        <v>43059</v>
      </c>
      <c r="BI96" s="1399">
        <v>43059</v>
      </c>
      <c r="BJ96" s="2890"/>
    </row>
    <row r="97" spans="1:62" ht="18.75" customHeight="1" x14ac:dyDescent="0.2">
      <c r="A97" s="1295"/>
      <c r="B97" s="1295"/>
      <c r="C97" s="1296"/>
      <c r="D97" s="2840"/>
      <c r="E97" s="2966"/>
      <c r="F97" s="2967"/>
      <c r="G97" s="2985"/>
      <c r="H97" s="3035"/>
      <c r="I97" s="3036"/>
      <c r="J97" s="2853"/>
      <c r="K97" s="2977"/>
      <c r="L97" s="2851"/>
      <c r="M97" s="3028"/>
      <c r="N97" s="3028"/>
      <c r="O97" s="2952"/>
      <c r="P97" s="3053"/>
      <c r="Q97" s="2849"/>
      <c r="R97" s="3045"/>
      <c r="S97" s="3058"/>
      <c r="T97" s="2849"/>
      <c r="U97" s="2862"/>
      <c r="V97" s="1314" t="s">
        <v>1295</v>
      </c>
      <c r="W97" s="1397">
        <v>2690000</v>
      </c>
      <c r="X97" s="1397"/>
      <c r="Y97" s="1397"/>
      <c r="Z97" s="2955"/>
      <c r="AA97" s="3071"/>
      <c r="AB97" s="3025"/>
      <c r="AC97" s="3028"/>
      <c r="AD97" s="3028"/>
      <c r="AE97" s="3028"/>
      <c r="AF97" s="3028"/>
      <c r="AG97" s="3028"/>
      <c r="AH97" s="3028"/>
      <c r="AI97" s="3028"/>
      <c r="AJ97" s="3028"/>
      <c r="AK97" s="3028"/>
      <c r="AL97" s="3028"/>
      <c r="AM97" s="3028"/>
      <c r="AN97" s="2853"/>
      <c r="AO97" s="1400"/>
      <c r="AP97" s="2853"/>
      <c r="AQ97" s="1400"/>
      <c r="AR97" s="1388"/>
      <c r="AS97" s="1388"/>
      <c r="AT97" s="2853"/>
      <c r="AU97" s="1400"/>
      <c r="AV97" s="1388"/>
      <c r="AW97" s="1388"/>
      <c r="AX97" s="2894"/>
      <c r="AY97" s="1388"/>
      <c r="AZ97" s="2894"/>
      <c r="BA97" s="2894"/>
      <c r="BB97" s="2894"/>
      <c r="BC97" s="3022"/>
      <c r="BD97" s="2894"/>
      <c r="BE97" s="2894"/>
      <c r="BF97" s="1390">
        <v>42804</v>
      </c>
      <c r="BG97" s="1390">
        <v>42804</v>
      </c>
      <c r="BH97" s="1399">
        <v>42870</v>
      </c>
      <c r="BI97" s="1399">
        <v>42870</v>
      </c>
      <c r="BJ97" s="2890"/>
    </row>
    <row r="98" spans="1:62" ht="25.5" customHeight="1" x14ac:dyDescent="0.2">
      <c r="A98" s="1295"/>
      <c r="B98" s="1295"/>
      <c r="C98" s="1296"/>
      <c r="D98" s="2843"/>
      <c r="E98" s="2968"/>
      <c r="F98" s="2969"/>
      <c r="G98" s="2986"/>
      <c r="H98" s="3037"/>
      <c r="I98" s="3038"/>
      <c r="J98" s="3016"/>
      <c r="K98" s="2978"/>
      <c r="L98" s="2882"/>
      <c r="M98" s="3029"/>
      <c r="N98" s="3029"/>
      <c r="O98" s="2937"/>
      <c r="P98" s="3054"/>
      <c r="Q98" s="2860"/>
      <c r="R98" s="3046"/>
      <c r="S98" s="3059"/>
      <c r="T98" s="2860"/>
      <c r="U98" s="2863"/>
      <c r="V98" s="1314" t="s">
        <v>1346</v>
      </c>
      <c r="W98" s="1397">
        <v>5000000</v>
      </c>
      <c r="X98" s="1397"/>
      <c r="Y98" s="1397"/>
      <c r="Z98" s="2956"/>
      <c r="AA98" s="3072"/>
      <c r="AB98" s="3026"/>
      <c r="AC98" s="3029"/>
      <c r="AD98" s="3029"/>
      <c r="AE98" s="3029"/>
      <c r="AF98" s="3029"/>
      <c r="AG98" s="3029"/>
      <c r="AH98" s="3029"/>
      <c r="AI98" s="3029"/>
      <c r="AJ98" s="3029"/>
      <c r="AK98" s="3029"/>
      <c r="AL98" s="3029"/>
      <c r="AM98" s="3029"/>
      <c r="AN98" s="3016"/>
      <c r="AO98" s="1401"/>
      <c r="AP98" s="3016"/>
      <c r="AQ98" s="1401"/>
      <c r="AR98" s="1395"/>
      <c r="AS98" s="1395"/>
      <c r="AT98" s="3016"/>
      <c r="AU98" s="1401"/>
      <c r="AV98" s="1395"/>
      <c r="AW98" s="1395"/>
      <c r="AX98" s="2895"/>
      <c r="AY98" s="1395"/>
      <c r="AZ98" s="2895"/>
      <c r="BA98" s="2895"/>
      <c r="BB98" s="2895"/>
      <c r="BC98" s="3023"/>
      <c r="BD98" s="2895"/>
      <c r="BE98" s="2895"/>
      <c r="BF98" s="1390">
        <v>42776</v>
      </c>
      <c r="BG98" s="1390">
        <v>42776</v>
      </c>
      <c r="BH98" s="1399">
        <v>42946</v>
      </c>
      <c r="BI98" s="1399">
        <v>42946</v>
      </c>
      <c r="BJ98" s="2891"/>
    </row>
    <row r="99" spans="1:62" s="192" customFormat="1" ht="26.25" customHeight="1" x14ac:dyDescent="0.2">
      <c r="A99" s="1295"/>
      <c r="B99" s="1295"/>
      <c r="C99" s="1296"/>
      <c r="D99" s="1288">
        <v>25</v>
      </c>
      <c r="E99" s="767" t="s">
        <v>1347</v>
      </c>
      <c r="F99" s="767"/>
      <c r="G99" s="767"/>
      <c r="H99" s="767"/>
      <c r="I99" s="767"/>
      <c r="J99" s="767"/>
      <c r="K99" s="1289"/>
      <c r="L99" s="767"/>
      <c r="M99" s="767"/>
      <c r="N99" s="767"/>
      <c r="O99" s="767"/>
      <c r="P99" s="767"/>
      <c r="Q99" s="768"/>
      <c r="R99" s="1290"/>
      <c r="S99" s="1291"/>
      <c r="T99" s="768"/>
      <c r="U99" s="1289"/>
      <c r="V99" s="1289"/>
      <c r="W99" s="1292"/>
      <c r="X99" s="1292"/>
      <c r="Y99" s="1292"/>
      <c r="Z99" s="1292"/>
      <c r="AA99" s="1366"/>
      <c r="AB99" s="767"/>
      <c r="AC99" s="767"/>
      <c r="AD99" s="767"/>
      <c r="AE99" s="767"/>
      <c r="AF99" s="767"/>
      <c r="AG99" s="767"/>
      <c r="AH99" s="767"/>
      <c r="AI99" s="767"/>
      <c r="AJ99" s="767"/>
      <c r="AK99" s="767"/>
      <c r="AL99" s="767"/>
      <c r="AM99" s="767"/>
      <c r="AN99" s="767"/>
      <c r="AO99" s="767"/>
      <c r="AP99" s="767"/>
      <c r="AQ99" s="767"/>
      <c r="AR99" s="767"/>
      <c r="AS99" s="767"/>
      <c r="AT99" s="767"/>
      <c r="AU99" s="767"/>
      <c r="AV99" s="767"/>
      <c r="AW99" s="767"/>
      <c r="AX99" s="767"/>
      <c r="AY99" s="767"/>
      <c r="AZ99" s="767"/>
      <c r="BA99" s="767"/>
      <c r="BB99" s="767"/>
      <c r="BC99" s="1294"/>
      <c r="BD99" s="767"/>
      <c r="BE99" s="767"/>
      <c r="BF99" s="767"/>
      <c r="BG99" s="767"/>
      <c r="BH99" s="774"/>
      <c r="BI99" s="774"/>
      <c r="BJ99" s="775"/>
    </row>
    <row r="100" spans="1:62" s="192" customFormat="1" ht="25.5" customHeight="1" x14ac:dyDescent="0.2">
      <c r="A100" s="1295"/>
      <c r="B100" s="1295"/>
      <c r="C100" s="1296"/>
      <c r="D100" s="1367"/>
      <c r="E100" s="1368"/>
      <c r="F100" s="1369"/>
      <c r="G100" s="1297">
        <v>81</v>
      </c>
      <c r="H100" s="105" t="s">
        <v>1348</v>
      </c>
      <c r="I100" s="105"/>
      <c r="J100" s="105"/>
      <c r="K100" s="1298"/>
      <c r="L100" s="105"/>
      <c r="M100" s="105"/>
      <c r="N100" s="818"/>
      <c r="O100" s="818"/>
      <c r="P100" s="818"/>
      <c r="Q100" s="73"/>
      <c r="R100" s="1299"/>
      <c r="S100" s="1300"/>
      <c r="T100" s="73"/>
      <c r="U100" s="1298"/>
      <c r="V100" s="1298"/>
      <c r="W100" s="1301"/>
      <c r="X100" s="1301"/>
      <c r="Y100" s="1301"/>
      <c r="Z100" s="1301"/>
      <c r="AA100" s="1370"/>
      <c r="AB100" s="1301"/>
      <c r="AC100" s="1301"/>
      <c r="AD100" s="1301"/>
      <c r="AE100" s="1301"/>
      <c r="AF100" s="1301"/>
      <c r="AG100" s="1301"/>
      <c r="AH100" s="1301"/>
      <c r="AI100" s="1301"/>
      <c r="AJ100" s="1301"/>
      <c r="AK100" s="1301"/>
      <c r="AL100" s="1301"/>
      <c r="AM100" s="1301"/>
      <c r="AN100" s="1301"/>
      <c r="AO100" s="1301"/>
      <c r="AP100" s="1301"/>
      <c r="AQ100" s="1301"/>
      <c r="AR100" s="1301"/>
      <c r="AS100" s="1301"/>
      <c r="AT100" s="1301"/>
      <c r="AU100" s="1301"/>
      <c r="AV100" s="1301"/>
      <c r="AW100" s="1301"/>
      <c r="AX100" s="1301"/>
      <c r="AY100" s="1301"/>
      <c r="AZ100" s="1301"/>
      <c r="BA100" s="1301"/>
      <c r="BB100" s="1301"/>
      <c r="BC100" s="1302"/>
      <c r="BD100" s="1301"/>
      <c r="BE100" s="1301"/>
      <c r="BF100" s="784"/>
      <c r="BG100" s="784"/>
      <c r="BH100" s="784"/>
      <c r="BI100" s="784"/>
      <c r="BJ100" s="785"/>
    </row>
    <row r="101" spans="1:62" ht="42.75" x14ac:dyDescent="0.2">
      <c r="A101" s="1295"/>
      <c r="B101" s="1295"/>
      <c r="C101" s="1296"/>
      <c r="D101" s="3060"/>
      <c r="E101" s="3063"/>
      <c r="F101" s="3064"/>
      <c r="G101" s="2984"/>
      <c r="H101" s="3008"/>
      <c r="I101" s="3009"/>
      <c r="J101" s="2852">
        <v>236</v>
      </c>
      <c r="K101" s="2976" t="s">
        <v>1349</v>
      </c>
      <c r="L101" s="2850" t="s">
        <v>18</v>
      </c>
      <c r="M101" s="2893">
        <v>7</v>
      </c>
      <c r="N101" s="3069">
        <v>0.61</v>
      </c>
      <c r="O101" s="2868" t="s">
        <v>1350</v>
      </c>
      <c r="P101" s="3052" t="s">
        <v>1351</v>
      </c>
      <c r="Q101" s="2848" t="s">
        <v>1352</v>
      </c>
      <c r="R101" s="3044">
        <f>+S101/507500000</f>
        <v>0.11330049261083744</v>
      </c>
      <c r="S101" s="3057">
        <v>57500000</v>
      </c>
      <c r="T101" s="2848" t="s">
        <v>1353</v>
      </c>
      <c r="U101" s="2861" t="s">
        <v>1354</v>
      </c>
      <c r="V101" s="1314" t="s">
        <v>1355</v>
      </c>
      <c r="W101" s="1336">
        <v>49500000</v>
      </c>
      <c r="X101" s="1336">
        <v>15000000</v>
      </c>
      <c r="Y101" s="1336">
        <v>5000000</v>
      </c>
      <c r="Z101" s="2991" t="s">
        <v>489</v>
      </c>
      <c r="AA101" s="3070" t="s">
        <v>1356</v>
      </c>
      <c r="AB101" s="3093">
        <v>2019</v>
      </c>
      <c r="AC101" s="3080">
        <v>559</v>
      </c>
      <c r="AD101" s="3080">
        <v>2274</v>
      </c>
      <c r="AE101" s="3080">
        <v>629</v>
      </c>
      <c r="AF101" s="3080">
        <v>865</v>
      </c>
      <c r="AG101" s="3080">
        <v>239</v>
      </c>
      <c r="AH101" s="3080">
        <v>2734</v>
      </c>
      <c r="AI101" s="3080">
        <v>756</v>
      </c>
      <c r="AJ101" s="3080">
        <v>7443</v>
      </c>
      <c r="AK101" s="3080">
        <v>2059</v>
      </c>
      <c r="AL101" s="3080">
        <v>2562</v>
      </c>
      <c r="AM101" s="3080">
        <v>709</v>
      </c>
      <c r="AN101" s="3083"/>
      <c r="AO101" s="1402"/>
      <c r="AP101" s="3083"/>
      <c r="AQ101" s="1402"/>
      <c r="AR101" s="1403"/>
      <c r="AS101" s="1403"/>
      <c r="AT101" s="3083"/>
      <c r="AU101" s="1402"/>
      <c r="AV101" s="1403"/>
      <c r="AW101" s="1403"/>
      <c r="AX101" s="1403"/>
      <c r="AY101" s="1403"/>
      <c r="AZ101" s="3076">
        <v>1</v>
      </c>
      <c r="BA101" s="3076">
        <v>15000000</v>
      </c>
      <c r="BB101" s="3076">
        <v>5000000</v>
      </c>
      <c r="BC101" s="3021">
        <f>BB101/BA101</f>
        <v>0.33333333333333331</v>
      </c>
      <c r="BD101" s="3079" t="s">
        <v>489</v>
      </c>
      <c r="BE101" s="3079" t="s">
        <v>1357</v>
      </c>
      <c r="BF101" s="1390">
        <v>42781</v>
      </c>
      <c r="BG101" s="1390">
        <v>42781</v>
      </c>
      <c r="BH101" s="1399">
        <v>43084</v>
      </c>
      <c r="BI101" s="1399">
        <v>43084</v>
      </c>
      <c r="BJ101" s="3073" t="s">
        <v>1357</v>
      </c>
    </row>
    <row r="102" spans="1:62" ht="20.25" customHeight="1" x14ac:dyDescent="0.2">
      <c r="A102" s="1295"/>
      <c r="B102" s="1295"/>
      <c r="C102" s="1296"/>
      <c r="D102" s="3061"/>
      <c r="E102" s="3065"/>
      <c r="F102" s="3066"/>
      <c r="G102" s="2985"/>
      <c r="H102" s="3010"/>
      <c r="I102" s="3011"/>
      <c r="J102" s="3016"/>
      <c r="K102" s="2978"/>
      <c r="L102" s="2882"/>
      <c r="M102" s="2895"/>
      <c r="N102" s="3069"/>
      <c r="O102" s="2952"/>
      <c r="P102" s="3053"/>
      <c r="Q102" s="2849"/>
      <c r="R102" s="3046"/>
      <c r="S102" s="3058"/>
      <c r="T102" s="2849"/>
      <c r="U102" s="2862"/>
      <c r="V102" s="1314" t="s">
        <v>1358</v>
      </c>
      <c r="W102" s="1336">
        <v>8000000</v>
      </c>
      <c r="X102" s="1336"/>
      <c r="Y102" s="1336"/>
      <c r="Z102" s="2955"/>
      <c r="AA102" s="3071"/>
      <c r="AB102" s="3094"/>
      <c r="AC102" s="3081"/>
      <c r="AD102" s="3081"/>
      <c r="AE102" s="3081"/>
      <c r="AF102" s="3081"/>
      <c r="AG102" s="3081"/>
      <c r="AH102" s="3081"/>
      <c r="AI102" s="3081"/>
      <c r="AJ102" s="3081"/>
      <c r="AK102" s="3081"/>
      <c r="AL102" s="3081"/>
      <c r="AM102" s="3081"/>
      <c r="AN102" s="3084"/>
      <c r="AO102" s="1404"/>
      <c r="AP102" s="3084"/>
      <c r="AQ102" s="1404"/>
      <c r="AR102" s="1405"/>
      <c r="AS102" s="1405"/>
      <c r="AT102" s="3084"/>
      <c r="AU102" s="1404"/>
      <c r="AV102" s="1405"/>
      <c r="AW102" s="1405"/>
      <c r="AX102" s="1405"/>
      <c r="AY102" s="1405"/>
      <c r="AZ102" s="3078"/>
      <c r="BA102" s="3078"/>
      <c r="BB102" s="3078"/>
      <c r="BC102" s="3023"/>
      <c r="BD102" s="3077"/>
      <c r="BE102" s="3077"/>
      <c r="BF102" s="1390">
        <v>42808</v>
      </c>
      <c r="BG102" s="1390">
        <v>42808</v>
      </c>
      <c r="BH102" s="1399">
        <v>42967</v>
      </c>
      <c r="BI102" s="1399">
        <v>42967</v>
      </c>
      <c r="BJ102" s="3074"/>
    </row>
    <row r="103" spans="1:62" ht="39" customHeight="1" x14ac:dyDescent="0.2">
      <c r="A103" s="1295"/>
      <c r="B103" s="1295"/>
      <c r="C103" s="1296"/>
      <c r="D103" s="3061"/>
      <c r="E103" s="3065"/>
      <c r="F103" s="3066"/>
      <c r="G103" s="2985"/>
      <c r="H103" s="3010"/>
      <c r="I103" s="3011"/>
      <c r="J103" s="2852">
        <v>237</v>
      </c>
      <c r="K103" s="2976" t="s">
        <v>1359</v>
      </c>
      <c r="L103" s="2850" t="s">
        <v>18</v>
      </c>
      <c r="M103" s="2893">
        <v>70</v>
      </c>
      <c r="N103" s="2896">
        <v>5</v>
      </c>
      <c r="O103" s="2952"/>
      <c r="P103" s="3053"/>
      <c r="Q103" s="2849"/>
      <c r="R103" s="3021">
        <f>+S103/507500000</f>
        <v>0.12650246305418719</v>
      </c>
      <c r="S103" s="3057">
        <v>64200000</v>
      </c>
      <c r="T103" s="2849"/>
      <c r="U103" s="2862"/>
      <c r="V103" s="1325" t="s">
        <v>1360</v>
      </c>
      <c r="W103" s="1336">
        <v>25000000</v>
      </c>
      <c r="X103" s="1336">
        <v>15000000</v>
      </c>
      <c r="Y103" s="1336">
        <v>2500000</v>
      </c>
      <c r="Z103" s="2955"/>
      <c r="AA103" s="3071"/>
      <c r="AB103" s="3094"/>
      <c r="AC103" s="3081"/>
      <c r="AD103" s="3081"/>
      <c r="AE103" s="3081"/>
      <c r="AF103" s="3081"/>
      <c r="AG103" s="3081"/>
      <c r="AH103" s="3081"/>
      <c r="AI103" s="3081"/>
      <c r="AJ103" s="3081"/>
      <c r="AK103" s="3081"/>
      <c r="AL103" s="3081"/>
      <c r="AM103" s="3081"/>
      <c r="AN103" s="3084"/>
      <c r="AO103" s="1404"/>
      <c r="AP103" s="3084"/>
      <c r="AQ103" s="1404"/>
      <c r="AR103" s="1405"/>
      <c r="AS103" s="1405"/>
      <c r="AT103" s="3084"/>
      <c r="AU103" s="1404"/>
      <c r="AV103" s="1405"/>
      <c r="AW103" s="1405"/>
      <c r="AX103" s="1405"/>
      <c r="AY103" s="1405"/>
      <c r="AZ103" s="3076">
        <v>2</v>
      </c>
      <c r="BA103" s="3076">
        <v>30000000</v>
      </c>
      <c r="BB103" s="3076">
        <v>5000000</v>
      </c>
      <c r="BC103" s="3021">
        <f>BB103/BA103</f>
        <v>0.16666666666666666</v>
      </c>
      <c r="BD103" s="3077"/>
      <c r="BE103" s="3077"/>
      <c r="BF103" s="1390">
        <v>42750</v>
      </c>
      <c r="BG103" s="1390">
        <v>42750</v>
      </c>
      <c r="BH103" s="1399">
        <v>42931</v>
      </c>
      <c r="BI103" s="1399">
        <v>42931</v>
      </c>
      <c r="BJ103" s="3074"/>
    </row>
    <row r="104" spans="1:62" ht="28.5" x14ac:dyDescent="0.2">
      <c r="A104" s="1295"/>
      <c r="B104" s="1295"/>
      <c r="C104" s="1296"/>
      <c r="D104" s="3061"/>
      <c r="E104" s="3065"/>
      <c r="F104" s="3066"/>
      <c r="G104" s="2985"/>
      <c r="H104" s="3010"/>
      <c r="I104" s="3011"/>
      <c r="J104" s="2853"/>
      <c r="K104" s="2977"/>
      <c r="L104" s="2851"/>
      <c r="M104" s="2894"/>
      <c r="N104" s="2896"/>
      <c r="O104" s="2952"/>
      <c r="P104" s="3053"/>
      <c r="Q104" s="2849"/>
      <c r="R104" s="3022"/>
      <c r="S104" s="3058"/>
      <c r="T104" s="2849"/>
      <c r="U104" s="2862"/>
      <c r="V104" s="1314" t="s">
        <v>1361</v>
      </c>
      <c r="W104" s="1336">
        <v>30000000</v>
      </c>
      <c r="X104" s="1336">
        <v>15000000</v>
      </c>
      <c r="Y104" s="1336">
        <v>2500000</v>
      </c>
      <c r="Z104" s="2955"/>
      <c r="AA104" s="3071"/>
      <c r="AB104" s="3094"/>
      <c r="AC104" s="3081"/>
      <c r="AD104" s="3081"/>
      <c r="AE104" s="3081"/>
      <c r="AF104" s="3081"/>
      <c r="AG104" s="3081"/>
      <c r="AH104" s="3081"/>
      <c r="AI104" s="3081"/>
      <c r="AJ104" s="3081"/>
      <c r="AK104" s="3081"/>
      <c r="AL104" s="3081"/>
      <c r="AM104" s="3081"/>
      <c r="AN104" s="3084"/>
      <c r="AO104" s="1404"/>
      <c r="AP104" s="3084"/>
      <c r="AQ104" s="1404"/>
      <c r="AR104" s="1405"/>
      <c r="AS104" s="1405"/>
      <c r="AT104" s="3084"/>
      <c r="AU104" s="1404"/>
      <c r="AV104" s="1405"/>
      <c r="AW104" s="1405"/>
      <c r="AX104" s="1405"/>
      <c r="AY104" s="1405"/>
      <c r="AZ104" s="3077"/>
      <c r="BA104" s="3077"/>
      <c r="BB104" s="3077"/>
      <c r="BC104" s="3022"/>
      <c r="BD104" s="3077"/>
      <c r="BE104" s="3077"/>
      <c r="BF104" s="1390">
        <v>42750</v>
      </c>
      <c r="BG104" s="1390">
        <v>42750</v>
      </c>
      <c r="BH104" s="1399">
        <v>42962</v>
      </c>
      <c r="BI104" s="1399">
        <v>42962</v>
      </c>
      <c r="BJ104" s="3074"/>
    </row>
    <row r="105" spans="1:62" ht="20.25" customHeight="1" x14ac:dyDescent="0.2">
      <c r="A105" s="1295"/>
      <c r="B105" s="1295"/>
      <c r="C105" s="1296"/>
      <c r="D105" s="3061"/>
      <c r="E105" s="3065"/>
      <c r="F105" s="3066"/>
      <c r="G105" s="2985"/>
      <c r="H105" s="3010"/>
      <c r="I105" s="3011"/>
      <c r="J105" s="3016"/>
      <c r="K105" s="2978"/>
      <c r="L105" s="2882"/>
      <c r="M105" s="2895"/>
      <c r="N105" s="2896"/>
      <c r="O105" s="2952"/>
      <c r="P105" s="3053"/>
      <c r="Q105" s="2849"/>
      <c r="R105" s="3023"/>
      <c r="S105" s="3059"/>
      <c r="T105" s="2849"/>
      <c r="U105" s="2862"/>
      <c r="V105" s="1314" t="s">
        <v>1362</v>
      </c>
      <c r="W105" s="1336">
        <v>9200000</v>
      </c>
      <c r="X105" s="1336"/>
      <c r="Y105" s="1336"/>
      <c r="Z105" s="2955"/>
      <c r="AA105" s="3071"/>
      <c r="AB105" s="3094"/>
      <c r="AC105" s="3081"/>
      <c r="AD105" s="3081"/>
      <c r="AE105" s="3081"/>
      <c r="AF105" s="3081"/>
      <c r="AG105" s="3081"/>
      <c r="AH105" s="3081"/>
      <c r="AI105" s="3081"/>
      <c r="AJ105" s="3081"/>
      <c r="AK105" s="3081"/>
      <c r="AL105" s="3081"/>
      <c r="AM105" s="3081"/>
      <c r="AN105" s="3084"/>
      <c r="AO105" s="1404"/>
      <c r="AP105" s="3084"/>
      <c r="AQ105" s="1404"/>
      <c r="AR105" s="1405"/>
      <c r="AS105" s="1405"/>
      <c r="AT105" s="3084"/>
      <c r="AU105" s="1404"/>
      <c r="AV105" s="1405"/>
      <c r="AW105" s="1405"/>
      <c r="AX105" s="1405"/>
      <c r="AY105" s="1405"/>
      <c r="AZ105" s="3078"/>
      <c r="BA105" s="3078"/>
      <c r="BB105" s="3078"/>
      <c r="BC105" s="3023"/>
      <c r="BD105" s="3077"/>
      <c r="BE105" s="3077"/>
      <c r="BF105" s="1390">
        <v>42781</v>
      </c>
      <c r="BG105" s="1390">
        <v>42781</v>
      </c>
      <c r="BH105" s="1399">
        <v>42962</v>
      </c>
      <c r="BI105" s="1399">
        <v>42962</v>
      </c>
      <c r="BJ105" s="3074"/>
    </row>
    <row r="106" spans="1:62" ht="28.5" x14ac:dyDescent="0.2">
      <c r="A106" s="1295"/>
      <c r="B106" s="1295"/>
      <c r="C106" s="1296"/>
      <c r="D106" s="3061"/>
      <c r="E106" s="3065"/>
      <c r="F106" s="3066"/>
      <c r="G106" s="2985"/>
      <c r="H106" s="3010"/>
      <c r="I106" s="3011"/>
      <c r="J106" s="2852">
        <v>238</v>
      </c>
      <c r="K106" s="2976" t="s">
        <v>1363</v>
      </c>
      <c r="L106" s="2850" t="s">
        <v>18</v>
      </c>
      <c r="M106" s="2852">
        <v>12</v>
      </c>
      <c r="N106" s="2867">
        <v>3</v>
      </c>
      <c r="O106" s="2952"/>
      <c r="P106" s="3053"/>
      <c r="Q106" s="2849"/>
      <c r="R106" s="3044">
        <f>+S106/507500000</f>
        <v>0.1923152709359606</v>
      </c>
      <c r="S106" s="3057">
        <v>97600000</v>
      </c>
      <c r="T106" s="2849"/>
      <c r="U106" s="2862"/>
      <c r="V106" s="1325" t="s">
        <v>1364</v>
      </c>
      <c r="W106" s="1406">
        <v>34200000</v>
      </c>
      <c r="X106" s="1329">
        <f>15000000</f>
        <v>15000000</v>
      </c>
      <c r="Y106" s="1329">
        <v>2500000</v>
      </c>
      <c r="Z106" s="2955"/>
      <c r="AA106" s="3071"/>
      <c r="AB106" s="3094"/>
      <c r="AC106" s="3081"/>
      <c r="AD106" s="3081"/>
      <c r="AE106" s="3081"/>
      <c r="AF106" s="3081"/>
      <c r="AG106" s="3081"/>
      <c r="AH106" s="3081"/>
      <c r="AI106" s="3081"/>
      <c r="AJ106" s="3081"/>
      <c r="AK106" s="3081"/>
      <c r="AL106" s="3081"/>
      <c r="AM106" s="3081"/>
      <c r="AN106" s="3084"/>
      <c r="AO106" s="1404"/>
      <c r="AP106" s="3084"/>
      <c r="AQ106" s="1404"/>
      <c r="AR106" s="1405"/>
      <c r="AS106" s="1405"/>
      <c r="AT106" s="3084"/>
      <c r="AU106" s="1404"/>
      <c r="AV106" s="1405"/>
      <c r="AW106" s="1405"/>
      <c r="AX106" s="1405"/>
      <c r="AY106" s="1405"/>
      <c r="AZ106" s="3076">
        <v>1</v>
      </c>
      <c r="BA106" s="3076">
        <v>15000000</v>
      </c>
      <c r="BB106" s="3076">
        <v>2500000</v>
      </c>
      <c r="BC106" s="3021">
        <f>BB106/BA106</f>
        <v>0.16666666666666666</v>
      </c>
      <c r="BD106" s="3077"/>
      <c r="BE106" s="3077"/>
      <c r="BF106" s="1390">
        <v>42750</v>
      </c>
      <c r="BG106" s="1390">
        <v>42750</v>
      </c>
      <c r="BH106" s="1399">
        <v>42993</v>
      </c>
      <c r="BI106" s="1399">
        <v>42993</v>
      </c>
      <c r="BJ106" s="3074"/>
    </row>
    <row r="107" spans="1:62" ht="26.25" customHeight="1" x14ac:dyDescent="0.2">
      <c r="A107" s="1295"/>
      <c r="B107" s="1295"/>
      <c r="C107" s="1296"/>
      <c r="D107" s="3061"/>
      <c r="E107" s="3065"/>
      <c r="F107" s="3066"/>
      <c r="G107" s="2985"/>
      <c r="H107" s="3010"/>
      <c r="I107" s="3011"/>
      <c r="J107" s="2853"/>
      <c r="K107" s="2977"/>
      <c r="L107" s="2851"/>
      <c r="M107" s="2853"/>
      <c r="N107" s="2867"/>
      <c r="O107" s="2952"/>
      <c r="P107" s="3053"/>
      <c r="Q107" s="2849"/>
      <c r="R107" s="3045"/>
      <c r="S107" s="3058"/>
      <c r="T107" s="2849"/>
      <c r="U107" s="2862"/>
      <c r="V107" s="1314" t="s">
        <v>1365</v>
      </c>
      <c r="W107" s="1407">
        <v>30000000</v>
      </c>
      <c r="X107" s="1336"/>
      <c r="Y107" s="1336"/>
      <c r="Z107" s="2955"/>
      <c r="AA107" s="3071"/>
      <c r="AB107" s="3094"/>
      <c r="AC107" s="3081"/>
      <c r="AD107" s="3081"/>
      <c r="AE107" s="3081"/>
      <c r="AF107" s="3081"/>
      <c r="AG107" s="3081"/>
      <c r="AH107" s="3081"/>
      <c r="AI107" s="3081"/>
      <c r="AJ107" s="3081"/>
      <c r="AK107" s="3081"/>
      <c r="AL107" s="3081"/>
      <c r="AM107" s="3081"/>
      <c r="AN107" s="3084"/>
      <c r="AO107" s="1404"/>
      <c r="AP107" s="3084"/>
      <c r="AQ107" s="1404"/>
      <c r="AR107" s="1405"/>
      <c r="AS107" s="1405"/>
      <c r="AT107" s="3084"/>
      <c r="AU107" s="1404"/>
      <c r="AV107" s="1405"/>
      <c r="AW107" s="1405"/>
      <c r="AX107" s="1405"/>
      <c r="AY107" s="1405"/>
      <c r="AZ107" s="3077"/>
      <c r="BA107" s="3077"/>
      <c r="BB107" s="3077"/>
      <c r="BC107" s="3022"/>
      <c r="BD107" s="3077"/>
      <c r="BE107" s="3077"/>
      <c r="BF107" s="1390">
        <v>42750</v>
      </c>
      <c r="BG107" s="1390">
        <v>42750</v>
      </c>
      <c r="BH107" s="1399">
        <v>42993</v>
      </c>
      <c r="BI107" s="1399">
        <v>42993</v>
      </c>
      <c r="BJ107" s="3074"/>
    </row>
    <row r="108" spans="1:62" ht="24" customHeight="1" x14ac:dyDescent="0.2">
      <c r="A108" s="1295"/>
      <c r="B108" s="1295"/>
      <c r="C108" s="1296"/>
      <c r="D108" s="3061"/>
      <c r="E108" s="3065"/>
      <c r="F108" s="3066"/>
      <c r="G108" s="2985"/>
      <c r="H108" s="3010"/>
      <c r="I108" s="3011"/>
      <c r="J108" s="2853"/>
      <c r="K108" s="2977"/>
      <c r="L108" s="2851"/>
      <c r="M108" s="2853"/>
      <c r="N108" s="2867"/>
      <c r="O108" s="2952"/>
      <c r="P108" s="3053"/>
      <c r="Q108" s="2849"/>
      <c r="R108" s="3045"/>
      <c r="S108" s="3058"/>
      <c r="T108" s="2849"/>
      <c r="U108" s="2862"/>
      <c r="V108" s="1314" t="s">
        <v>1366</v>
      </c>
      <c r="W108" s="1407">
        <v>10000000</v>
      </c>
      <c r="X108" s="1336"/>
      <c r="Y108" s="1336"/>
      <c r="Z108" s="2955"/>
      <c r="AA108" s="3071"/>
      <c r="AB108" s="3094"/>
      <c r="AC108" s="3081"/>
      <c r="AD108" s="3081"/>
      <c r="AE108" s="3081"/>
      <c r="AF108" s="3081"/>
      <c r="AG108" s="3081"/>
      <c r="AH108" s="3081"/>
      <c r="AI108" s="3081"/>
      <c r="AJ108" s="3081"/>
      <c r="AK108" s="3081"/>
      <c r="AL108" s="3081"/>
      <c r="AM108" s="3081"/>
      <c r="AN108" s="3084"/>
      <c r="AO108" s="1404"/>
      <c r="AP108" s="3084"/>
      <c r="AQ108" s="1404"/>
      <c r="AR108" s="1405"/>
      <c r="AS108" s="1405"/>
      <c r="AT108" s="3084"/>
      <c r="AU108" s="1404"/>
      <c r="AV108" s="1405"/>
      <c r="AW108" s="1405"/>
      <c r="AX108" s="1405"/>
      <c r="AY108" s="1405"/>
      <c r="AZ108" s="3077"/>
      <c r="BA108" s="3077"/>
      <c r="BB108" s="3077"/>
      <c r="BC108" s="3022"/>
      <c r="BD108" s="3077"/>
      <c r="BE108" s="3077"/>
      <c r="BF108" s="1390">
        <v>42814</v>
      </c>
      <c r="BG108" s="1390">
        <v>42814</v>
      </c>
      <c r="BH108" s="1399">
        <v>42845</v>
      </c>
      <c r="BI108" s="1399">
        <v>42845</v>
      </c>
      <c r="BJ108" s="3074"/>
    </row>
    <row r="109" spans="1:62" ht="14.25" customHeight="1" x14ac:dyDescent="0.2">
      <c r="A109" s="1295"/>
      <c r="B109" s="1295"/>
      <c r="C109" s="1296"/>
      <c r="D109" s="3061"/>
      <c r="E109" s="3065"/>
      <c r="F109" s="3066"/>
      <c r="G109" s="2985"/>
      <c r="H109" s="3010"/>
      <c r="I109" s="3011"/>
      <c r="J109" s="2853"/>
      <c r="K109" s="2977"/>
      <c r="L109" s="2851"/>
      <c r="M109" s="2853"/>
      <c r="N109" s="2867"/>
      <c r="O109" s="2952"/>
      <c r="P109" s="3053"/>
      <c r="Q109" s="2849"/>
      <c r="R109" s="3045"/>
      <c r="S109" s="3058"/>
      <c r="T109" s="2849"/>
      <c r="U109" s="2862"/>
      <c r="V109" s="1314" t="s">
        <v>1367</v>
      </c>
      <c r="W109" s="1407">
        <v>10000000</v>
      </c>
      <c r="X109" s="1336"/>
      <c r="Y109" s="1336"/>
      <c r="Z109" s="2955"/>
      <c r="AA109" s="3071"/>
      <c r="AB109" s="3094"/>
      <c r="AC109" s="3081"/>
      <c r="AD109" s="3081"/>
      <c r="AE109" s="3081"/>
      <c r="AF109" s="3081"/>
      <c r="AG109" s="3081"/>
      <c r="AH109" s="3081"/>
      <c r="AI109" s="3081"/>
      <c r="AJ109" s="3081"/>
      <c r="AK109" s="3081"/>
      <c r="AL109" s="3081"/>
      <c r="AM109" s="3081"/>
      <c r="AN109" s="3084"/>
      <c r="AO109" s="1404"/>
      <c r="AP109" s="3084"/>
      <c r="AQ109" s="1404"/>
      <c r="AR109" s="1405"/>
      <c r="AS109" s="1405"/>
      <c r="AT109" s="3084"/>
      <c r="AU109" s="1404"/>
      <c r="AV109" s="1405"/>
      <c r="AW109" s="1405"/>
      <c r="AX109" s="1405"/>
      <c r="AY109" s="1405"/>
      <c r="AZ109" s="3077"/>
      <c r="BA109" s="3077"/>
      <c r="BB109" s="3077"/>
      <c r="BC109" s="3022"/>
      <c r="BD109" s="3077"/>
      <c r="BE109" s="3077"/>
      <c r="BF109" s="1390">
        <v>42814</v>
      </c>
      <c r="BG109" s="1390">
        <v>42814</v>
      </c>
      <c r="BH109" s="1399">
        <v>42845</v>
      </c>
      <c r="BI109" s="1399">
        <v>42845</v>
      </c>
      <c r="BJ109" s="3074"/>
    </row>
    <row r="110" spans="1:62" ht="15" x14ac:dyDescent="0.2">
      <c r="A110" s="1295"/>
      <c r="B110" s="1295"/>
      <c r="C110" s="1296"/>
      <c r="D110" s="3061"/>
      <c r="E110" s="3065"/>
      <c r="F110" s="3066"/>
      <c r="G110" s="2985"/>
      <c r="H110" s="3010"/>
      <c r="I110" s="3011"/>
      <c r="J110" s="2853"/>
      <c r="K110" s="2977"/>
      <c r="L110" s="2851"/>
      <c r="M110" s="2853"/>
      <c r="N110" s="2867"/>
      <c r="O110" s="2952"/>
      <c r="P110" s="3053"/>
      <c r="Q110" s="2849"/>
      <c r="R110" s="3045"/>
      <c r="S110" s="3058"/>
      <c r="T110" s="2849"/>
      <c r="U110" s="2862"/>
      <c r="V110" s="1314" t="s">
        <v>1368</v>
      </c>
      <c r="W110" s="1407">
        <v>4000000</v>
      </c>
      <c r="X110" s="1336"/>
      <c r="Y110" s="1336"/>
      <c r="Z110" s="2955"/>
      <c r="AA110" s="3071"/>
      <c r="AB110" s="3094"/>
      <c r="AC110" s="3081"/>
      <c r="AD110" s="3081"/>
      <c r="AE110" s="3081"/>
      <c r="AF110" s="3081"/>
      <c r="AG110" s="3081"/>
      <c r="AH110" s="3081"/>
      <c r="AI110" s="3081"/>
      <c r="AJ110" s="3081"/>
      <c r="AK110" s="3081"/>
      <c r="AL110" s="3081"/>
      <c r="AM110" s="3081"/>
      <c r="AN110" s="3084"/>
      <c r="AO110" s="1404"/>
      <c r="AP110" s="3084"/>
      <c r="AQ110" s="1404"/>
      <c r="AR110" s="1405"/>
      <c r="AS110" s="1405"/>
      <c r="AT110" s="3084"/>
      <c r="AU110" s="1404"/>
      <c r="AV110" s="1405"/>
      <c r="AW110" s="1405"/>
      <c r="AX110" s="1405"/>
      <c r="AY110" s="1405"/>
      <c r="AZ110" s="3077"/>
      <c r="BA110" s="3077"/>
      <c r="BB110" s="3077"/>
      <c r="BC110" s="3022"/>
      <c r="BD110" s="3077"/>
      <c r="BE110" s="3077"/>
      <c r="BF110" s="1390">
        <v>42906</v>
      </c>
      <c r="BG110" s="1390">
        <v>42906</v>
      </c>
      <c r="BH110" s="1399">
        <v>42936</v>
      </c>
      <c r="BI110" s="1399">
        <v>42936</v>
      </c>
      <c r="BJ110" s="3074"/>
    </row>
    <row r="111" spans="1:62" ht="28.5" x14ac:dyDescent="0.2">
      <c r="A111" s="1295"/>
      <c r="B111" s="1295"/>
      <c r="C111" s="1296"/>
      <c r="D111" s="3061"/>
      <c r="E111" s="3065"/>
      <c r="F111" s="3066"/>
      <c r="G111" s="2985"/>
      <c r="H111" s="3010"/>
      <c r="I111" s="3011"/>
      <c r="J111" s="3016"/>
      <c r="K111" s="2978"/>
      <c r="L111" s="2882"/>
      <c r="M111" s="3016"/>
      <c r="N111" s="2867"/>
      <c r="O111" s="2952"/>
      <c r="P111" s="3053"/>
      <c r="Q111" s="2849"/>
      <c r="R111" s="3046"/>
      <c r="S111" s="3059"/>
      <c r="T111" s="2849"/>
      <c r="U111" s="2862"/>
      <c r="V111" s="1314" t="s">
        <v>1369</v>
      </c>
      <c r="W111" s="1407">
        <v>9400000</v>
      </c>
      <c r="X111" s="1336"/>
      <c r="Y111" s="1336"/>
      <c r="Z111" s="2955"/>
      <c r="AA111" s="3071"/>
      <c r="AB111" s="3094"/>
      <c r="AC111" s="3081"/>
      <c r="AD111" s="3081"/>
      <c r="AE111" s="3081"/>
      <c r="AF111" s="3081"/>
      <c r="AG111" s="3081"/>
      <c r="AH111" s="3081"/>
      <c r="AI111" s="3081"/>
      <c r="AJ111" s="3081"/>
      <c r="AK111" s="3081"/>
      <c r="AL111" s="3081"/>
      <c r="AM111" s="3081"/>
      <c r="AN111" s="3084"/>
      <c r="AO111" s="1404"/>
      <c r="AP111" s="3084"/>
      <c r="AQ111" s="1404"/>
      <c r="AR111" s="1405"/>
      <c r="AS111" s="1405"/>
      <c r="AT111" s="3084"/>
      <c r="AU111" s="1404"/>
      <c r="AV111" s="1405"/>
      <c r="AW111" s="1405"/>
      <c r="AX111" s="1405"/>
      <c r="AY111" s="1405"/>
      <c r="AZ111" s="3078"/>
      <c r="BA111" s="3078"/>
      <c r="BB111" s="3078"/>
      <c r="BC111" s="3023"/>
      <c r="BD111" s="3077"/>
      <c r="BE111" s="3077"/>
      <c r="BF111" s="1390">
        <v>42786</v>
      </c>
      <c r="BG111" s="1390">
        <v>42786</v>
      </c>
      <c r="BH111" s="1399">
        <v>42936</v>
      </c>
      <c r="BI111" s="1399">
        <v>42936</v>
      </c>
      <c r="BJ111" s="3074"/>
    </row>
    <row r="112" spans="1:62" ht="42.75" x14ac:dyDescent="0.2">
      <c r="A112" s="1295"/>
      <c r="B112" s="1295"/>
      <c r="C112" s="1296"/>
      <c r="D112" s="3061"/>
      <c r="E112" s="3065"/>
      <c r="F112" s="3066"/>
      <c r="G112" s="2985"/>
      <c r="H112" s="3010"/>
      <c r="I112" s="3011"/>
      <c r="J112" s="2852">
        <v>239</v>
      </c>
      <c r="K112" s="2976" t="s">
        <v>1370</v>
      </c>
      <c r="L112" s="3014" t="s">
        <v>18</v>
      </c>
      <c r="M112" s="2852">
        <v>6</v>
      </c>
      <c r="N112" s="2867">
        <v>0</v>
      </c>
      <c r="O112" s="2952"/>
      <c r="P112" s="3053"/>
      <c r="Q112" s="2849"/>
      <c r="R112" s="3044">
        <f>+S112/507500000</f>
        <v>0.11828177339901477</v>
      </c>
      <c r="S112" s="3057">
        <v>60028000</v>
      </c>
      <c r="T112" s="2849"/>
      <c r="U112" s="2862"/>
      <c r="V112" s="1325" t="s">
        <v>1371</v>
      </c>
      <c r="W112" s="1407">
        <v>25000000</v>
      </c>
      <c r="X112" s="1336"/>
      <c r="Y112" s="1336"/>
      <c r="Z112" s="2955"/>
      <c r="AA112" s="3071"/>
      <c r="AB112" s="3094"/>
      <c r="AC112" s="3081"/>
      <c r="AD112" s="3081"/>
      <c r="AE112" s="3081"/>
      <c r="AF112" s="3081"/>
      <c r="AG112" s="3081"/>
      <c r="AH112" s="3081"/>
      <c r="AI112" s="3081"/>
      <c r="AJ112" s="3081"/>
      <c r="AK112" s="3081"/>
      <c r="AL112" s="3081"/>
      <c r="AM112" s="3081"/>
      <c r="AN112" s="3084"/>
      <c r="AO112" s="1404"/>
      <c r="AP112" s="3084"/>
      <c r="AQ112" s="1404"/>
      <c r="AR112" s="1405"/>
      <c r="AS112" s="1405"/>
      <c r="AT112" s="3084"/>
      <c r="AU112" s="1404"/>
      <c r="AV112" s="1405"/>
      <c r="AW112" s="1405"/>
      <c r="AX112" s="1405"/>
      <c r="AY112" s="1405"/>
      <c r="AZ112" s="3076"/>
      <c r="BA112" s="3076"/>
      <c r="BB112" s="3076"/>
      <c r="BC112" s="3021"/>
      <c r="BD112" s="3077"/>
      <c r="BE112" s="3077"/>
      <c r="BF112" s="1390">
        <v>42750</v>
      </c>
      <c r="BG112" s="1390">
        <v>42750</v>
      </c>
      <c r="BH112" s="1399">
        <v>42993</v>
      </c>
      <c r="BI112" s="1399">
        <v>42993</v>
      </c>
      <c r="BJ112" s="3074"/>
    </row>
    <row r="113" spans="1:62" ht="28.5" x14ac:dyDescent="0.2">
      <c r="A113" s="1295"/>
      <c r="B113" s="1295"/>
      <c r="C113" s="1296"/>
      <c r="D113" s="3061"/>
      <c r="E113" s="3065"/>
      <c r="F113" s="3066"/>
      <c r="G113" s="2985"/>
      <c r="H113" s="3010"/>
      <c r="I113" s="3011"/>
      <c r="J113" s="3016"/>
      <c r="K113" s="2978"/>
      <c r="L113" s="3015"/>
      <c r="M113" s="3016"/>
      <c r="N113" s="2867"/>
      <c r="O113" s="2952"/>
      <c r="P113" s="3053"/>
      <c r="Q113" s="2849"/>
      <c r="R113" s="3046"/>
      <c r="S113" s="3059"/>
      <c r="T113" s="2849"/>
      <c r="U113" s="2862"/>
      <c r="V113" s="1314" t="s">
        <v>1372</v>
      </c>
      <c r="W113" s="1407">
        <v>35028000</v>
      </c>
      <c r="X113" s="1336"/>
      <c r="Y113" s="1336"/>
      <c r="Z113" s="2955"/>
      <c r="AA113" s="3071"/>
      <c r="AB113" s="3094"/>
      <c r="AC113" s="3081"/>
      <c r="AD113" s="3081"/>
      <c r="AE113" s="3081"/>
      <c r="AF113" s="3081"/>
      <c r="AG113" s="3081"/>
      <c r="AH113" s="3081"/>
      <c r="AI113" s="3081"/>
      <c r="AJ113" s="3081"/>
      <c r="AK113" s="3081"/>
      <c r="AL113" s="3081"/>
      <c r="AM113" s="3081"/>
      <c r="AN113" s="3084"/>
      <c r="AO113" s="1404"/>
      <c r="AP113" s="3084"/>
      <c r="AQ113" s="1404"/>
      <c r="AR113" s="1405"/>
      <c r="AS113" s="1405"/>
      <c r="AT113" s="3084"/>
      <c r="AU113" s="1404"/>
      <c r="AV113" s="1405"/>
      <c r="AW113" s="1405"/>
      <c r="AX113" s="1405"/>
      <c r="AY113" s="1405"/>
      <c r="AZ113" s="3078"/>
      <c r="BA113" s="3078"/>
      <c r="BB113" s="3078"/>
      <c r="BC113" s="3023"/>
      <c r="BD113" s="3077"/>
      <c r="BE113" s="3077"/>
      <c r="BF113" s="1390">
        <v>42814</v>
      </c>
      <c r="BG113" s="1390">
        <v>42814</v>
      </c>
      <c r="BH113" s="1399">
        <v>43089</v>
      </c>
      <c r="BI113" s="1399">
        <v>43089</v>
      </c>
      <c r="BJ113" s="3074"/>
    </row>
    <row r="114" spans="1:62" ht="26.25" customHeight="1" x14ac:dyDescent="0.2">
      <c r="A114" s="1295"/>
      <c r="B114" s="1295"/>
      <c r="C114" s="1296"/>
      <c r="D114" s="3061"/>
      <c r="E114" s="3065"/>
      <c r="F114" s="3066"/>
      <c r="G114" s="2985"/>
      <c r="H114" s="3010"/>
      <c r="I114" s="3011"/>
      <c r="J114" s="2852">
        <v>240</v>
      </c>
      <c r="K114" s="2976" t="s">
        <v>1373</v>
      </c>
      <c r="L114" s="3090" t="s">
        <v>18</v>
      </c>
      <c r="M114" s="2852">
        <v>1</v>
      </c>
      <c r="N114" s="3092">
        <v>9.0999999999999998E-2</v>
      </c>
      <c r="O114" s="2952"/>
      <c r="P114" s="3053"/>
      <c r="Q114" s="2849"/>
      <c r="R114" s="3044">
        <f>+S114/507500000</f>
        <v>0.4496</v>
      </c>
      <c r="S114" s="3057">
        <v>228172000</v>
      </c>
      <c r="T114" s="2849"/>
      <c r="U114" s="2862"/>
      <c r="V114" s="1314" t="s">
        <v>1374</v>
      </c>
      <c r="W114" s="1336">
        <v>6900000</v>
      </c>
      <c r="X114" s="1336"/>
      <c r="Y114" s="1336"/>
      <c r="Z114" s="2955"/>
      <c r="AA114" s="3071"/>
      <c r="AB114" s="3094"/>
      <c r="AC114" s="3081"/>
      <c r="AD114" s="3081"/>
      <c r="AE114" s="3081"/>
      <c r="AF114" s="3081"/>
      <c r="AG114" s="3081"/>
      <c r="AH114" s="3081"/>
      <c r="AI114" s="3081"/>
      <c r="AJ114" s="3081"/>
      <c r="AK114" s="3081"/>
      <c r="AL114" s="3081"/>
      <c r="AM114" s="3081"/>
      <c r="AN114" s="3084"/>
      <c r="AO114" s="1404"/>
      <c r="AP114" s="3084"/>
      <c r="AQ114" s="1404"/>
      <c r="AR114" s="1405"/>
      <c r="AS114" s="1405"/>
      <c r="AT114" s="3084"/>
      <c r="AU114" s="1404"/>
      <c r="AV114" s="1405"/>
      <c r="AW114" s="1405"/>
      <c r="AX114" s="1405"/>
      <c r="AY114" s="1405"/>
      <c r="AZ114" s="3076">
        <v>8</v>
      </c>
      <c r="BA114" s="3076">
        <v>80400000</v>
      </c>
      <c r="BB114" s="3076">
        <v>20900000</v>
      </c>
      <c r="BC114" s="3021">
        <f>BB114/BA114</f>
        <v>0.25995024875621892</v>
      </c>
      <c r="BD114" s="3077"/>
      <c r="BE114" s="3077"/>
      <c r="BF114" s="1390">
        <v>42814</v>
      </c>
      <c r="BG114" s="1390">
        <v>42814</v>
      </c>
      <c r="BH114" s="1399">
        <v>42870</v>
      </c>
      <c r="BI114" s="1399">
        <v>42870</v>
      </c>
      <c r="BJ114" s="3074"/>
    </row>
    <row r="115" spans="1:62" ht="43.5" customHeight="1" x14ac:dyDescent="0.2">
      <c r="A115" s="1295"/>
      <c r="B115" s="1295"/>
      <c r="C115" s="1296"/>
      <c r="D115" s="3061"/>
      <c r="E115" s="3065"/>
      <c r="F115" s="3066"/>
      <c r="G115" s="2985"/>
      <c r="H115" s="3010"/>
      <c r="I115" s="3011"/>
      <c r="J115" s="2853"/>
      <c r="K115" s="2977"/>
      <c r="L115" s="3091"/>
      <c r="M115" s="2853"/>
      <c r="N115" s="3092"/>
      <c r="O115" s="2952"/>
      <c r="P115" s="3053"/>
      <c r="Q115" s="2849"/>
      <c r="R115" s="3045"/>
      <c r="S115" s="3058"/>
      <c r="T115" s="2849"/>
      <c r="U115" s="2862"/>
      <c r="V115" s="1325" t="s">
        <v>1375</v>
      </c>
      <c r="W115" s="1336">
        <v>26672000</v>
      </c>
      <c r="X115" s="1336">
        <f>18000000+8672000</f>
        <v>26672000</v>
      </c>
      <c r="Y115" s="1336">
        <v>6000000</v>
      </c>
      <c r="Z115" s="2955"/>
      <c r="AA115" s="3071"/>
      <c r="AB115" s="3094"/>
      <c r="AC115" s="3081"/>
      <c r="AD115" s="3081"/>
      <c r="AE115" s="3081"/>
      <c r="AF115" s="3081"/>
      <c r="AG115" s="3081"/>
      <c r="AH115" s="3081"/>
      <c r="AI115" s="3081"/>
      <c r="AJ115" s="3081"/>
      <c r="AK115" s="3081"/>
      <c r="AL115" s="3081"/>
      <c r="AM115" s="3081"/>
      <c r="AN115" s="3084"/>
      <c r="AO115" s="1404"/>
      <c r="AP115" s="3084"/>
      <c r="AQ115" s="1404"/>
      <c r="AR115" s="1405"/>
      <c r="AS115" s="1405"/>
      <c r="AT115" s="3084"/>
      <c r="AU115" s="1404"/>
      <c r="AV115" s="1405"/>
      <c r="AW115" s="1405"/>
      <c r="AX115" s="1405"/>
      <c r="AY115" s="1405"/>
      <c r="AZ115" s="3077"/>
      <c r="BA115" s="3077"/>
      <c r="BB115" s="3077"/>
      <c r="BC115" s="3022"/>
      <c r="BD115" s="3077"/>
      <c r="BE115" s="3077"/>
      <c r="BF115" s="1390">
        <v>42750</v>
      </c>
      <c r="BG115" s="1390">
        <v>42750</v>
      </c>
      <c r="BH115" s="1399">
        <v>42993</v>
      </c>
      <c r="BI115" s="1399">
        <v>42993</v>
      </c>
      <c r="BJ115" s="3074"/>
    </row>
    <row r="116" spans="1:62" ht="28.5" x14ac:dyDescent="0.2">
      <c r="A116" s="1295"/>
      <c r="B116" s="1295"/>
      <c r="C116" s="1296"/>
      <c r="D116" s="3061"/>
      <c r="E116" s="3065"/>
      <c r="F116" s="3066"/>
      <c r="G116" s="2985"/>
      <c r="H116" s="3010"/>
      <c r="I116" s="3011"/>
      <c r="J116" s="2853"/>
      <c r="K116" s="2977"/>
      <c r="L116" s="3091"/>
      <c r="M116" s="2853"/>
      <c r="N116" s="3092"/>
      <c r="O116" s="2952"/>
      <c r="P116" s="3053"/>
      <c r="Q116" s="2849"/>
      <c r="R116" s="3045"/>
      <c r="S116" s="3058"/>
      <c r="T116" s="2849"/>
      <c r="U116" s="2862"/>
      <c r="V116" s="1325" t="s">
        <v>1376</v>
      </c>
      <c r="W116" s="1336">
        <v>25000000</v>
      </c>
      <c r="X116" s="1336">
        <v>15000000</v>
      </c>
      <c r="Y116" s="1336">
        <v>5000000</v>
      </c>
      <c r="Z116" s="2955"/>
      <c r="AA116" s="3071"/>
      <c r="AB116" s="3094"/>
      <c r="AC116" s="3081"/>
      <c r="AD116" s="3081"/>
      <c r="AE116" s="3081"/>
      <c r="AF116" s="3081"/>
      <c r="AG116" s="3081"/>
      <c r="AH116" s="3081"/>
      <c r="AI116" s="3081"/>
      <c r="AJ116" s="3081"/>
      <c r="AK116" s="3081"/>
      <c r="AL116" s="3081"/>
      <c r="AM116" s="3081"/>
      <c r="AN116" s="3084"/>
      <c r="AO116" s="1404"/>
      <c r="AP116" s="3084"/>
      <c r="AQ116" s="1404"/>
      <c r="AR116" s="1405"/>
      <c r="AS116" s="1405"/>
      <c r="AT116" s="3084"/>
      <c r="AU116" s="1404"/>
      <c r="AV116" s="1405"/>
      <c r="AW116" s="1405"/>
      <c r="AX116" s="1405"/>
      <c r="AY116" s="1405"/>
      <c r="AZ116" s="3077"/>
      <c r="BA116" s="3077"/>
      <c r="BB116" s="3077"/>
      <c r="BC116" s="3022"/>
      <c r="BD116" s="3077"/>
      <c r="BE116" s="3077"/>
      <c r="BF116" s="1390">
        <v>42750</v>
      </c>
      <c r="BG116" s="1390">
        <v>42750</v>
      </c>
      <c r="BH116" s="1399">
        <v>42993</v>
      </c>
      <c r="BI116" s="1399">
        <v>42993</v>
      </c>
      <c r="BJ116" s="3074"/>
    </row>
    <row r="117" spans="1:62" ht="28.5" x14ac:dyDescent="0.2">
      <c r="A117" s="1295"/>
      <c r="B117" s="1295"/>
      <c r="C117" s="1296"/>
      <c r="D117" s="3061"/>
      <c r="E117" s="3065"/>
      <c r="F117" s="3066"/>
      <c r="G117" s="2985"/>
      <c r="H117" s="3010"/>
      <c r="I117" s="3011"/>
      <c r="J117" s="2853"/>
      <c r="K117" s="2977"/>
      <c r="L117" s="3091"/>
      <c r="M117" s="2853"/>
      <c r="N117" s="3092"/>
      <c r="O117" s="2952"/>
      <c r="P117" s="3053"/>
      <c r="Q117" s="2849"/>
      <c r="R117" s="3045"/>
      <c r="S117" s="3058"/>
      <c r="T117" s="2849"/>
      <c r="U117" s="2862"/>
      <c r="V117" s="1325" t="s">
        <v>1377</v>
      </c>
      <c r="W117" s="1336">
        <v>12100000</v>
      </c>
      <c r="X117" s="1336">
        <f>2328000+3000000</f>
        <v>5328000</v>
      </c>
      <c r="Y117" s="1336">
        <v>2328000</v>
      </c>
      <c r="Z117" s="2955"/>
      <c r="AA117" s="3071"/>
      <c r="AB117" s="3094"/>
      <c r="AC117" s="3081"/>
      <c r="AD117" s="3081"/>
      <c r="AE117" s="3081"/>
      <c r="AF117" s="3081"/>
      <c r="AG117" s="3081"/>
      <c r="AH117" s="3081"/>
      <c r="AI117" s="3081"/>
      <c r="AJ117" s="3081"/>
      <c r="AK117" s="3081"/>
      <c r="AL117" s="3081"/>
      <c r="AM117" s="3081"/>
      <c r="AN117" s="3084"/>
      <c r="AO117" s="1404"/>
      <c r="AP117" s="3084"/>
      <c r="AQ117" s="1404"/>
      <c r="AR117" s="1405"/>
      <c r="AS117" s="1405"/>
      <c r="AT117" s="3084"/>
      <c r="AU117" s="1404"/>
      <c r="AV117" s="1405"/>
      <c r="AW117" s="1405"/>
      <c r="AX117" s="1405"/>
      <c r="AY117" s="1405"/>
      <c r="AZ117" s="3077"/>
      <c r="BA117" s="3077"/>
      <c r="BB117" s="3077"/>
      <c r="BC117" s="3022"/>
      <c r="BD117" s="3077"/>
      <c r="BE117" s="3077"/>
      <c r="BF117" s="1390">
        <v>42750</v>
      </c>
      <c r="BG117" s="1390">
        <v>42750</v>
      </c>
      <c r="BH117" s="1399">
        <v>42993</v>
      </c>
      <c r="BI117" s="1399">
        <v>42993</v>
      </c>
      <c r="BJ117" s="3074"/>
    </row>
    <row r="118" spans="1:62" ht="28.5" x14ac:dyDescent="0.2">
      <c r="A118" s="1295"/>
      <c r="B118" s="1295"/>
      <c r="C118" s="1296"/>
      <c r="D118" s="3061"/>
      <c r="E118" s="3065"/>
      <c r="F118" s="3066"/>
      <c r="G118" s="2985"/>
      <c r="H118" s="3010"/>
      <c r="I118" s="3011"/>
      <c r="J118" s="2853"/>
      <c r="K118" s="2977"/>
      <c r="L118" s="3091"/>
      <c r="M118" s="2853"/>
      <c r="N118" s="3092"/>
      <c r="O118" s="2952"/>
      <c r="P118" s="3053"/>
      <c r="Q118" s="2849"/>
      <c r="R118" s="3045"/>
      <c r="S118" s="3058"/>
      <c r="T118" s="2849"/>
      <c r="U118" s="2862"/>
      <c r="V118" s="1325" t="s">
        <v>1378</v>
      </c>
      <c r="W118" s="1336">
        <v>25000000</v>
      </c>
      <c r="X118" s="1336">
        <v>8400000</v>
      </c>
      <c r="Y118" s="1336">
        <v>1400000</v>
      </c>
      <c r="Z118" s="2955"/>
      <c r="AA118" s="3071"/>
      <c r="AB118" s="3094"/>
      <c r="AC118" s="3081"/>
      <c r="AD118" s="3081"/>
      <c r="AE118" s="3081"/>
      <c r="AF118" s="3081"/>
      <c r="AG118" s="3081"/>
      <c r="AH118" s="3081"/>
      <c r="AI118" s="3081"/>
      <c r="AJ118" s="3081"/>
      <c r="AK118" s="3081"/>
      <c r="AL118" s="3081"/>
      <c r="AM118" s="3081"/>
      <c r="AN118" s="3084"/>
      <c r="AO118" s="1404"/>
      <c r="AP118" s="3084"/>
      <c r="AQ118" s="1404"/>
      <c r="AR118" s="1405"/>
      <c r="AS118" s="1405"/>
      <c r="AT118" s="3084"/>
      <c r="AU118" s="1404"/>
      <c r="AV118" s="1405"/>
      <c r="AW118" s="1405"/>
      <c r="AX118" s="1405"/>
      <c r="AY118" s="1405"/>
      <c r="AZ118" s="3077"/>
      <c r="BA118" s="3077"/>
      <c r="BB118" s="3077"/>
      <c r="BC118" s="3022"/>
      <c r="BD118" s="3077"/>
      <c r="BE118" s="3077"/>
      <c r="BF118" s="1390">
        <v>42750</v>
      </c>
      <c r="BG118" s="1390">
        <v>42750</v>
      </c>
      <c r="BH118" s="1399">
        <v>42993</v>
      </c>
      <c r="BI118" s="1399">
        <v>42993</v>
      </c>
      <c r="BJ118" s="3074"/>
    </row>
    <row r="119" spans="1:62" ht="31.5" customHeight="1" x14ac:dyDescent="0.2">
      <c r="A119" s="1295"/>
      <c r="B119" s="1295"/>
      <c r="C119" s="1296"/>
      <c r="D119" s="3061"/>
      <c r="E119" s="3065"/>
      <c r="F119" s="3066"/>
      <c r="G119" s="2985"/>
      <c r="H119" s="3010"/>
      <c r="I119" s="3011"/>
      <c r="J119" s="2853"/>
      <c r="K119" s="2977"/>
      <c r="L119" s="3091"/>
      <c r="M119" s="2853"/>
      <c r="N119" s="3092"/>
      <c r="O119" s="2952"/>
      <c r="P119" s="3053"/>
      <c r="Q119" s="2849"/>
      <c r="R119" s="3045"/>
      <c r="S119" s="3058"/>
      <c r="T119" s="2849"/>
      <c r="U119" s="2862"/>
      <c r="V119" s="1325" t="s">
        <v>1379</v>
      </c>
      <c r="W119" s="1336">
        <v>25000000</v>
      </c>
      <c r="X119" s="1336">
        <f>15000000+10000000</f>
        <v>25000000</v>
      </c>
      <c r="Y119" s="1336">
        <f>5000000+1172000</f>
        <v>6172000</v>
      </c>
      <c r="Z119" s="2955"/>
      <c r="AA119" s="3071"/>
      <c r="AB119" s="3094"/>
      <c r="AC119" s="3081"/>
      <c r="AD119" s="3081"/>
      <c r="AE119" s="3081"/>
      <c r="AF119" s="3081"/>
      <c r="AG119" s="3081"/>
      <c r="AH119" s="3081"/>
      <c r="AI119" s="3081"/>
      <c r="AJ119" s="3081"/>
      <c r="AK119" s="3081"/>
      <c r="AL119" s="3081"/>
      <c r="AM119" s="3081"/>
      <c r="AN119" s="3084"/>
      <c r="AO119" s="1404"/>
      <c r="AP119" s="3084"/>
      <c r="AQ119" s="1404"/>
      <c r="AR119" s="1405"/>
      <c r="AS119" s="1405"/>
      <c r="AT119" s="3084"/>
      <c r="AU119" s="1404"/>
      <c r="AV119" s="1405"/>
      <c r="AW119" s="1405"/>
      <c r="AX119" s="1405"/>
      <c r="AY119" s="1405"/>
      <c r="AZ119" s="3077"/>
      <c r="BA119" s="3077"/>
      <c r="BB119" s="3077"/>
      <c r="BC119" s="3022"/>
      <c r="BD119" s="3077"/>
      <c r="BE119" s="3077"/>
      <c r="BF119" s="1390">
        <v>42750</v>
      </c>
      <c r="BG119" s="1390">
        <v>42750</v>
      </c>
      <c r="BH119" s="1399">
        <v>42993</v>
      </c>
      <c r="BI119" s="1399">
        <v>42993</v>
      </c>
      <c r="BJ119" s="3074"/>
    </row>
    <row r="120" spans="1:62" ht="22.5" customHeight="1" x14ac:dyDescent="0.2">
      <c r="A120" s="1295"/>
      <c r="B120" s="1295"/>
      <c r="C120" s="1296"/>
      <c r="D120" s="3061"/>
      <c r="E120" s="3065"/>
      <c r="F120" s="3066"/>
      <c r="G120" s="2985"/>
      <c r="H120" s="3010"/>
      <c r="I120" s="3011"/>
      <c r="J120" s="3016"/>
      <c r="K120" s="2978"/>
      <c r="L120" s="3091"/>
      <c r="M120" s="3016"/>
      <c r="N120" s="3092"/>
      <c r="O120" s="2937"/>
      <c r="P120" s="3054"/>
      <c r="Q120" s="2860"/>
      <c r="R120" s="3046"/>
      <c r="S120" s="3059"/>
      <c r="T120" s="2860"/>
      <c r="U120" s="2863"/>
      <c r="V120" s="1325" t="s">
        <v>1380</v>
      </c>
      <c r="W120" s="1336">
        <v>107500000</v>
      </c>
      <c r="X120" s="1336"/>
      <c r="Y120" s="1336"/>
      <c r="Z120" s="2956"/>
      <c r="AA120" s="3072"/>
      <c r="AB120" s="3095"/>
      <c r="AC120" s="3082"/>
      <c r="AD120" s="3082"/>
      <c r="AE120" s="3082"/>
      <c r="AF120" s="3082"/>
      <c r="AG120" s="3082"/>
      <c r="AH120" s="3082"/>
      <c r="AI120" s="3082"/>
      <c r="AJ120" s="3082"/>
      <c r="AK120" s="3082"/>
      <c r="AL120" s="3082"/>
      <c r="AM120" s="3082"/>
      <c r="AN120" s="3085"/>
      <c r="AO120" s="1408"/>
      <c r="AP120" s="3085"/>
      <c r="AQ120" s="1408"/>
      <c r="AR120" s="1409"/>
      <c r="AS120" s="1409"/>
      <c r="AT120" s="3085"/>
      <c r="AU120" s="1408"/>
      <c r="AV120" s="1409"/>
      <c r="AW120" s="1409"/>
      <c r="AX120" s="1409"/>
      <c r="AY120" s="1409"/>
      <c r="AZ120" s="3078"/>
      <c r="BA120" s="3078"/>
      <c r="BB120" s="3078"/>
      <c r="BC120" s="3023"/>
      <c r="BD120" s="3078"/>
      <c r="BE120" s="3078"/>
      <c r="BF120" s="1410">
        <v>42931</v>
      </c>
      <c r="BG120" s="1410">
        <v>42931</v>
      </c>
      <c r="BH120" s="1410">
        <v>43099</v>
      </c>
      <c r="BI120" s="1410">
        <v>43099</v>
      </c>
      <c r="BJ120" s="3075"/>
    </row>
    <row r="121" spans="1:62" s="192" customFormat="1" ht="25.5" customHeight="1" x14ac:dyDescent="0.2">
      <c r="A121" s="1295"/>
      <c r="B121" s="1295"/>
      <c r="C121" s="1296"/>
      <c r="D121" s="3061"/>
      <c r="E121" s="3065"/>
      <c r="F121" s="3066"/>
      <c r="G121" s="1297">
        <v>82</v>
      </c>
      <c r="H121" s="105" t="s">
        <v>1381</v>
      </c>
      <c r="I121" s="105"/>
      <c r="J121" s="105"/>
      <c r="K121" s="1298"/>
      <c r="L121" s="105"/>
      <c r="M121" s="105"/>
      <c r="N121" s="818"/>
      <c r="O121" s="818"/>
      <c r="P121" s="105"/>
      <c r="Q121" s="105"/>
      <c r="R121" s="1299"/>
      <c r="S121" s="1300"/>
      <c r="T121" s="73"/>
      <c r="U121" s="1298"/>
      <c r="V121" s="1298"/>
      <c r="W121" s="1301"/>
      <c r="X121" s="1301"/>
      <c r="Y121" s="1301"/>
      <c r="Z121" s="1301"/>
      <c r="AA121" s="1370"/>
      <c r="AB121" s="1301"/>
      <c r="AC121" s="1301"/>
      <c r="AD121" s="1301"/>
      <c r="AE121" s="1301"/>
      <c r="AF121" s="1301"/>
      <c r="AG121" s="1301"/>
      <c r="AH121" s="1301"/>
      <c r="AI121" s="1301"/>
      <c r="AJ121" s="1301"/>
      <c r="AK121" s="1301"/>
      <c r="AL121" s="1301"/>
      <c r="AM121" s="1301"/>
      <c r="AN121" s="1301"/>
      <c r="AO121" s="1301"/>
      <c r="AP121" s="1301"/>
      <c r="AQ121" s="1301"/>
      <c r="AR121" s="1301"/>
      <c r="AS121" s="1301"/>
      <c r="AT121" s="1301"/>
      <c r="AU121" s="1301"/>
      <c r="AV121" s="1301"/>
      <c r="AW121" s="1301"/>
      <c r="AX121" s="1301"/>
      <c r="AY121" s="1301"/>
      <c r="AZ121" s="1301"/>
      <c r="BA121" s="1301"/>
      <c r="BB121" s="1301"/>
      <c r="BC121" s="1302"/>
      <c r="BD121" s="1301"/>
      <c r="BE121" s="1301"/>
      <c r="BF121" s="1301"/>
      <c r="BG121" s="1301"/>
      <c r="BH121" s="1301"/>
      <c r="BI121" s="1301"/>
      <c r="BJ121" s="785"/>
    </row>
    <row r="122" spans="1:62" ht="28.5" customHeight="1" x14ac:dyDescent="0.2">
      <c r="A122" s="1295"/>
      <c r="B122" s="1295"/>
      <c r="C122" s="1296"/>
      <c r="D122" s="3061"/>
      <c r="E122" s="3065"/>
      <c r="F122" s="3066"/>
      <c r="G122" s="2984"/>
      <c r="H122" s="3086"/>
      <c r="I122" s="3087"/>
      <c r="J122" s="2852">
        <v>241</v>
      </c>
      <c r="K122" s="2976" t="s">
        <v>1382</v>
      </c>
      <c r="L122" s="2850" t="s">
        <v>18</v>
      </c>
      <c r="M122" s="3027">
        <v>1</v>
      </c>
      <c r="N122" s="3106">
        <v>8.5999999999999993E-2</v>
      </c>
      <c r="O122" s="2936" t="s">
        <v>1383</v>
      </c>
      <c r="P122" s="3052" t="s">
        <v>1384</v>
      </c>
      <c r="Q122" s="2848" t="s">
        <v>1385</v>
      </c>
      <c r="R122" s="3021">
        <f>+S122/90000000</f>
        <v>0.5625</v>
      </c>
      <c r="S122" s="3002">
        <v>50625000</v>
      </c>
      <c r="T122" s="2848" t="s">
        <v>1353</v>
      </c>
      <c r="U122" s="2861" t="s">
        <v>1386</v>
      </c>
      <c r="V122" s="1411" t="s">
        <v>1387</v>
      </c>
      <c r="W122" s="1336">
        <v>33525000</v>
      </c>
      <c r="X122" s="1336"/>
      <c r="Y122" s="1336"/>
      <c r="Z122" s="2954">
        <v>20</v>
      </c>
      <c r="AA122" s="3070" t="s">
        <v>1274</v>
      </c>
      <c r="AB122" s="3024">
        <v>1058</v>
      </c>
      <c r="AC122" s="3027">
        <v>155</v>
      </c>
      <c r="AD122" s="3027">
        <v>1191</v>
      </c>
      <c r="AE122" s="3027">
        <v>175</v>
      </c>
      <c r="AF122" s="3027">
        <v>453</v>
      </c>
      <c r="AG122" s="3027">
        <v>66</v>
      </c>
      <c r="AH122" s="3027">
        <v>1432</v>
      </c>
      <c r="AI122" s="3027">
        <v>210</v>
      </c>
      <c r="AJ122" s="3027">
        <v>3899</v>
      </c>
      <c r="AK122" s="3027">
        <v>572</v>
      </c>
      <c r="AL122" s="3027">
        <v>1342</v>
      </c>
      <c r="AM122" s="3027">
        <v>197</v>
      </c>
      <c r="AN122" s="3027"/>
      <c r="AO122" s="1398"/>
      <c r="AP122" s="2852"/>
      <c r="AQ122" s="1398"/>
      <c r="AR122" s="1383"/>
      <c r="AS122" s="1383"/>
      <c r="AT122" s="2852"/>
      <c r="AU122" s="1398"/>
      <c r="AV122" s="1383"/>
      <c r="AW122" s="1383"/>
      <c r="AX122" s="2893"/>
      <c r="AY122" s="1383"/>
      <c r="AZ122" s="2893">
        <v>1</v>
      </c>
      <c r="BA122" s="2893">
        <v>13200000</v>
      </c>
      <c r="BB122" s="2893">
        <v>4400000</v>
      </c>
      <c r="BC122" s="3021">
        <f>BB122/BA122</f>
        <v>0.33333333333333331</v>
      </c>
      <c r="BD122" s="2893">
        <v>20</v>
      </c>
      <c r="BE122" s="2889" t="s">
        <v>1357</v>
      </c>
      <c r="BF122" s="1390">
        <v>42814</v>
      </c>
      <c r="BG122" s="1390">
        <v>42814</v>
      </c>
      <c r="BH122" s="1399">
        <v>42885</v>
      </c>
      <c r="BI122" s="1399">
        <v>42885</v>
      </c>
      <c r="BJ122" s="3073" t="s">
        <v>1357</v>
      </c>
    </row>
    <row r="123" spans="1:62" ht="24" customHeight="1" x14ac:dyDescent="0.2">
      <c r="A123" s="1295"/>
      <c r="B123" s="1295"/>
      <c r="C123" s="1296"/>
      <c r="D123" s="3061"/>
      <c r="E123" s="3065"/>
      <c r="F123" s="3066"/>
      <c r="G123" s="2985"/>
      <c r="H123" s="3088"/>
      <c r="I123" s="3089"/>
      <c r="J123" s="2853"/>
      <c r="K123" s="2977"/>
      <c r="L123" s="2851"/>
      <c r="M123" s="3028"/>
      <c r="N123" s="3106"/>
      <c r="O123" s="2952"/>
      <c r="P123" s="3053"/>
      <c r="Q123" s="2849"/>
      <c r="R123" s="3022"/>
      <c r="S123" s="3007"/>
      <c r="T123" s="2849"/>
      <c r="U123" s="2862"/>
      <c r="V123" s="1411" t="s">
        <v>1388</v>
      </c>
      <c r="W123" s="1336">
        <v>5000000</v>
      </c>
      <c r="X123" s="1336">
        <v>1100000</v>
      </c>
      <c r="Y123" s="1336">
        <v>1100000</v>
      </c>
      <c r="Z123" s="2955"/>
      <c r="AA123" s="3071"/>
      <c r="AB123" s="3025"/>
      <c r="AC123" s="3028"/>
      <c r="AD123" s="3028"/>
      <c r="AE123" s="3028"/>
      <c r="AF123" s="3028"/>
      <c r="AG123" s="3028"/>
      <c r="AH123" s="3028"/>
      <c r="AI123" s="3028"/>
      <c r="AJ123" s="3028"/>
      <c r="AK123" s="3028"/>
      <c r="AL123" s="3028"/>
      <c r="AM123" s="3028"/>
      <c r="AN123" s="3028"/>
      <c r="AO123" s="1400"/>
      <c r="AP123" s="2853"/>
      <c r="AQ123" s="1400"/>
      <c r="AR123" s="1388"/>
      <c r="AS123" s="1388"/>
      <c r="AT123" s="2853"/>
      <c r="AU123" s="1400"/>
      <c r="AV123" s="1388"/>
      <c r="AW123" s="1388"/>
      <c r="AX123" s="2894"/>
      <c r="AY123" s="1388"/>
      <c r="AZ123" s="2894"/>
      <c r="BA123" s="2894"/>
      <c r="BB123" s="2894"/>
      <c r="BC123" s="3022"/>
      <c r="BD123" s="2894"/>
      <c r="BE123" s="2894"/>
      <c r="BF123" s="1390">
        <v>42814</v>
      </c>
      <c r="BG123" s="1390">
        <v>42814</v>
      </c>
      <c r="BH123" s="1399">
        <v>42885</v>
      </c>
      <c r="BI123" s="1399">
        <v>42885</v>
      </c>
      <c r="BJ123" s="3074"/>
    </row>
    <row r="124" spans="1:62" ht="40.5" customHeight="1" x14ac:dyDescent="0.2">
      <c r="A124" s="1295"/>
      <c r="B124" s="1295"/>
      <c r="C124" s="1296"/>
      <c r="D124" s="3061"/>
      <c r="E124" s="3065"/>
      <c r="F124" s="3066"/>
      <c r="G124" s="2985"/>
      <c r="H124" s="3088"/>
      <c r="I124" s="3089"/>
      <c r="J124" s="3016"/>
      <c r="K124" s="2978"/>
      <c r="L124" s="2882"/>
      <c r="M124" s="3029"/>
      <c r="N124" s="3106"/>
      <c r="O124" s="2952"/>
      <c r="P124" s="3053"/>
      <c r="Q124" s="2849"/>
      <c r="R124" s="3023"/>
      <c r="S124" s="3003"/>
      <c r="T124" s="2849"/>
      <c r="U124" s="2862"/>
      <c r="V124" s="1412" t="s">
        <v>1389</v>
      </c>
      <c r="W124" s="1336">
        <v>12100000</v>
      </c>
      <c r="X124" s="1336">
        <v>12100000</v>
      </c>
      <c r="Y124" s="1336">
        <v>3300000</v>
      </c>
      <c r="Z124" s="2955"/>
      <c r="AA124" s="3071"/>
      <c r="AB124" s="3025"/>
      <c r="AC124" s="3028"/>
      <c r="AD124" s="3028"/>
      <c r="AE124" s="3028"/>
      <c r="AF124" s="3028"/>
      <c r="AG124" s="3028"/>
      <c r="AH124" s="3028"/>
      <c r="AI124" s="3028"/>
      <c r="AJ124" s="3028"/>
      <c r="AK124" s="3028"/>
      <c r="AL124" s="3028"/>
      <c r="AM124" s="3028"/>
      <c r="AN124" s="3028"/>
      <c r="AO124" s="1400"/>
      <c r="AP124" s="2853"/>
      <c r="AQ124" s="1400"/>
      <c r="AR124" s="1388"/>
      <c r="AS124" s="1388"/>
      <c r="AT124" s="2853"/>
      <c r="AU124" s="1400"/>
      <c r="AV124" s="1388"/>
      <c r="AW124" s="1388"/>
      <c r="AX124" s="2894"/>
      <c r="AY124" s="1388"/>
      <c r="AZ124" s="2895"/>
      <c r="BA124" s="2895"/>
      <c r="BB124" s="2895"/>
      <c r="BC124" s="3023"/>
      <c r="BD124" s="2894"/>
      <c r="BE124" s="2894"/>
      <c r="BF124" s="1390">
        <v>42750</v>
      </c>
      <c r="BG124" s="1390">
        <v>42750</v>
      </c>
      <c r="BH124" s="1399">
        <v>42993</v>
      </c>
      <c r="BI124" s="1399">
        <v>42993</v>
      </c>
      <c r="BJ124" s="3074"/>
    </row>
    <row r="125" spans="1:62" ht="57" x14ac:dyDescent="0.2">
      <c r="A125" s="1295"/>
      <c r="B125" s="1295"/>
      <c r="C125" s="1296"/>
      <c r="D125" s="3062"/>
      <c r="E125" s="3067"/>
      <c r="F125" s="3068"/>
      <c r="G125" s="2986"/>
      <c r="H125" s="3088"/>
      <c r="I125" s="3089"/>
      <c r="J125" s="1413">
        <v>242</v>
      </c>
      <c r="K125" s="1414" t="s">
        <v>1390</v>
      </c>
      <c r="L125" s="1415" t="s">
        <v>1259</v>
      </c>
      <c r="M125" s="1316">
        <v>1</v>
      </c>
      <c r="N125" s="1393">
        <v>0</v>
      </c>
      <c r="O125" s="2937"/>
      <c r="P125" s="3054"/>
      <c r="Q125" s="2860"/>
      <c r="R125" s="1416">
        <f>+S125/90000000</f>
        <v>0.4375</v>
      </c>
      <c r="S125" s="1417">
        <v>39375000</v>
      </c>
      <c r="T125" s="2860"/>
      <c r="U125" s="2860"/>
      <c r="V125" s="1314" t="s">
        <v>1391</v>
      </c>
      <c r="W125" s="1336">
        <v>39375000</v>
      </c>
      <c r="X125" s="1336"/>
      <c r="Y125" s="1336"/>
      <c r="Z125" s="2956"/>
      <c r="AA125" s="3072"/>
      <c r="AB125" s="3026"/>
      <c r="AC125" s="3029"/>
      <c r="AD125" s="3029"/>
      <c r="AE125" s="3029"/>
      <c r="AF125" s="3029"/>
      <c r="AG125" s="3029"/>
      <c r="AH125" s="3029"/>
      <c r="AI125" s="3029"/>
      <c r="AJ125" s="3029"/>
      <c r="AK125" s="3029"/>
      <c r="AL125" s="3029"/>
      <c r="AM125" s="3029"/>
      <c r="AN125" s="3029"/>
      <c r="AO125" s="1401"/>
      <c r="AP125" s="3016"/>
      <c r="AQ125" s="1401"/>
      <c r="AR125" s="1395"/>
      <c r="AS125" s="1395"/>
      <c r="AT125" s="3016"/>
      <c r="AU125" s="1401"/>
      <c r="AV125" s="1395"/>
      <c r="AW125" s="1395"/>
      <c r="AX125" s="2895"/>
      <c r="AY125" s="1395"/>
      <c r="AZ125" s="1395"/>
      <c r="BA125" s="1395"/>
      <c r="BB125" s="1395"/>
      <c r="BC125" s="1418"/>
      <c r="BD125" s="2895"/>
      <c r="BE125" s="2895"/>
      <c r="BF125" s="1390">
        <v>42809</v>
      </c>
      <c r="BG125" s="1390">
        <v>42809</v>
      </c>
      <c r="BH125" s="1399">
        <v>43089</v>
      </c>
      <c r="BI125" s="1399">
        <v>43089</v>
      </c>
      <c r="BJ125" s="3075"/>
    </row>
    <row r="126" spans="1:62" s="192" customFormat="1" ht="26.25" customHeight="1" x14ac:dyDescent="0.2">
      <c r="A126" s="1295"/>
      <c r="B126" s="1295"/>
      <c r="C126" s="1296"/>
      <c r="D126" s="1419">
        <v>27</v>
      </c>
      <c r="E126" s="1420" t="s">
        <v>1392</v>
      </c>
      <c r="F126" s="1420"/>
      <c r="G126" s="1420"/>
      <c r="H126" s="1420"/>
      <c r="I126" s="53"/>
      <c r="J126" s="53"/>
      <c r="K126" s="1421"/>
      <c r="L126" s="53"/>
      <c r="M126" s="53"/>
      <c r="N126" s="53"/>
      <c r="O126" s="53"/>
      <c r="P126" s="53"/>
      <c r="Q126" s="71"/>
      <c r="R126" s="1422"/>
      <c r="S126" s="1423"/>
      <c r="T126" s="71"/>
      <c r="U126" s="1421"/>
      <c r="V126" s="1421"/>
      <c r="W126" s="1424"/>
      <c r="X126" s="1424"/>
      <c r="Y126" s="1424"/>
      <c r="Z126" s="71"/>
      <c r="AA126" s="1425"/>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1426"/>
      <c r="BD126" s="71"/>
      <c r="BE126" s="71"/>
      <c r="BF126" s="71"/>
      <c r="BG126" s="71"/>
      <c r="BH126" s="71"/>
      <c r="BI126" s="71"/>
      <c r="BJ126" s="100"/>
    </row>
    <row r="127" spans="1:62" s="192" customFormat="1" ht="25.5" customHeight="1" x14ac:dyDescent="0.2">
      <c r="A127" s="1295"/>
      <c r="B127" s="1295"/>
      <c r="C127" s="1296"/>
      <c r="D127" s="3060"/>
      <c r="E127" s="3096"/>
      <c r="F127" s="3097"/>
      <c r="G127" s="1427">
        <v>85</v>
      </c>
      <c r="H127" s="1428" t="s">
        <v>1393</v>
      </c>
      <c r="I127" s="1428"/>
      <c r="J127" s="1428"/>
      <c r="K127" s="1429"/>
      <c r="L127" s="1428"/>
      <c r="M127" s="1428"/>
      <c r="N127" s="1428"/>
      <c r="O127" s="1428"/>
      <c r="P127" s="1428"/>
      <c r="Q127" s="1428"/>
      <c r="R127" s="1430"/>
      <c r="S127" s="1431"/>
      <c r="T127" s="80"/>
      <c r="U127" s="1429"/>
      <c r="V127" s="1429"/>
      <c r="W127" s="1378"/>
      <c r="X127" s="1378"/>
      <c r="Y127" s="1378"/>
      <c r="Z127" s="1378"/>
      <c r="AA127" s="1432"/>
      <c r="AB127" s="1378"/>
      <c r="AC127" s="1378"/>
      <c r="AD127" s="1378"/>
      <c r="AE127" s="1378"/>
      <c r="AF127" s="1378"/>
      <c r="AG127" s="1378"/>
      <c r="AH127" s="1378"/>
      <c r="AI127" s="1378"/>
      <c r="AJ127" s="1378"/>
      <c r="AK127" s="1378"/>
      <c r="AL127" s="1378"/>
      <c r="AM127" s="1378"/>
      <c r="AN127" s="1378"/>
      <c r="AO127" s="1378"/>
      <c r="AP127" s="1378"/>
      <c r="AQ127" s="1378"/>
      <c r="AR127" s="1378"/>
      <c r="AS127" s="1378"/>
      <c r="AT127" s="1378"/>
      <c r="AU127" s="1378"/>
      <c r="AV127" s="1378"/>
      <c r="AW127" s="1378"/>
      <c r="AX127" s="1378"/>
      <c r="AY127" s="1378"/>
      <c r="AZ127" s="1378"/>
      <c r="BA127" s="1378"/>
      <c r="BB127" s="1378"/>
      <c r="BC127" s="1433"/>
      <c r="BD127" s="1378"/>
      <c r="BE127" s="1378"/>
      <c r="BF127" s="1378"/>
      <c r="BG127" s="1378"/>
      <c r="BH127" s="1378"/>
      <c r="BI127" s="1378"/>
      <c r="BJ127" s="1434"/>
    </row>
    <row r="128" spans="1:62" ht="28.5" x14ac:dyDescent="0.2">
      <c r="A128" s="1295"/>
      <c r="B128" s="1295"/>
      <c r="C128" s="1296"/>
      <c r="D128" s="3061"/>
      <c r="E128" s="3098"/>
      <c r="F128" s="3099"/>
      <c r="G128" s="2984"/>
      <c r="H128" s="3008"/>
      <c r="I128" s="3009"/>
      <c r="J128" s="3027">
        <v>250</v>
      </c>
      <c r="K128" s="2848" t="s">
        <v>1394</v>
      </c>
      <c r="L128" s="3103" t="s">
        <v>18</v>
      </c>
      <c r="M128" s="3027">
        <v>3</v>
      </c>
      <c r="N128" s="3106">
        <v>4.4999999999999998E-2</v>
      </c>
      <c r="O128" s="2868" t="s">
        <v>1395</v>
      </c>
      <c r="P128" s="3052" t="s">
        <v>1396</v>
      </c>
      <c r="Q128" s="2848" t="s">
        <v>1397</v>
      </c>
      <c r="R128" s="3044">
        <f>+S128/505000000</f>
        <v>0.54306930693069311</v>
      </c>
      <c r="S128" s="3057">
        <v>274250000</v>
      </c>
      <c r="T128" s="2848" t="s">
        <v>1398</v>
      </c>
      <c r="U128" s="2861" t="s">
        <v>1399</v>
      </c>
      <c r="V128" s="1314" t="s">
        <v>1400</v>
      </c>
      <c r="W128" s="1336">
        <v>20000000</v>
      </c>
      <c r="X128" s="1336">
        <f>7000000+12600000</f>
        <v>19600000</v>
      </c>
      <c r="Y128" s="1336">
        <v>4200000</v>
      </c>
      <c r="Z128" s="1435"/>
      <c r="AA128" s="1304"/>
      <c r="AB128" s="3024">
        <v>31154</v>
      </c>
      <c r="AC128" s="3027">
        <v>16724</v>
      </c>
      <c r="AD128" s="3027">
        <v>35075</v>
      </c>
      <c r="AE128" s="3027">
        <v>18830</v>
      </c>
      <c r="AF128" s="3027">
        <v>13344</v>
      </c>
      <c r="AG128" s="3027">
        <v>7164</v>
      </c>
      <c r="AH128" s="3027">
        <v>42174</v>
      </c>
      <c r="AI128" s="3027">
        <v>22641</v>
      </c>
      <c r="AJ128" s="3027">
        <v>114821</v>
      </c>
      <c r="AK128" s="3027">
        <v>61640</v>
      </c>
      <c r="AL128" s="3027">
        <v>39524</v>
      </c>
      <c r="AM128" s="3027">
        <v>21218</v>
      </c>
      <c r="AN128" s="3118"/>
      <c r="AO128" s="1436"/>
      <c r="AP128" s="3118"/>
      <c r="AQ128" s="1436"/>
      <c r="AR128" s="1437"/>
      <c r="AS128" s="1437"/>
      <c r="AT128" s="3118"/>
      <c r="AU128" s="1436"/>
      <c r="AV128" s="1437"/>
      <c r="AW128" s="1437"/>
      <c r="AX128" s="3114"/>
      <c r="AY128" s="1437"/>
      <c r="AZ128" s="2893">
        <v>2</v>
      </c>
      <c r="BA128" s="2893">
        <v>19600000</v>
      </c>
      <c r="BB128" s="2893">
        <v>4200000</v>
      </c>
      <c r="BC128" s="3021">
        <f>BB128/BA128</f>
        <v>0.21428571428571427</v>
      </c>
      <c r="BD128" s="1438"/>
      <c r="BE128" s="3073" t="s">
        <v>1401</v>
      </c>
      <c r="BF128" s="1390">
        <v>42750</v>
      </c>
      <c r="BG128" s="1390">
        <v>42750</v>
      </c>
      <c r="BH128" s="1399">
        <v>42993</v>
      </c>
      <c r="BI128" s="1399">
        <v>42993</v>
      </c>
      <c r="BJ128" s="3073" t="s">
        <v>1402</v>
      </c>
    </row>
    <row r="129" spans="1:62" ht="37.5" customHeight="1" x14ac:dyDescent="0.2">
      <c r="A129" s="1295"/>
      <c r="B129" s="1295"/>
      <c r="C129" s="1296"/>
      <c r="D129" s="3061"/>
      <c r="E129" s="3098"/>
      <c r="F129" s="3099"/>
      <c r="G129" s="2985"/>
      <c r="H129" s="3010"/>
      <c r="I129" s="3011"/>
      <c r="J129" s="3028"/>
      <c r="K129" s="2849"/>
      <c r="L129" s="3104"/>
      <c r="M129" s="3028"/>
      <c r="N129" s="3106"/>
      <c r="O129" s="2952"/>
      <c r="P129" s="3053"/>
      <c r="Q129" s="2849"/>
      <c r="R129" s="3045"/>
      <c r="S129" s="3058"/>
      <c r="T129" s="2849"/>
      <c r="U129" s="2862"/>
      <c r="V129" s="1314" t="s">
        <v>1403</v>
      </c>
      <c r="W129" s="1336">
        <v>35250000</v>
      </c>
      <c r="X129" s="1336"/>
      <c r="Y129" s="1336"/>
      <c r="Z129" s="1439"/>
      <c r="AA129" s="1309"/>
      <c r="AB129" s="3025"/>
      <c r="AC129" s="3028"/>
      <c r="AD129" s="3028"/>
      <c r="AE129" s="3028"/>
      <c r="AF129" s="3028"/>
      <c r="AG129" s="3028"/>
      <c r="AH129" s="3028"/>
      <c r="AI129" s="3028"/>
      <c r="AJ129" s="3028"/>
      <c r="AK129" s="3028"/>
      <c r="AL129" s="3028"/>
      <c r="AM129" s="3028"/>
      <c r="AN129" s="3119"/>
      <c r="AO129" s="1440"/>
      <c r="AP129" s="3119"/>
      <c r="AQ129" s="1440"/>
      <c r="AR129" s="1441"/>
      <c r="AS129" s="1441"/>
      <c r="AT129" s="3119"/>
      <c r="AU129" s="1440"/>
      <c r="AV129" s="1441"/>
      <c r="AW129" s="1441"/>
      <c r="AX129" s="3115"/>
      <c r="AY129" s="1441"/>
      <c r="AZ129" s="2894"/>
      <c r="BA129" s="2894"/>
      <c r="BB129" s="2894"/>
      <c r="BC129" s="3022"/>
      <c r="BD129" s="1442"/>
      <c r="BE129" s="3074"/>
      <c r="BF129" s="1390">
        <v>42845</v>
      </c>
      <c r="BG129" s="1390">
        <v>42845</v>
      </c>
      <c r="BH129" s="1443">
        <v>42855</v>
      </c>
      <c r="BI129" s="1443">
        <v>42855</v>
      </c>
      <c r="BJ129" s="3074"/>
    </row>
    <row r="130" spans="1:62" ht="15" customHeight="1" x14ac:dyDescent="0.2">
      <c r="A130" s="1295"/>
      <c r="B130" s="1295"/>
      <c r="C130" s="1296"/>
      <c r="D130" s="3061"/>
      <c r="E130" s="3098"/>
      <c r="F130" s="3099"/>
      <c r="G130" s="2985"/>
      <c r="H130" s="3010"/>
      <c r="I130" s="3011"/>
      <c r="J130" s="3028"/>
      <c r="K130" s="2849"/>
      <c r="L130" s="3104"/>
      <c r="M130" s="3028"/>
      <c r="N130" s="3106"/>
      <c r="O130" s="2952"/>
      <c r="P130" s="3053"/>
      <c r="Q130" s="2849"/>
      <c r="R130" s="3045"/>
      <c r="S130" s="3058"/>
      <c r="T130" s="2849"/>
      <c r="U130" s="2862"/>
      <c r="V130" s="1314" t="s">
        <v>1404</v>
      </c>
      <c r="W130" s="1336">
        <v>2000000</v>
      </c>
      <c r="X130" s="1336"/>
      <c r="Y130" s="1336"/>
      <c r="Z130" s="1439"/>
      <c r="AA130" s="1309"/>
      <c r="AB130" s="3025"/>
      <c r="AC130" s="3028"/>
      <c r="AD130" s="3028"/>
      <c r="AE130" s="3028"/>
      <c r="AF130" s="3028"/>
      <c r="AG130" s="3028"/>
      <c r="AH130" s="3028"/>
      <c r="AI130" s="3028"/>
      <c r="AJ130" s="3028"/>
      <c r="AK130" s="3028"/>
      <c r="AL130" s="3028"/>
      <c r="AM130" s="3028"/>
      <c r="AN130" s="3119"/>
      <c r="AO130" s="1440"/>
      <c r="AP130" s="3119"/>
      <c r="AQ130" s="1440"/>
      <c r="AR130" s="1441"/>
      <c r="AS130" s="1441"/>
      <c r="AT130" s="3119"/>
      <c r="AU130" s="1440"/>
      <c r="AV130" s="1441"/>
      <c r="AW130" s="1441"/>
      <c r="AX130" s="3115"/>
      <c r="AY130" s="1441"/>
      <c r="AZ130" s="2894"/>
      <c r="BA130" s="2894"/>
      <c r="BB130" s="2894"/>
      <c r="BC130" s="3022"/>
      <c r="BD130" s="1442"/>
      <c r="BE130" s="3074"/>
      <c r="BF130" s="1390">
        <v>42804</v>
      </c>
      <c r="BG130" s="1390">
        <v>42804</v>
      </c>
      <c r="BH130" s="1399">
        <v>42906</v>
      </c>
      <c r="BI130" s="1399">
        <v>42906</v>
      </c>
      <c r="BJ130" s="3074"/>
    </row>
    <row r="131" spans="1:62" ht="48.75" customHeight="1" x14ac:dyDescent="0.2">
      <c r="A131" s="1295"/>
      <c r="B131" s="1295"/>
      <c r="C131" s="1296"/>
      <c r="D131" s="3061"/>
      <c r="E131" s="3098"/>
      <c r="F131" s="3099"/>
      <c r="G131" s="2985"/>
      <c r="H131" s="3010"/>
      <c r="I131" s="3011"/>
      <c r="J131" s="3028"/>
      <c r="K131" s="2849"/>
      <c r="L131" s="3104"/>
      <c r="M131" s="3028"/>
      <c r="N131" s="3106"/>
      <c r="O131" s="2952"/>
      <c r="P131" s="3053"/>
      <c r="Q131" s="2849"/>
      <c r="R131" s="3045"/>
      <c r="S131" s="3058"/>
      <c r="T131" s="2849"/>
      <c r="U131" s="2862"/>
      <c r="V131" s="1314" t="s">
        <v>1405</v>
      </c>
      <c r="W131" s="1336">
        <v>2000000</v>
      </c>
      <c r="X131" s="1336"/>
      <c r="Y131" s="1336"/>
      <c r="Z131" s="1439"/>
      <c r="AA131" s="1309"/>
      <c r="AB131" s="3025"/>
      <c r="AC131" s="3028"/>
      <c r="AD131" s="3028"/>
      <c r="AE131" s="3028"/>
      <c r="AF131" s="3028"/>
      <c r="AG131" s="3028"/>
      <c r="AH131" s="3028"/>
      <c r="AI131" s="3028"/>
      <c r="AJ131" s="3028"/>
      <c r="AK131" s="3028"/>
      <c r="AL131" s="3028"/>
      <c r="AM131" s="3028"/>
      <c r="AN131" s="3119"/>
      <c r="AO131" s="1440"/>
      <c r="AP131" s="3119"/>
      <c r="AQ131" s="1440"/>
      <c r="AR131" s="1441"/>
      <c r="AS131" s="1441"/>
      <c r="AT131" s="3119"/>
      <c r="AU131" s="1440"/>
      <c r="AV131" s="1441"/>
      <c r="AW131" s="1441"/>
      <c r="AX131" s="3115"/>
      <c r="AY131" s="1441"/>
      <c r="AZ131" s="2894"/>
      <c r="BA131" s="2894"/>
      <c r="BB131" s="2894"/>
      <c r="BC131" s="3022"/>
      <c r="BD131" s="1442"/>
      <c r="BE131" s="3074"/>
      <c r="BF131" s="1390">
        <v>42804</v>
      </c>
      <c r="BG131" s="1390">
        <v>42804</v>
      </c>
      <c r="BH131" s="1399">
        <v>42906</v>
      </c>
      <c r="BI131" s="1399">
        <v>42906</v>
      </c>
      <c r="BJ131" s="3074"/>
    </row>
    <row r="132" spans="1:62" ht="42.75" x14ac:dyDescent="0.2">
      <c r="A132" s="1295"/>
      <c r="B132" s="1295"/>
      <c r="C132" s="1296"/>
      <c r="D132" s="3061"/>
      <c r="E132" s="3098"/>
      <c r="F132" s="3099"/>
      <c r="G132" s="2985"/>
      <c r="H132" s="3010"/>
      <c r="I132" s="3011"/>
      <c r="J132" s="3029"/>
      <c r="K132" s="2849"/>
      <c r="L132" s="3105"/>
      <c r="M132" s="3029"/>
      <c r="N132" s="3106"/>
      <c r="O132" s="2952"/>
      <c r="P132" s="3053"/>
      <c r="Q132" s="2849"/>
      <c r="R132" s="3046"/>
      <c r="S132" s="3059"/>
      <c r="T132" s="2849"/>
      <c r="U132" s="2862"/>
      <c r="V132" s="1314" t="s">
        <v>1406</v>
      </c>
      <c r="W132" s="1336">
        <v>215000000</v>
      </c>
      <c r="X132" s="1336"/>
      <c r="Y132" s="1336"/>
      <c r="Z132" s="1439"/>
      <c r="AA132" s="1309"/>
      <c r="AB132" s="3025"/>
      <c r="AC132" s="3028"/>
      <c r="AD132" s="3028"/>
      <c r="AE132" s="3028"/>
      <c r="AF132" s="3028"/>
      <c r="AG132" s="3028"/>
      <c r="AH132" s="3028"/>
      <c r="AI132" s="3028"/>
      <c r="AJ132" s="3028"/>
      <c r="AK132" s="3028"/>
      <c r="AL132" s="3028"/>
      <c r="AM132" s="3028"/>
      <c r="AN132" s="3119"/>
      <c r="AO132" s="1440"/>
      <c r="AP132" s="3119"/>
      <c r="AQ132" s="1440"/>
      <c r="AR132" s="1441"/>
      <c r="AS132" s="1441"/>
      <c r="AT132" s="3119"/>
      <c r="AU132" s="1440"/>
      <c r="AV132" s="1441"/>
      <c r="AW132" s="1441"/>
      <c r="AX132" s="3115"/>
      <c r="AY132" s="1441"/>
      <c r="AZ132" s="2895"/>
      <c r="BA132" s="2894"/>
      <c r="BB132" s="2895"/>
      <c r="BC132" s="3023"/>
      <c r="BD132" s="1442"/>
      <c r="BE132" s="3074"/>
      <c r="BF132" s="1390">
        <v>42750</v>
      </c>
      <c r="BG132" s="1390">
        <v>42750</v>
      </c>
      <c r="BH132" s="1399">
        <v>42993</v>
      </c>
      <c r="BI132" s="1399">
        <v>42993</v>
      </c>
      <c r="BJ132" s="3074"/>
    </row>
    <row r="133" spans="1:62" ht="42.75" x14ac:dyDescent="0.2">
      <c r="A133" s="1295"/>
      <c r="B133" s="1295"/>
      <c r="C133" s="1296"/>
      <c r="D133" s="3061"/>
      <c r="E133" s="3098"/>
      <c r="F133" s="3099"/>
      <c r="G133" s="2985"/>
      <c r="H133" s="3010"/>
      <c r="I133" s="3011"/>
      <c r="J133" s="3027">
        <v>251</v>
      </c>
      <c r="K133" s="2848" t="s">
        <v>1407</v>
      </c>
      <c r="L133" s="2868" t="s">
        <v>1259</v>
      </c>
      <c r="M133" s="3027">
        <v>1</v>
      </c>
      <c r="N133" s="3106">
        <v>7.1999999999999995E-2</v>
      </c>
      <c r="O133" s="2952"/>
      <c r="P133" s="3053"/>
      <c r="Q133" s="2849"/>
      <c r="R133" s="3044">
        <f>+S133/505000000</f>
        <v>0.4074257425742574</v>
      </c>
      <c r="S133" s="3057">
        <v>205750000</v>
      </c>
      <c r="T133" s="2849"/>
      <c r="U133" s="2862"/>
      <c r="V133" s="62" t="s">
        <v>1408</v>
      </c>
      <c r="W133" s="1336">
        <v>25000000</v>
      </c>
      <c r="X133" s="1336">
        <v>11600000</v>
      </c>
      <c r="Y133" s="1336"/>
      <c r="Z133" s="1439"/>
      <c r="AA133" s="1309"/>
      <c r="AB133" s="3025"/>
      <c r="AC133" s="3028"/>
      <c r="AD133" s="3028"/>
      <c r="AE133" s="3028"/>
      <c r="AF133" s="3028"/>
      <c r="AG133" s="3028"/>
      <c r="AH133" s="3028"/>
      <c r="AI133" s="3028"/>
      <c r="AJ133" s="3028"/>
      <c r="AK133" s="3028"/>
      <c r="AL133" s="3028"/>
      <c r="AM133" s="3028"/>
      <c r="AN133" s="3119"/>
      <c r="AO133" s="1440"/>
      <c r="AP133" s="3119"/>
      <c r="AQ133" s="1440"/>
      <c r="AR133" s="1441"/>
      <c r="AS133" s="1441"/>
      <c r="AT133" s="3119"/>
      <c r="AU133" s="1440"/>
      <c r="AV133" s="1441"/>
      <c r="AW133" s="1441"/>
      <c r="AX133" s="3115"/>
      <c r="AY133" s="1441"/>
      <c r="AZ133" s="2893">
        <v>5</v>
      </c>
      <c r="BA133" s="2893">
        <v>97060000</v>
      </c>
      <c r="BB133" s="2893">
        <v>15000000</v>
      </c>
      <c r="BC133" s="3021">
        <f>BB133/BA133</f>
        <v>0.15454358128992376</v>
      </c>
      <c r="BD133" s="1442"/>
      <c r="BE133" s="3074"/>
      <c r="BF133" s="1390">
        <v>42750</v>
      </c>
      <c r="BG133" s="1390">
        <v>42750</v>
      </c>
      <c r="BH133" s="1399">
        <v>42993</v>
      </c>
      <c r="BI133" s="1399">
        <v>42993</v>
      </c>
      <c r="BJ133" s="3074"/>
    </row>
    <row r="134" spans="1:62" ht="28.5" x14ac:dyDescent="0.2">
      <c r="A134" s="1295"/>
      <c r="B134" s="1295"/>
      <c r="C134" s="1296"/>
      <c r="D134" s="3061"/>
      <c r="E134" s="3098"/>
      <c r="F134" s="3099"/>
      <c r="G134" s="2985"/>
      <c r="H134" s="3010"/>
      <c r="I134" s="3011"/>
      <c r="J134" s="3028"/>
      <c r="K134" s="2849"/>
      <c r="L134" s="2869"/>
      <c r="M134" s="3028"/>
      <c r="N134" s="3106"/>
      <c r="O134" s="2952"/>
      <c r="P134" s="3053"/>
      <c r="Q134" s="2849"/>
      <c r="R134" s="3045"/>
      <c r="S134" s="3058"/>
      <c r="T134" s="2849"/>
      <c r="U134" s="2862"/>
      <c r="V134" s="62" t="s">
        <v>1409</v>
      </c>
      <c r="W134" s="1336">
        <v>19500000</v>
      </c>
      <c r="X134" s="1336"/>
      <c r="Y134" s="1336"/>
      <c r="Z134" s="1330">
        <v>20</v>
      </c>
      <c r="AA134" s="1309" t="s">
        <v>208</v>
      </c>
      <c r="AB134" s="3025"/>
      <c r="AC134" s="3028"/>
      <c r="AD134" s="3028"/>
      <c r="AE134" s="3028"/>
      <c r="AF134" s="3028"/>
      <c r="AG134" s="3028"/>
      <c r="AH134" s="3028"/>
      <c r="AI134" s="3028"/>
      <c r="AJ134" s="3028"/>
      <c r="AK134" s="3028"/>
      <c r="AL134" s="3028"/>
      <c r="AM134" s="3028"/>
      <c r="AN134" s="3119"/>
      <c r="AO134" s="1440"/>
      <c r="AP134" s="3119"/>
      <c r="AQ134" s="1440"/>
      <c r="AR134" s="1441"/>
      <c r="AS134" s="1441"/>
      <c r="AT134" s="3119"/>
      <c r="AU134" s="1440"/>
      <c r="AV134" s="1441"/>
      <c r="AW134" s="1441"/>
      <c r="AX134" s="3115"/>
      <c r="AY134" s="1441"/>
      <c r="AZ134" s="2894"/>
      <c r="BA134" s="2894"/>
      <c r="BB134" s="2894"/>
      <c r="BC134" s="3022"/>
      <c r="BD134" s="1442"/>
      <c r="BE134" s="3074"/>
      <c r="BF134" s="1390">
        <v>42750</v>
      </c>
      <c r="BG134" s="1390">
        <v>42750</v>
      </c>
      <c r="BH134" s="1399">
        <v>42993</v>
      </c>
      <c r="BI134" s="1399">
        <v>42993</v>
      </c>
      <c r="BJ134" s="3074"/>
    </row>
    <row r="135" spans="1:62" ht="28.5" x14ac:dyDescent="0.2">
      <c r="A135" s="1295"/>
      <c r="B135" s="1295"/>
      <c r="C135" s="1296"/>
      <c r="D135" s="3061"/>
      <c r="E135" s="3098"/>
      <c r="F135" s="3099"/>
      <c r="G135" s="2985"/>
      <c r="H135" s="3010"/>
      <c r="I135" s="3011"/>
      <c r="J135" s="3028"/>
      <c r="K135" s="2849"/>
      <c r="L135" s="2869"/>
      <c r="M135" s="3028"/>
      <c r="N135" s="3106"/>
      <c r="O135" s="2952"/>
      <c r="P135" s="3053"/>
      <c r="Q135" s="2849"/>
      <c r="R135" s="3045"/>
      <c r="S135" s="3058"/>
      <c r="T135" s="2849"/>
      <c r="U135" s="2862"/>
      <c r="V135" s="62" t="s">
        <v>1410</v>
      </c>
      <c r="W135" s="1336">
        <v>80000000</v>
      </c>
      <c r="X135" s="1336">
        <f>10800000+4600000+10800000+6160000+6160000+6160000+6160000+9400000+6160000+2100000+8800000+6160000</f>
        <v>83460000</v>
      </c>
      <c r="Y135" s="1336">
        <f>3600000+3600000+1400000+1400000+1400000+1900000+1700000</f>
        <v>15000000</v>
      </c>
      <c r="Z135" s="1330">
        <v>88</v>
      </c>
      <c r="AA135" s="1309" t="s">
        <v>350</v>
      </c>
      <c r="AB135" s="3025"/>
      <c r="AC135" s="3028"/>
      <c r="AD135" s="3028"/>
      <c r="AE135" s="3028"/>
      <c r="AF135" s="3028"/>
      <c r="AG135" s="3028"/>
      <c r="AH135" s="3028"/>
      <c r="AI135" s="3028"/>
      <c r="AJ135" s="3028"/>
      <c r="AK135" s="3028"/>
      <c r="AL135" s="3028"/>
      <c r="AM135" s="3028"/>
      <c r="AN135" s="3119"/>
      <c r="AO135" s="1440"/>
      <c r="AP135" s="3119"/>
      <c r="AQ135" s="1440"/>
      <c r="AR135" s="1441"/>
      <c r="AS135" s="1441"/>
      <c r="AT135" s="3119"/>
      <c r="AU135" s="1440"/>
      <c r="AV135" s="1441"/>
      <c r="AW135" s="1441"/>
      <c r="AX135" s="3115"/>
      <c r="AY135" s="1441"/>
      <c r="AZ135" s="2894"/>
      <c r="BA135" s="2894"/>
      <c r="BB135" s="2894"/>
      <c r="BC135" s="3022"/>
      <c r="BD135" s="1442"/>
      <c r="BE135" s="3074"/>
      <c r="BF135" s="1390">
        <v>42750</v>
      </c>
      <c r="BG135" s="1390">
        <v>42750</v>
      </c>
      <c r="BH135" s="1399">
        <v>42993</v>
      </c>
      <c r="BI135" s="1399">
        <v>42993</v>
      </c>
      <c r="BJ135" s="3074"/>
    </row>
    <row r="136" spans="1:62" ht="46.5" customHeight="1" x14ac:dyDescent="0.2">
      <c r="A136" s="1295"/>
      <c r="B136" s="1295"/>
      <c r="C136" s="1296"/>
      <c r="D136" s="3061"/>
      <c r="E136" s="3098"/>
      <c r="F136" s="3099"/>
      <c r="G136" s="2985"/>
      <c r="H136" s="3010"/>
      <c r="I136" s="3011"/>
      <c r="J136" s="3028"/>
      <c r="K136" s="2849"/>
      <c r="L136" s="2869"/>
      <c r="M136" s="3028"/>
      <c r="N136" s="3106"/>
      <c r="O136" s="2952"/>
      <c r="P136" s="3053"/>
      <c r="Q136" s="2849"/>
      <c r="R136" s="3045"/>
      <c r="S136" s="3058"/>
      <c r="T136" s="2849"/>
      <c r="U136" s="2862"/>
      <c r="V136" s="1314" t="s">
        <v>1411</v>
      </c>
      <c r="W136" s="1336">
        <v>8000000</v>
      </c>
      <c r="X136" s="1336"/>
      <c r="Y136" s="1336"/>
      <c r="Z136" s="1439"/>
      <c r="AA136" s="1309"/>
      <c r="AB136" s="3025"/>
      <c r="AC136" s="3028"/>
      <c r="AD136" s="3028"/>
      <c r="AE136" s="3028"/>
      <c r="AF136" s="3028"/>
      <c r="AG136" s="3028"/>
      <c r="AH136" s="3028"/>
      <c r="AI136" s="3028"/>
      <c r="AJ136" s="3028"/>
      <c r="AK136" s="3028"/>
      <c r="AL136" s="3028"/>
      <c r="AM136" s="3028"/>
      <c r="AN136" s="3119"/>
      <c r="AO136" s="1440"/>
      <c r="AP136" s="3119"/>
      <c r="AQ136" s="1440"/>
      <c r="AR136" s="1441"/>
      <c r="AS136" s="1441"/>
      <c r="AT136" s="3119"/>
      <c r="AU136" s="1440"/>
      <c r="AV136" s="1441"/>
      <c r="AW136" s="1441"/>
      <c r="AX136" s="3115"/>
      <c r="AY136" s="1441"/>
      <c r="AZ136" s="2894"/>
      <c r="BA136" s="2894"/>
      <c r="BB136" s="2894"/>
      <c r="BC136" s="3022"/>
      <c r="BD136" s="1330">
        <v>20</v>
      </c>
      <c r="BE136" s="3074"/>
      <c r="BF136" s="1390">
        <v>42804</v>
      </c>
      <c r="BG136" s="1390">
        <v>42804</v>
      </c>
      <c r="BH136" s="1399">
        <v>42906</v>
      </c>
      <c r="BI136" s="1399">
        <v>42906</v>
      </c>
      <c r="BJ136" s="3074"/>
    </row>
    <row r="137" spans="1:62" ht="28.5" x14ac:dyDescent="0.2">
      <c r="A137" s="1295"/>
      <c r="B137" s="1295"/>
      <c r="C137" s="1296"/>
      <c r="D137" s="3061"/>
      <c r="E137" s="3098"/>
      <c r="F137" s="3099"/>
      <c r="G137" s="2985"/>
      <c r="H137" s="3010"/>
      <c r="I137" s="3011"/>
      <c r="J137" s="3028"/>
      <c r="K137" s="2849"/>
      <c r="L137" s="2869"/>
      <c r="M137" s="3028"/>
      <c r="N137" s="3106"/>
      <c r="O137" s="2952"/>
      <c r="P137" s="3053"/>
      <c r="Q137" s="2849"/>
      <c r="R137" s="3045"/>
      <c r="S137" s="3058"/>
      <c r="T137" s="2849"/>
      <c r="U137" s="2862"/>
      <c r="V137" s="1314" t="s">
        <v>1412</v>
      </c>
      <c r="W137" s="1336">
        <v>60250000</v>
      </c>
      <c r="X137" s="1336">
        <v>2000000</v>
      </c>
      <c r="Y137" s="1336"/>
      <c r="Z137" s="1439"/>
      <c r="AA137" s="1309"/>
      <c r="AB137" s="3025"/>
      <c r="AC137" s="3028"/>
      <c r="AD137" s="3028"/>
      <c r="AE137" s="3028"/>
      <c r="AF137" s="3028"/>
      <c r="AG137" s="3028"/>
      <c r="AH137" s="3028"/>
      <c r="AI137" s="3028"/>
      <c r="AJ137" s="3028"/>
      <c r="AK137" s="3028"/>
      <c r="AL137" s="3028"/>
      <c r="AM137" s="3028"/>
      <c r="AN137" s="3119"/>
      <c r="AO137" s="1440"/>
      <c r="AP137" s="3119"/>
      <c r="AQ137" s="1440"/>
      <c r="AR137" s="1441"/>
      <c r="AS137" s="1441"/>
      <c r="AT137" s="3119"/>
      <c r="AU137" s="1440"/>
      <c r="AV137" s="1441"/>
      <c r="AW137" s="1441"/>
      <c r="AX137" s="3115"/>
      <c r="AY137" s="1441"/>
      <c r="AZ137" s="2894"/>
      <c r="BA137" s="2894"/>
      <c r="BB137" s="2894"/>
      <c r="BC137" s="3022"/>
      <c r="BD137" s="1330">
        <v>88</v>
      </c>
      <c r="BE137" s="3074"/>
      <c r="BF137" s="1390">
        <v>42750</v>
      </c>
      <c r="BG137" s="1390">
        <v>42750</v>
      </c>
      <c r="BH137" s="1399">
        <v>42993</v>
      </c>
      <c r="BI137" s="1399">
        <v>42993</v>
      </c>
      <c r="BJ137" s="3074"/>
    </row>
    <row r="138" spans="1:62" ht="15" x14ac:dyDescent="0.2">
      <c r="A138" s="1295"/>
      <c r="B138" s="1295"/>
      <c r="C138" s="1296"/>
      <c r="D138" s="3061"/>
      <c r="E138" s="3098"/>
      <c r="F138" s="3099"/>
      <c r="G138" s="2985"/>
      <c r="H138" s="3010"/>
      <c r="I138" s="3011"/>
      <c r="J138" s="3028"/>
      <c r="K138" s="2849"/>
      <c r="L138" s="2869"/>
      <c r="M138" s="3028"/>
      <c r="N138" s="3106"/>
      <c r="O138" s="2952"/>
      <c r="P138" s="3053"/>
      <c r="Q138" s="2849"/>
      <c r="R138" s="3045"/>
      <c r="S138" s="3058"/>
      <c r="T138" s="2849"/>
      <c r="U138" s="2862"/>
      <c r="V138" s="1314" t="s">
        <v>1413</v>
      </c>
      <c r="W138" s="1336">
        <v>5000000</v>
      </c>
      <c r="X138" s="1336"/>
      <c r="Y138" s="1336"/>
      <c r="Z138" s="1439"/>
      <c r="AA138" s="1309"/>
      <c r="AB138" s="3025"/>
      <c r="AC138" s="3028"/>
      <c r="AD138" s="3028"/>
      <c r="AE138" s="3028"/>
      <c r="AF138" s="3028"/>
      <c r="AG138" s="3028"/>
      <c r="AH138" s="3028"/>
      <c r="AI138" s="3028"/>
      <c r="AJ138" s="3028"/>
      <c r="AK138" s="3028"/>
      <c r="AL138" s="3028"/>
      <c r="AM138" s="3028"/>
      <c r="AN138" s="3119"/>
      <c r="AO138" s="1440"/>
      <c r="AP138" s="3119"/>
      <c r="AQ138" s="1440"/>
      <c r="AR138" s="1441"/>
      <c r="AS138" s="1441"/>
      <c r="AT138" s="3119"/>
      <c r="AU138" s="1440"/>
      <c r="AV138" s="1441"/>
      <c r="AW138" s="1441"/>
      <c r="AX138" s="3115"/>
      <c r="AY138" s="1441"/>
      <c r="AZ138" s="2894"/>
      <c r="BA138" s="2894"/>
      <c r="BB138" s="2894"/>
      <c r="BC138" s="3022"/>
      <c r="BD138" s="1442"/>
      <c r="BE138" s="3074"/>
      <c r="BF138" s="1390">
        <v>42750</v>
      </c>
      <c r="BG138" s="1390">
        <v>42750</v>
      </c>
      <c r="BH138" s="1399">
        <v>42993</v>
      </c>
      <c r="BI138" s="1399">
        <v>42993</v>
      </c>
      <c r="BJ138" s="3074"/>
    </row>
    <row r="139" spans="1:62" ht="15" customHeight="1" x14ac:dyDescent="0.2">
      <c r="A139" s="1295"/>
      <c r="B139" s="1295"/>
      <c r="C139" s="1296"/>
      <c r="D139" s="3061"/>
      <c r="E139" s="3098"/>
      <c r="F139" s="3099"/>
      <c r="G139" s="2985"/>
      <c r="H139" s="3010"/>
      <c r="I139" s="3011"/>
      <c r="J139" s="3029"/>
      <c r="K139" s="2849"/>
      <c r="L139" s="2870"/>
      <c r="M139" s="3029"/>
      <c r="N139" s="3106"/>
      <c r="O139" s="2952"/>
      <c r="P139" s="3053"/>
      <c r="Q139" s="2849"/>
      <c r="R139" s="3046"/>
      <c r="S139" s="3059"/>
      <c r="T139" s="2849"/>
      <c r="U139" s="2862"/>
      <c r="V139" s="1314" t="s">
        <v>1404</v>
      </c>
      <c r="W139" s="1336">
        <v>8000000</v>
      </c>
      <c r="X139" s="1336"/>
      <c r="Y139" s="1336"/>
      <c r="Z139" s="1439"/>
      <c r="AA139" s="1309"/>
      <c r="AB139" s="3025"/>
      <c r="AC139" s="3028"/>
      <c r="AD139" s="3028"/>
      <c r="AE139" s="3028"/>
      <c r="AF139" s="3028"/>
      <c r="AG139" s="3028"/>
      <c r="AH139" s="3028"/>
      <c r="AI139" s="3028"/>
      <c r="AJ139" s="3028"/>
      <c r="AK139" s="3028"/>
      <c r="AL139" s="3028"/>
      <c r="AM139" s="3028"/>
      <c r="AN139" s="3119"/>
      <c r="AO139" s="1440"/>
      <c r="AP139" s="3119"/>
      <c r="AQ139" s="1440"/>
      <c r="AR139" s="1441"/>
      <c r="AS139" s="1441"/>
      <c r="AT139" s="3119"/>
      <c r="AU139" s="1440"/>
      <c r="AV139" s="1441"/>
      <c r="AW139" s="1441"/>
      <c r="AX139" s="3115"/>
      <c r="AY139" s="1441"/>
      <c r="AZ139" s="2895"/>
      <c r="BA139" s="2895"/>
      <c r="BB139" s="2895"/>
      <c r="BC139" s="3023"/>
      <c r="BD139" s="1442"/>
      <c r="BE139" s="3074"/>
      <c r="BF139" s="1390">
        <v>42804</v>
      </c>
      <c r="BG139" s="1390">
        <v>42804</v>
      </c>
      <c r="BH139" s="1399">
        <v>42967</v>
      </c>
      <c r="BI139" s="1399">
        <v>42967</v>
      </c>
      <c r="BJ139" s="3074"/>
    </row>
    <row r="140" spans="1:62" ht="42.75" x14ac:dyDescent="0.2">
      <c r="A140" s="1295"/>
      <c r="B140" s="1295"/>
      <c r="C140" s="1296"/>
      <c r="D140" s="3061"/>
      <c r="E140" s="3098"/>
      <c r="F140" s="3099"/>
      <c r="G140" s="2985"/>
      <c r="H140" s="3010"/>
      <c r="I140" s="3011"/>
      <c r="J140" s="3027">
        <v>254</v>
      </c>
      <c r="K140" s="2864" t="s">
        <v>1414</v>
      </c>
      <c r="L140" s="2936" t="s">
        <v>18</v>
      </c>
      <c r="M140" s="3027">
        <v>1</v>
      </c>
      <c r="N140" s="3126">
        <v>0.2</v>
      </c>
      <c r="O140" s="2952"/>
      <c r="P140" s="3053"/>
      <c r="Q140" s="2849"/>
      <c r="R140" s="3044">
        <f>+S140/505000000</f>
        <v>4.9504950495049507E-2</v>
      </c>
      <c r="S140" s="3058">
        <v>25000000</v>
      </c>
      <c r="T140" s="2849"/>
      <c r="U140" s="2862"/>
      <c r="V140" s="1325" t="s">
        <v>1415</v>
      </c>
      <c r="W140" s="1407">
        <v>15000000</v>
      </c>
      <c r="X140" s="1336">
        <v>15000000</v>
      </c>
      <c r="Y140" s="1336">
        <v>2500000</v>
      </c>
      <c r="Z140" s="1439"/>
      <c r="AA140" s="1309"/>
      <c r="AB140" s="3025"/>
      <c r="AC140" s="3028"/>
      <c r="AD140" s="3028"/>
      <c r="AE140" s="3028"/>
      <c r="AF140" s="3028"/>
      <c r="AG140" s="3028"/>
      <c r="AH140" s="3028"/>
      <c r="AI140" s="3028"/>
      <c r="AJ140" s="3028"/>
      <c r="AK140" s="3028"/>
      <c r="AL140" s="3028"/>
      <c r="AM140" s="3028"/>
      <c r="AN140" s="3119"/>
      <c r="AO140" s="1440"/>
      <c r="AP140" s="3119"/>
      <c r="AQ140" s="1440"/>
      <c r="AR140" s="1441"/>
      <c r="AS140" s="1441"/>
      <c r="AT140" s="3119"/>
      <c r="AU140" s="1440"/>
      <c r="AV140" s="1441"/>
      <c r="AW140" s="1441"/>
      <c r="AX140" s="3115"/>
      <c r="AY140" s="1441"/>
      <c r="AZ140" s="2893">
        <v>1</v>
      </c>
      <c r="BA140" s="2893">
        <v>15000000</v>
      </c>
      <c r="BB140" s="2893">
        <v>2500000</v>
      </c>
      <c r="BC140" s="3021">
        <f>BB140/BA140</f>
        <v>0.16666666666666666</v>
      </c>
      <c r="BD140" s="1442"/>
      <c r="BE140" s="3074"/>
      <c r="BF140" s="1390">
        <v>42750</v>
      </c>
      <c r="BG140" s="1390">
        <v>42750</v>
      </c>
      <c r="BH140" s="1399">
        <v>42993</v>
      </c>
      <c r="BI140" s="1399">
        <v>42993</v>
      </c>
      <c r="BJ140" s="3074"/>
    </row>
    <row r="141" spans="1:62" ht="15" customHeight="1" x14ac:dyDescent="0.2">
      <c r="A141" s="1295"/>
      <c r="B141" s="1295"/>
      <c r="C141" s="1296"/>
      <c r="D141" s="3061"/>
      <c r="E141" s="3098"/>
      <c r="F141" s="3099"/>
      <c r="G141" s="2985"/>
      <c r="H141" s="3010"/>
      <c r="I141" s="3011"/>
      <c r="J141" s="3028"/>
      <c r="K141" s="2864"/>
      <c r="L141" s="2952"/>
      <c r="M141" s="3028"/>
      <c r="N141" s="3126"/>
      <c r="O141" s="2952"/>
      <c r="P141" s="3053"/>
      <c r="Q141" s="2849"/>
      <c r="R141" s="3045"/>
      <c r="S141" s="3058"/>
      <c r="T141" s="2849"/>
      <c r="U141" s="2862"/>
      <c r="V141" s="1314" t="s">
        <v>1416</v>
      </c>
      <c r="W141" s="1407">
        <v>5000000</v>
      </c>
      <c r="X141" s="1336"/>
      <c r="Y141" s="1336"/>
      <c r="Z141" s="1439"/>
      <c r="AA141" s="1309"/>
      <c r="AB141" s="3025"/>
      <c r="AC141" s="3028"/>
      <c r="AD141" s="3028"/>
      <c r="AE141" s="3028"/>
      <c r="AF141" s="3028"/>
      <c r="AG141" s="3028"/>
      <c r="AH141" s="3028"/>
      <c r="AI141" s="3028"/>
      <c r="AJ141" s="3028"/>
      <c r="AK141" s="3028"/>
      <c r="AL141" s="3028"/>
      <c r="AM141" s="3028"/>
      <c r="AN141" s="3119"/>
      <c r="AO141" s="1440"/>
      <c r="AP141" s="3119"/>
      <c r="AQ141" s="1440"/>
      <c r="AR141" s="1441"/>
      <c r="AS141" s="1441"/>
      <c r="AT141" s="3119"/>
      <c r="AU141" s="1440"/>
      <c r="AV141" s="1441"/>
      <c r="AW141" s="1441"/>
      <c r="AX141" s="3115"/>
      <c r="AY141" s="1441"/>
      <c r="AZ141" s="2894"/>
      <c r="BA141" s="2894"/>
      <c r="BB141" s="2894"/>
      <c r="BC141" s="3022"/>
      <c r="BD141" s="1442"/>
      <c r="BE141" s="3074"/>
      <c r="BF141" s="1390">
        <v>42804</v>
      </c>
      <c r="BG141" s="1390">
        <v>42804</v>
      </c>
      <c r="BH141" s="1399">
        <v>42906</v>
      </c>
      <c r="BI141" s="1399">
        <v>42906</v>
      </c>
      <c r="BJ141" s="3074"/>
    </row>
    <row r="142" spans="1:62" ht="36.75" customHeight="1" thickBot="1" x14ac:dyDescent="0.25">
      <c r="A142" s="1295"/>
      <c r="B142" s="1295"/>
      <c r="C142" s="1296"/>
      <c r="D142" s="3061"/>
      <c r="E142" s="3098"/>
      <c r="F142" s="3099"/>
      <c r="G142" s="3100"/>
      <c r="H142" s="3101"/>
      <c r="I142" s="3102"/>
      <c r="J142" s="3110"/>
      <c r="K142" s="3125"/>
      <c r="L142" s="3112"/>
      <c r="M142" s="3110"/>
      <c r="N142" s="3126"/>
      <c r="O142" s="3112"/>
      <c r="P142" s="3113"/>
      <c r="Q142" s="3107"/>
      <c r="R142" s="3127"/>
      <c r="S142" s="3111"/>
      <c r="T142" s="3107"/>
      <c r="U142" s="3108"/>
      <c r="V142" s="1444" t="s">
        <v>1404</v>
      </c>
      <c r="W142" s="1445">
        <v>5000000</v>
      </c>
      <c r="X142" s="1379"/>
      <c r="Y142" s="1379"/>
      <c r="Z142" s="1446"/>
      <c r="AA142" s="1338"/>
      <c r="AB142" s="3109"/>
      <c r="AC142" s="3110"/>
      <c r="AD142" s="3110"/>
      <c r="AE142" s="3110"/>
      <c r="AF142" s="3110"/>
      <c r="AG142" s="3110"/>
      <c r="AH142" s="3110"/>
      <c r="AI142" s="3110"/>
      <c r="AJ142" s="3110"/>
      <c r="AK142" s="3110"/>
      <c r="AL142" s="3110"/>
      <c r="AM142" s="3110"/>
      <c r="AN142" s="3120"/>
      <c r="AO142" s="1447"/>
      <c r="AP142" s="3120"/>
      <c r="AQ142" s="1447"/>
      <c r="AR142" s="1448"/>
      <c r="AS142" s="1448"/>
      <c r="AT142" s="3120"/>
      <c r="AU142" s="1447"/>
      <c r="AV142" s="1448"/>
      <c r="AW142" s="1448"/>
      <c r="AX142" s="3116"/>
      <c r="AY142" s="1448"/>
      <c r="AZ142" s="3117"/>
      <c r="BA142" s="3117"/>
      <c r="BB142" s="3117"/>
      <c r="BC142" s="3121"/>
      <c r="BD142" s="1449"/>
      <c r="BE142" s="3075"/>
      <c r="BF142" s="1450">
        <v>42804</v>
      </c>
      <c r="BG142" s="1450">
        <v>42804</v>
      </c>
      <c r="BH142" s="1451">
        <v>42906</v>
      </c>
      <c r="BI142" s="1451">
        <v>42906</v>
      </c>
      <c r="BJ142" s="3075"/>
    </row>
    <row r="143" spans="1:62" s="192" customFormat="1" ht="34.5" customHeight="1" x14ac:dyDescent="0.2">
      <c r="A143" s="1295"/>
      <c r="B143" s="1295"/>
      <c r="C143" s="1296"/>
      <c r="D143" s="2300"/>
      <c r="E143" s="2301"/>
      <c r="F143" s="2038"/>
      <c r="G143" s="1297">
        <v>86</v>
      </c>
      <c r="H143" s="105" t="s">
        <v>1417</v>
      </c>
      <c r="I143" s="105"/>
      <c r="J143" s="105"/>
      <c r="K143" s="1298"/>
      <c r="L143" s="105"/>
      <c r="M143" s="105"/>
      <c r="N143" s="1428"/>
      <c r="O143" s="105"/>
      <c r="P143" s="105"/>
      <c r="Q143" s="73"/>
      <c r="R143" s="1299"/>
      <c r="S143" s="1300"/>
      <c r="T143" s="73"/>
      <c r="U143" s="1298"/>
      <c r="V143" s="1298"/>
      <c r="W143" s="1301"/>
      <c r="X143" s="1378"/>
      <c r="Y143" s="1378"/>
      <c r="Z143" s="1301"/>
      <c r="AA143" s="1432"/>
      <c r="AB143" s="1301"/>
      <c r="AC143" s="1301"/>
      <c r="AD143" s="1301"/>
      <c r="AE143" s="1301"/>
      <c r="AF143" s="1301"/>
      <c r="AG143" s="1301"/>
      <c r="AH143" s="1301"/>
      <c r="AI143" s="1301"/>
      <c r="AJ143" s="1301"/>
      <c r="AK143" s="1301"/>
      <c r="AL143" s="1301"/>
      <c r="AM143" s="1301"/>
      <c r="AN143" s="1301"/>
      <c r="AO143" s="1301"/>
      <c r="AP143" s="1301"/>
      <c r="AQ143" s="1301"/>
      <c r="AR143" s="1301"/>
      <c r="AS143" s="1301"/>
      <c r="AT143" s="1301"/>
      <c r="AU143" s="1301"/>
      <c r="AV143" s="1301"/>
      <c r="AW143" s="1301"/>
      <c r="AX143" s="1301"/>
      <c r="AY143" s="1301"/>
      <c r="AZ143" s="1301"/>
      <c r="BA143" s="1301"/>
      <c r="BB143" s="1301"/>
      <c r="BC143" s="1302"/>
      <c r="BD143" s="1301"/>
      <c r="BE143" s="1301"/>
      <c r="BF143" s="1301"/>
      <c r="BG143" s="1301"/>
      <c r="BH143" s="1301"/>
      <c r="BI143" s="1301"/>
      <c r="BJ143" s="1371"/>
    </row>
    <row r="144" spans="1:62" ht="47.25" customHeight="1" x14ac:dyDescent="0.2">
      <c r="A144" s="1295"/>
      <c r="B144" s="1295"/>
      <c r="C144" s="1296"/>
      <c r="D144" s="3061"/>
      <c r="E144" s="2302"/>
      <c r="F144" s="2035"/>
      <c r="G144" s="2984"/>
      <c r="H144" s="3008"/>
      <c r="I144" s="3009"/>
      <c r="J144" s="3027">
        <v>255</v>
      </c>
      <c r="K144" s="2848" t="s">
        <v>1418</v>
      </c>
      <c r="L144" s="2868" t="s">
        <v>18</v>
      </c>
      <c r="M144" s="3027">
        <v>12</v>
      </c>
      <c r="N144" s="3122">
        <v>5.0999999999999997E-2</v>
      </c>
      <c r="O144" s="2868" t="s">
        <v>1419</v>
      </c>
      <c r="P144" s="3052" t="s">
        <v>1420</v>
      </c>
      <c r="Q144" s="2848" t="s">
        <v>1421</v>
      </c>
      <c r="R144" s="3055">
        <v>1</v>
      </c>
      <c r="S144" s="3002">
        <f>SUM(W144:W148)</f>
        <v>100500000</v>
      </c>
      <c r="T144" s="2848" t="s">
        <v>1422</v>
      </c>
      <c r="U144" s="2861" t="s">
        <v>1423</v>
      </c>
      <c r="V144" s="1412" t="s">
        <v>1424</v>
      </c>
      <c r="W144" s="1336">
        <v>40000000</v>
      </c>
      <c r="X144" s="1336">
        <f>6480000+3600000+5000000+6480000+2040000+2040000+2040000+2040000+2040000+2000000+2040000+4000000</f>
        <v>39800000</v>
      </c>
      <c r="Y144" s="1336">
        <f>1600000+1900000+1700000</f>
        <v>5200000</v>
      </c>
      <c r="Z144" s="3141" t="s">
        <v>489</v>
      </c>
      <c r="AA144" s="3070" t="s">
        <v>1425</v>
      </c>
      <c r="AB144" s="3142"/>
      <c r="AC144" s="1452"/>
      <c r="AD144" s="3131"/>
      <c r="AE144" s="1453"/>
      <c r="AF144" s="3131"/>
      <c r="AG144" s="1453"/>
      <c r="AH144" s="3131"/>
      <c r="AI144" s="1453"/>
      <c r="AJ144" s="2852">
        <v>4200</v>
      </c>
      <c r="AK144" s="3027">
        <v>2290</v>
      </c>
      <c r="AL144" s="3131"/>
      <c r="AM144" s="1453"/>
      <c r="AN144" s="3131"/>
      <c r="AO144" s="1453"/>
      <c r="AP144" s="3131"/>
      <c r="AQ144" s="1453"/>
      <c r="AR144" s="1454"/>
      <c r="AS144" s="1454"/>
      <c r="AT144" s="3131"/>
      <c r="AU144" s="1453"/>
      <c r="AV144" s="1454"/>
      <c r="AW144" s="1454"/>
      <c r="AX144" s="3138"/>
      <c r="AY144" s="1454"/>
      <c r="AZ144" s="2893">
        <v>6</v>
      </c>
      <c r="BA144" s="3134">
        <f>SUM(X144:X148)</f>
        <v>54800000</v>
      </c>
      <c r="BB144" s="3134">
        <f>SUM(Y144:Y148)</f>
        <v>5200000</v>
      </c>
      <c r="BC144" s="3021">
        <f>BB144/BA144</f>
        <v>9.4890510948905105E-2</v>
      </c>
      <c r="BD144" s="2889" t="s">
        <v>489</v>
      </c>
      <c r="BE144" s="3073" t="s">
        <v>1426</v>
      </c>
      <c r="BF144" s="1390">
        <v>42750</v>
      </c>
      <c r="BG144" s="1390">
        <v>42750</v>
      </c>
      <c r="BH144" s="1399">
        <v>42993</v>
      </c>
      <c r="BI144" s="1399">
        <v>42993</v>
      </c>
      <c r="BJ144" s="3073" t="s">
        <v>1402</v>
      </c>
    </row>
    <row r="145" spans="1:62" ht="15" x14ac:dyDescent="0.2">
      <c r="A145" s="1295"/>
      <c r="B145" s="1295"/>
      <c r="C145" s="1296"/>
      <c r="D145" s="3061"/>
      <c r="E145" s="2302"/>
      <c r="F145" s="2035"/>
      <c r="G145" s="2985"/>
      <c r="H145" s="3010"/>
      <c r="I145" s="3011"/>
      <c r="J145" s="3028"/>
      <c r="K145" s="2849"/>
      <c r="L145" s="2869"/>
      <c r="M145" s="3028"/>
      <c r="N145" s="3123"/>
      <c r="O145" s="2952"/>
      <c r="P145" s="3053"/>
      <c r="Q145" s="2849"/>
      <c r="R145" s="3137"/>
      <c r="S145" s="3007"/>
      <c r="T145" s="2849"/>
      <c r="U145" s="2862"/>
      <c r="V145" s="1455" t="s">
        <v>1427</v>
      </c>
      <c r="W145" s="1336">
        <v>13500000</v>
      </c>
      <c r="X145" s="1336">
        <v>3000000</v>
      </c>
      <c r="Y145" s="1336"/>
      <c r="Z145" s="3053"/>
      <c r="AA145" s="3071"/>
      <c r="AB145" s="3143"/>
      <c r="AC145" s="1456"/>
      <c r="AD145" s="3132"/>
      <c r="AE145" s="1457"/>
      <c r="AF145" s="3132"/>
      <c r="AG145" s="1457"/>
      <c r="AH145" s="3132"/>
      <c r="AI145" s="1457"/>
      <c r="AJ145" s="2853"/>
      <c r="AK145" s="3028"/>
      <c r="AL145" s="3132"/>
      <c r="AM145" s="1457"/>
      <c r="AN145" s="3132"/>
      <c r="AO145" s="1457"/>
      <c r="AP145" s="3132"/>
      <c r="AQ145" s="1457"/>
      <c r="AR145" s="1458"/>
      <c r="AS145" s="1458"/>
      <c r="AT145" s="3132"/>
      <c r="AU145" s="1457"/>
      <c r="AV145" s="1458"/>
      <c r="AW145" s="1458"/>
      <c r="AX145" s="3139"/>
      <c r="AY145" s="1458"/>
      <c r="AZ145" s="2894"/>
      <c r="BA145" s="3135"/>
      <c r="BB145" s="3135"/>
      <c r="BC145" s="3022"/>
      <c r="BD145" s="2894"/>
      <c r="BE145" s="3074"/>
      <c r="BF145" s="1390">
        <v>42993</v>
      </c>
      <c r="BG145" s="1390">
        <v>42993</v>
      </c>
      <c r="BH145" s="1443">
        <v>43085</v>
      </c>
      <c r="BI145" s="1443">
        <v>43085</v>
      </c>
      <c r="BJ145" s="3074"/>
    </row>
    <row r="146" spans="1:62" ht="28.5" x14ac:dyDescent="0.2">
      <c r="A146" s="1295"/>
      <c r="B146" s="1295"/>
      <c r="C146" s="1296"/>
      <c r="D146" s="3061"/>
      <c r="E146" s="2302"/>
      <c r="F146" s="2035"/>
      <c r="G146" s="2985"/>
      <c r="H146" s="3010"/>
      <c r="I146" s="3011"/>
      <c r="J146" s="3028"/>
      <c r="K146" s="2849"/>
      <c r="L146" s="2869"/>
      <c r="M146" s="3028"/>
      <c r="N146" s="3123"/>
      <c r="O146" s="2952"/>
      <c r="P146" s="3053"/>
      <c r="Q146" s="2849"/>
      <c r="R146" s="3137"/>
      <c r="S146" s="3007"/>
      <c r="T146" s="2849"/>
      <c r="U146" s="2862"/>
      <c r="V146" s="1455" t="s">
        <v>1428</v>
      </c>
      <c r="W146" s="1336">
        <v>25000000</v>
      </c>
      <c r="X146" s="1336"/>
      <c r="Y146" s="1336"/>
      <c r="Z146" s="3053"/>
      <c r="AA146" s="3071"/>
      <c r="AB146" s="3143"/>
      <c r="AC146" s="1456"/>
      <c r="AD146" s="3132"/>
      <c r="AE146" s="1457"/>
      <c r="AF146" s="3132"/>
      <c r="AG146" s="1457"/>
      <c r="AH146" s="3132"/>
      <c r="AI146" s="1457"/>
      <c r="AJ146" s="2853"/>
      <c r="AK146" s="3028"/>
      <c r="AL146" s="3132"/>
      <c r="AM146" s="1457"/>
      <c r="AN146" s="3132"/>
      <c r="AO146" s="1457"/>
      <c r="AP146" s="3132"/>
      <c r="AQ146" s="1457"/>
      <c r="AR146" s="1458"/>
      <c r="AS146" s="1458"/>
      <c r="AT146" s="3132"/>
      <c r="AU146" s="1457"/>
      <c r="AV146" s="1458"/>
      <c r="AW146" s="1458"/>
      <c r="AX146" s="3139"/>
      <c r="AY146" s="1458"/>
      <c r="AZ146" s="2894"/>
      <c r="BA146" s="3135"/>
      <c r="BB146" s="3135"/>
      <c r="BC146" s="3022"/>
      <c r="BD146" s="2894"/>
      <c r="BE146" s="3074"/>
      <c r="BF146" s="1390">
        <v>42809</v>
      </c>
      <c r="BG146" s="1390">
        <v>42809</v>
      </c>
      <c r="BH146" s="1399">
        <v>42967</v>
      </c>
      <c r="BI146" s="1399">
        <v>42967</v>
      </c>
      <c r="BJ146" s="3074"/>
    </row>
    <row r="147" spans="1:62" ht="28.5" x14ac:dyDescent="0.2">
      <c r="A147" s="1295"/>
      <c r="B147" s="1295"/>
      <c r="C147" s="1296"/>
      <c r="D147" s="3061"/>
      <c r="E147" s="2302"/>
      <c r="F147" s="2035"/>
      <c r="G147" s="2985"/>
      <c r="H147" s="3010"/>
      <c r="I147" s="3011"/>
      <c r="J147" s="3028"/>
      <c r="K147" s="2849"/>
      <c r="L147" s="2869"/>
      <c r="M147" s="3028"/>
      <c r="N147" s="3123"/>
      <c r="O147" s="2952"/>
      <c r="P147" s="3053"/>
      <c r="Q147" s="2849"/>
      <c r="R147" s="3137"/>
      <c r="S147" s="3007"/>
      <c r="T147" s="2849"/>
      <c r="U147" s="2862"/>
      <c r="V147" s="1314" t="s">
        <v>1429</v>
      </c>
      <c r="W147" s="1336">
        <v>5000000</v>
      </c>
      <c r="X147" s="1336">
        <v>5000000</v>
      </c>
      <c r="Y147" s="1336"/>
      <c r="Z147" s="3053"/>
      <c r="AA147" s="3071"/>
      <c r="AB147" s="3143"/>
      <c r="AC147" s="1456"/>
      <c r="AD147" s="3132"/>
      <c r="AE147" s="1457"/>
      <c r="AF147" s="3132"/>
      <c r="AG147" s="1457"/>
      <c r="AH147" s="3132"/>
      <c r="AI147" s="1457"/>
      <c r="AJ147" s="2853"/>
      <c r="AK147" s="3028"/>
      <c r="AL147" s="3132"/>
      <c r="AM147" s="1457"/>
      <c r="AN147" s="3132"/>
      <c r="AO147" s="1457"/>
      <c r="AP147" s="3132"/>
      <c r="AQ147" s="1457"/>
      <c r="AR147" s="1458"/>
      <c r="AS147" s="1458"/>
      <c r="AT147" s="3132"/>
      <c r="AU147" s="1457"/>
      <c r="AV147" s="1458"/>
      <c r="AW147" s="1458"/>
      <c r="AX147" s="3139"/>
      <c r="AY147" s="1458"/>
      <c r="AZ147" s="2894"/>
      <c r="BA147" s="3135"/>
      <c r="BB147" s="3135"/>
      <c r="BC147" s="3022"/>
      <c r="BD147" s="2894"/>
      <c r="BE147" s="3074"/>
      <c r="BF147" s="1390">
        <v>42750</v>
      </c>
      <c r="BG147" s="1390">
        <v>42750</v>
      </c>
      <c r="BH147" s="1399">
        <v>42993</v>
      </c>
      <c r="BI147" s="1399">
        <v>42993</v>
      </c>
      <c r="BJ147" s="3074"/>
    </row>
    <row r="148" spans="1:62" ht="42.75" x14ac:dyDescent="0.2">
      <c r="A148" s="1295"/>
      <c r="B148" s="1295"/>
      <c r="C148" s="1296"/>
      <c r="D148" s="3062"/>
      <c r="E148" s="2303"/>
      <c r="F148" s="2036"/>
      <c r="G148" s="2985"/>
      <c r="H148" s="3010"/>
      <c r="I148" s="3011"/>
      <c r="J148" s="3028"/>
      <c r="K148" s="2849"/>
      <c r="L148" s="2869"/>
      <c r="M148" s="3028"/>
      <c r="N148" s="3124"/>
      <c r="O148" s="2952"/>
      <c r="P148" s="3053"/>
      <c r="Q148" s="2849"/>
      <c r="R148" s="3137"/>
      <c r="S148" s="3007"/>
      <c r="T148" s="2849"/>
      <c r="U148" s="2862"/>
      <c r="V148" s="1334" t="s">
        <v>1430</v>
      </c>
      <c r="W148" s="1407">
        <v>17000000</v>
      </c>
      <c r="X148" s="1336">
        <v>7000000</v>
      </c>
      <c r="Y148" s="1336"/>
      <c r="Z148" s="3053"/>
      <c r="AA148" s="3071"/>
      <c r="AB148" s="3143"/>
      <c r="AC148" s="1456"/>
      <c r="AD148" s="3132"/>
      <c r="AE148" s="1457"/>
      <c r="AF148" s="3132"/>
      <c r="AG148" s="1457"/>
      <c r="AH148" s="3132"/>
      <c r="AI148" s="1457"/>
      <c r="AJ148" s="2853"/>
      <c r="AK148" s="3029"/>
      <c r="AL148" s="3132"/>
      <c r="AM148" s="1457"/>
      <c r="AN148" s="3132"/>
      <c r="AO148" s="1457"/>
      <c r="AP148" s="3132"/>
      <c r="AQ148" s="1457"/>
      <c r="AR148" s="1458"/>
      <c r="AS148" s="1458"/>
      <c r="AT148" s="3132"/>
      <c r="AU148" s="1457"/>
      <c r="AV148" s="1458"/>
      <c r="AW148" s="1458"/>
      <c r="AX148" s="3140"/>
      <c r="AY148" s="1458"/>
      <c r="AZ148" s="2894"/>
      <c r="BA148" s="3136"/>
      <c r="BB148" s="3136"/>
      <c r="BC148" s="3023"/>
      <c r="BD148" s="2895"/>
      <c r="BE148" s="3075"/>
      <c r="BF148" s="1459">
        <v>42750</v>
      </c>
      <c r="BG148" s="1459">
        <v>42750</v>
      </c>
      <c r="BH148" s="1460">
        <v>42993</v>
      </c>
      <c r="BI148" s="1460">
        <v>42993</v>
      </c>
      <c r="BJ148" s="3075"/>
    </row>
    <row r="149" spans="1:62" s="688" customFormat="1" ht="29.25" customHeight="1" x14ac:dyDescent="0.2">
      <c r="A149" s="1280">
        <v>5</v>
      </c>
      <c r="B149" s="754" t="s">
        <v>143</v>
      </c>
      <c r="C149" s="754"/>
      <c r="D149" s="754"/>
      <c r="E149" s="754"/>
      <c r="F149" s="754"/>
      <c r="G149" s="754"/>
      <c r="H149" s="754"/>
      <c r="I149" s="754"/>
      <c r="J149" s="754"/>
      <c r="K149" s="1281"/>
      <c r="L149" s="754"/>
      <c r="M149" s="754"/>
      <c r="N149" s="754"/>
      <c r="O149" s="754"/>
      <c r="P149" s="754"/>
      <c r="Q149" s="755"/>
      <c r="R149" s="1282"/>
      <c r="S149" s="1283"/>
      <c r="T149" s="755"/>
      <c r="U149" s="1281"/>
      <c r="V149" s="1281"/>
      <c r="W149" s="1284"/>
      <c r="X149" s="1284"/>
      <c r="Y149" s="1284"/>
      <c r="Z149" s="1284"/>
      <c r="AA149" s="1461"/>
      <c r="AB149" s="1284"/>
      <c r="AC149" s="1284"/>
      <c r="AD149" s="1284"/>
      <c r="AE149" s="1284"/>
      <c r="AF149" s="1284"/>
      <c r="AG149" s="1284"/>
      <c r="AH149" s="1284"/>
      <c r="AI149" s="1284"/>
      <c r="AJ149" s="1284"/>
      <c r="AK149" s="1284"/>
      <c r="AL149" s="1284"/>
      <c r="AM149" s="1284"/>
      <c r="AN149" s="1284"/>
      <c r="AO149" s="1284"/>
      <c r="AP149" s="1284"/>
      <c r="AQ149" s="1284"/>
      <c r="AR149" s="1284"/>
      <c r="AS149" s="1284"/>
      <c r="AT149" s="1284"/>
      <c r="AU149" s="1284"/>
      <c r="AV149" s="1284"/>
      <c r="AW149" s="1284"/>
      <c r="AX149" s="1284"/>
      <c r="AY149" s="1284"/>
      <c r="AZ149" s="1284"/>
      <c r="BA149" s="1284"/>
      <c r="BB149" s="1284"/>
      <c r="BC149" s="1285"/>
      <c r="BD149" s="1284"/>
      <c r="BE149" s="1284"/>
      <c r="BF149" s="1284"/>
      <c r="BG149" s="1284"/>
      <c r="BH149" s="1284"/>
      <c r="BI149" s="1284"/>
      <c r="BJ149" s="1462"/>
    </row>
    <row r="150" spans="1:62" s="192" customFormat="1" ht="26.25" customHeight="1" x14ac:dyDescent="0.2">
      <c r="A150" s="2838"/>
      <c r="B150" s="2838"/>
      <c r="C150" s="2839"/>
      <c r="D150" s="1288">
        <v>26</v>
      </c>
      <c r="E150" s="767" t="s">
        <v>246</v>
      </c>
      <c r="F150" s="767"/>
      <c r="G150" s="767"/>
      <c r="H150" s="767"/>
      <c r="I150" s="767"/>
      <c r="J150" s="767"/>
      <c r="K150" s="1289"/>
      <c r="L150" s="767"/>
      <c r="M150" s="767"/>
      <c r="N150" s="767"/>
      <c r="O150" s="767"/>
      <c r="P150" s="767"/>
      <c r="Q150" s="768"/>
      <c r="R150" s="1290"/>
      <c r="S150" s="1291"/>
      <c r="T150" s="768"/>
      <c r="U150" s="1289"/>
      <c r="V150" s="1289"/>
      <c r="W150" s="1292"/>
      <c r="X150" s="1292"/>
      <c r="Y150" s="1292"/>
      <c r="Z150" s="1292"/>
      <c r="AA150" s="1366"/>
      <c r="AB150" s="1292"/>
      <c r="AC150" s="1292"/>
      <c r="AD150" s="1292"/>
      <c r="AE150" s="1292"/>
      <c r="AF150" s="1292"/>
      <c r="AG150" s="1292"/>
      <c r="AH150" s="1292"/>
      <c r="AI150" s="1292"/>
      <c r="AJ150" s="1292"/>
      <c r="AK150" s="1292"/>
      <c r="AL150" s="1292"/>
      <c r="AM150" s="1292"/>
      <c r="AN150" s="1292"/>
      <c r="AO150" s="1292"/>
      <c r="AP150" s="1292"/>
      <c r="AQ150" s="1292"/>
      <c r="AR150" s="1292"/>
      <c r="AS150" s="1292"/>
      <c r="AT150" s="1292"/>
      <c r="AU150" s="1292"/>
      <c r="AV150" s="1292"/>
      <c r="AW150" s="1292"/>
      <c r="AX150" s="1292"/>
      <c r="AY150" s="1292"/>
      <c r="AZ150" s="1292"/>
      <c r="BA150" s="1292"/>
      <c r="BB150" s="1292"/>
      <c r="BC150" s="1294"/>
      <c r="BD150" s="1292"/>
      <c r="BE150" s="1292"/>
      <c r="BF150" s="1292"/>
      <c r="BG150" s="1292"/>
      <c r="BH150" s="1292"/>
      <c r="BI150" s="1292"/>
      <c r="BJ150" s="775"/>
    </row>
    <row r="151" spans="1:62" s="192" customFormat="1" ht="25.5" customHeight="1" x14ac:dyDescent="0.2">
      <c r="A151" s="2841"/>
      <c r="B151" s="2841"/>
      <c r="C151" s="2842"/>
      <c r="D151" s="2304"/>
      <c r="E151" s="2305"/>
      <c r="F151" s="2037"/>
      <c r="G151" s="1297">
        <v>84</v>
      </c>
      <c r="H151" s="105" t="s">
        <v>1431</v>
      </c>
      <c r="I151" s="105"/>
      <c r="J151" s="105"/>
      <c r="K151" s="1298"/>
      <c r="L151" s="105"/>
      <c r="M151" s="105"/>
      <c r="N151" s="105"/>
      <c r="O151" s="105"/>
      <c r="P151" s="105"/>
      <c r="Q151" s="105"/>
      <c r="R151" s="1299"/>
      <c r="S151" s="1300"/>
      <c r="T151" s="73"/>
      <c r="U151" s="1298"/>
      <c r="V151" s="1298"/>
      <c r="W151" s="1301"/>
      <c r="X151" s="1301"/>
      <c r="Y151" s="1301"/>
      <c r="Z151" s="1301"/>
      <c r="AA151" s="1370"/>
      <c r="AB151" s="1301"/>
      <c r="AC151" s="1301"/>
      <c r="AD151" s="1301"/>
      <c r="AE151" s="1301"/>
      <c r="AF151" s="1301"/>
      <c r="AG151" s="1301"/>
      <c r="AH151" s="1301"/>
      <c r="AI151" s="1301"/>
      <c r="AJ151" s="1301"/>
      <c r="AK151" s="1301"/>
      <c r="AL151" s="1301"/>
      <c r="AM151" s="1301"/>
      <c r="AN151" s="1301"/>
      <c r="AO151" s="1301"/>
      <c r="AP151" s="1301"/>
      <c r="AQ151" s="1301"/>
      <c r="AR151" s="1301"/>
      <c r="AS151" s="1301"/>
      <c r="AT151" s="1301"/>
      <c r="AU151" s="1301"/>
      <c r="AV151" s="1301"/>
      <c r="AW151" s="1301"/>
      <c r="AX151" s="1301"/>
      <c r="AY151" s="1301"/>
      <c r="AZ151" s="1301"/>
      <c r="BA151" s="1301"/>
      <c r="BB151" s="1301"/>
      <c r="BC151" s="1302"/>
      <c r="BD151" s="1301"/>
      <c r="BE151" s="1301"/>
      <c r="BF151" s="1301"/>
      <c r="BG151" s="1301"/>
      <c r="BH151" s="1301"/>
      <c r="BI151" s="1301"/>
      <c r="BJ151" s="1371"/>
    </row>
    <row r="152" spans="1:62" ht="42.75" x14ac:dyDescent="0.2">
      <c r="A152" s="2841"/>
      <c r="B152" s="2841"/>
      <c r="C152" s="2842"/>
      <c r="D152" s="3061"/>
      <c r="E152" s="3065"/>
      <c r="F152" s="3066"/>
      <c r="G152" s="2984"/>
      <c r="H152" s="3008"/>
      <c r="I152" s="3009"/>
      <c r="J152" s="2852">
        <v>247</v>
      </c>
      <c r="K152" s="2848" t="s">
        <v>1432</v>
      </c>
      <c r="L152" s="2868" t="s">
        <v>1433</v>
      </c>
      <c r="M152" s="3027">
        <v>1</v>
      </c>
      <c r="N152" s="3128">
        <v>0.37</v>
      </c>
      <c r="O152" s="2936" t="s">
        <v>1434</v>
      </c>
      <c r="P152" s="3052" t="s">
        <v>1435</v>
      </c>
      <c r="Q152" s="2848" t="s">
        <v>1436</v>
      </c>
      <c r="R152" s="3055">
        <v>1</v>
      </c>
      <c r="S152" s="3002">
        <f>SUM(W152:W156)</f>
        <v>40000000</v>
      </c>
      <c r="T152" s="3004" t="s">
        <v>1437</v>
      </c>
      <c r="U152" s="2861" t="s">
        <v>1438</v>
      </c>
      <c r="V152" s="1325" t="s">
        <v>1439</v>
      </c>
      <c r="W152" s="1336">
        <v>27000000</v>
      </c>
      <c r="X152" s="1336">
        <f>4320000+1800000+4320000+2000000+2000000+2000000+2000000+2000000+2000000+1400000</f>
        <v>23840000</v>
      </c>
      <c r="Y152" s="1336">
        <f>3600000+1800000+2000000+2000000+1700000+2000000+1700000</f>
        <v>14800000</v>
      </c>
      <c r="Z152" s="3144">
        <v>20</v>
      </c>
      <c r="AA152" s="1463"/>
      <c r="AB152" s="3142"/>
      <c r="AC152" s="1452"/>
      <c r="AD152" s="3131"/>
      <c r="AE152" s="1453"/>
      <c r="AF152" s="3131"/>
      <c r="AG152" s="1453"/>
      <c r="AH152" s="3131"/>
      <c r="AI152" s="1453"/>
      <c r="AJ152" s="2852">
        <v>700</v>
      </c>
      <c r="AK152" s="3027">
        <v>454</v>
      </c>
      <c r="AL152" s="3131"/>
      <c r="AM152" s="1453"/>
      <c r="AN152" s="3131"/>
      <c r="AO152" s="1453"/>
      <c r="AP152" s="3131"/>
      <c r="AQ152" s="1453"/>
      <c r="AR152" s="1454"/>
      <c r="AS152" s="1454"/>
      <c r="AT152" s="3131"/>
      <c r="AU152" s="1453"/>
      <c r="AV152" s="1454"/>
      <c r="AW152" s="1454"/>
      <c r="AX152" s="3138"/>
      <c r="AY152" s="1454"/>
      <c r="AZ152" s="2893">
        <v>3</v>
      </c>
      <c r="BA152" s="3134">
        <f>SUM(X152:X156)</f>
        <v>25940000</v>
      </c>
      <c r="BB152" s="3134">
        <f>SUM(Y152:Y156)</f>
        <v>14800000</v>
      </c>
      <c r="BC152" s="3021">
        <f>BB152/BA152</f>
        <v>0.57054741711642254</v>
      </c>
      <c r="BD152" s="3144">
        <v>20</v>
      </c>
      <c r="BE152" s="3073" t="s">
        <v>1426</v>
      </c>
      <c r="BF152" s="1390">
        <v>42750</v>
      </c>
      <c r="BG152" s="1390">
        <v>42750</v>
      </c>
      <c r="BH152" s="1399">
        <v>42993</v>
      </c>
      <c r="BI152" s="1399">
        <v>42993</v>
      </c>
      <c r="BJ152" s="3073" t="s">
        <v>1402</v>
      </c>
    </row>
    <row r="153" spans="1:62" ht="24" customHeight="1" x14ac:dyDescent="0.2">
      <c r="A153" s="2841"/>
      <c r="B153" s="2841"/>
      <c r="C153" s="2842"/>
      <c r="D153" s="3061"/>
      <c r="E153" s="3065"/>
      <c r="F153" s="3066"/>
      <c r="G153" s="2985"/>
      <c r="H153" s="3010"/>
      <c r="I153" s="3011"/>
      <c r="J153" s="2853"/>
      <c r="K153" s="2849"/>
      <c r="L153" s="2869"/>
      <c r="M153" s="3028"/>
      <c r="N153" s="3129"/>
      <c r="O153" s="2952"/>
      <c r="P153" s="3053"/>
      <c r="Q153" s="2849"/>
      <c r="R153" s="3137"/>
      <c r="S153" s="3007"/>
      <c r="T153" s="3005"/>
      <c r="U153" s="2862"/>
      <c r="V153" s="1314" t="s">
        <v>1440</v>
      </c>
      <c r="W153" s="1336">
        <v>6000000</v>
      </c>
      <c r="X153" s="1336">
        <v>1100000</v>
      </c>
      <c r="Y153" s="1336"/>
      <c r="Z153" s="3145"/>
      <c r="AA153" s="1464"/>
      <c r="AB153" s="3143"/>
      <c r="AC153" s="1456"/>
      <c r="AD153" s="3132"/>
      <c r="AE153" s="1457"/>
      <c r="AF153" s="3132"/>
      <c r="AG153" s="1457"/>
      <c r="AH153" s="3132"/>
      <c r="AI153" s="1457"/>
      <c r="AJ153" s="2853"/>
      <c r="AK153" s="3028"/>
      <c r="AL153" s="3132"/>
      <c r="AM153" s="1457"/>
      <c r="AN153" s="3132"/>
      <c r="AO153" s="1457"/>
      <c r="AP153" s="3132"/>
      <c r="AQ153" s="1457"/>
      <c r="AR153" s="1458"/>
      <c r="AS153" s="1458"/>
      <c r="AT153" s="3132"/>
      <c r="AU153" s="1457"/>
      <c r="AV153" s="1458"/>
      <c r="AW153" s="1458"/>
      <c r="AX153" s="3139"/>
      <c r="AY153" s="1458"/>
      <c r="AZ153" s="2894"/>
      <c r="BA153" s="3135"/>
      <c r="BB153" s="3135"/>
      <c r="BC153" s="3022"/>
      <c r="BD153" s="3145"/>
      <c r="BE153" s="3074"/>
      <c r="BF153" s="1390">
        <v>42809</v>
      </c>
      <c r="BG153" s="1390">
        <v>42809</v>
      </c>
      <c r="BH153" s="1399">
        <v>42967</v>
      </c>
      <c r="BI153" s="1399">
        <v>42967</v>
      </c>
      <c r="BJ153" s="3074"/>
    </row>
    <row r="154" spans="1:62" ht="71.25" x14ac:dyDescent="0.2">
      <c r="A154" s="2841"/>
      <c r="B154" s="2841"/>
      <c r="C154" s="2842"/>
      <c r="D154" s="3061"/>
      <c r="E154" s="3065"/>
      <c r="F154" s="3066"/>
      <c r="G154" s="2985"/>
      <c r="H154" s="3010"/>
      <c r="I154" s="3011"/>
      <c r="J154" s="2853"/>
      <c r="K154" s="2849"/>
      <c r="L154" s="2869"/>
      <c r="M154" s="3028"/>
      <c r="N154" s="3129"/>
      <c r="O154" s="2952"/>
      <c r="P154" s="3053"/>
      <c r="Q154" s="2849"/>
      <c r="R154" s="3137"/>
      <c r="S154" s="3007"/>
      <c r="T154" s="3005"/>
      <c r="U154" s="2862"/>
      <c r="V154" s="1314" t="s">
        <v>1441</v>
      </c>
      <c r="W154" s="1336">
        <v>3000000</v>
      </c>
      <c r="X154" s="1336"/>
      <c r="Y154" s="1336"/>
      <c r="Z154" s="3145"/>
      <c r="AA154" s="1331" t="s">
        <v>208</v>
      </c>
      <c r="AB154" s="3143"/>
      <c r="AC154" s="1456"/>
      <c r="AD154" s="3132"/>
      <c r="AE154" s="1457"/>
      <c r="AF154" s="3132"/>
      <c r="AG154" s="1457"/>
      <c r="AH154" s="3132"/>
      <c r="AI154" s="1457"/>
      <c r="AJ154" s="2853"/>
      <c r="AK154" s="3028"/>
      <c r="AL154" s="3132"/>
      <c r="AM154" s="1457"/>
      <c r="AN154" s="3132"/>
      <c r="AO154" s="1457"/>
      <c r="AP154" s="3132"/>
      <c r="AQ154" s="1457"/>
      <c r="AR154" s="1458"/>
      <c r="AS154" s="1458"/>
      <c r="AT154" s="3132"/>
      <c r="AU154" s="1457"/>
      <c r="AV154" s="1458"/>
      <c r="AW154" s="1458"/>
      <c r="AX154" s="3139"/>
      <c r="AY154" s="1458"/>
      <c r="AZ154" s="2894"/>
      <c r="BA154" s="3135"/>
      <c r="BB154" s="3135"/>
      <c r="BC154" s="3022"/>
      <c r="BD154" s="3145"/>
      <c r="BE154" s="3074"/>
      <c r="BF154" s="1390">
        <v>42809</v>
      </c>
      <c r="BG154" s="1390">
        <v>42809</v>
      </c>
      <c r="BH154" s="1399">
        <v>42967</v>
      </c>
      <c r="BI154" s="1399">
        <v>42967</v>
      </c>
      <c r="BJ154" s="3074"/>
    </row>
    <row r="155" spans="1:62" ht="71.25" x14ac:dyDescent="0.2">
      <c r="A155" s="2841"/>
      <c r="B155" s="2841"/>
      <c r="C155" s="2842"/>
      <c r="D155" s="3061"/>
      <c r="E155" s="3065"/>
      <c r="F155" s="3066"/>
      <c r="G155" s="2985"/>
      <c r="H155" s="3010"/>
      <c r="I155" s="3011"/>
      <c r="J155" s="2853"/>
      <c r="K155" s="2849"/>
      <c r="L155" s="2869"/>
      <c r="M155" s="3028"/>
      <c r="N155" s="3129"/>
      <c r="O155" s="2952"/>
      <c r="P155" s="3053"/>
      <c r="Q155" s="2849"/>
      <c r="R155" s="3137"/>
      <c r="S155" s="3007"/>
      <c r="T155" s="3005"/>
      <c r="U155" s="2862"/>
      <c r="V155" s="1314" t="s">
        <v>1442</v>
      </c>
      <c r="W155" s="1336">
        <v>3000000</v>
      </c>
      <c r="X155" s="1336"/>
      <c r="Y155" s="1336"/>
      <c r="Z155" s="3145"/>
      <c r="AA155" s="1331"/>
      <c r="AB155" s="3143"/>
      <c r="AC155" s="1456"/>
      <c r="AD155" s="3132"/>
      <c r="AE155" s="1457"/>
      <c r="AF155" s="3132"/>
      <c r="AG155" s="1457"/>
      <c r="AH155" s="3132"/>
      <c r="AI155" s="1457"/>
      <c r="AJ155" s="2853"/>
      <c r="AK155" s="3028"/>
      <c r="AL155" s="3132"/>
      <c r="AM155" s="1457"/>
      <c r="AN155" s="3132"/>
      <c r="AO155" s="1457"/>
      <c r="AP155" s="3132"/>
      <c r="AQ155" s="1457"/>
      <c r="AR155" s="1458"/>
      <c r="AS155" s="1458"/>
      <c r="AT155" s="3132"/>
      <c r="AU155" s="1457"/>
      <c r="AV155" s="1458"/>
      <c r="AW155" s="1458"/>
      <c r="AX155" s="3139"/>
      <c r="AY155" s="1458"/>
      <c r="AZ155" s="2894"/>
      <c r="BA155" s="3135"/>
      <c r="BB155" s="3135"/>
      <c r="BC155" s="3022"/>
      <c r="BD155" s="3145"/>
      <c r="BE155" s="3074"/>
      <c r="BF155" s="1390">
        <v>42809</v>
      </c>
      <c r="BG155" s="1390">
        <v>42809</v>
      </c>
      <c r="BH155" s="1399">
        <v>42967</v>
      </c>
      <c r="BI155" s="1399">
        <v>42967</v>
      </c>
      <c r="BJ155" s="3074"/>
    </row>
    <row r="156" spans="1:62" ht="27.75" customHeight="1" x14ac:dyDescent="0.2">
      <c r="A156" s="2844"/>
      <c r="B156" s="2844"/>
      <c r="C156" s="2845"/>
      <c r="D156" s="3062"/>
      <c r="E156" s="3067"/>
      <c r="F156" s="3068"/>
      <c r="G156" s="2986"/>
      <c r="H156" s="3012"/>
      <c r="I156" s="3013"/>
      <c r="J156" s="3016"/>
      <c r="K156" s="2860"/>
      <c r="L156" s="2870"/>
      <c r="M156" s="3029"/>
      <c r="N156" s="3130"/>
      <c r="O156" s="2937"/>
      <c r="P156" s="3054"/>
      <c r="Q156" s="2860"/>
      <c r="R156" s="3056"/>
      <c r="S156" s="3003"/>
      <c r="T156" s="3006"/>
      <c r="U156" s="2863"/>
      <c r="V156" s="1314" t="s">
        <v>1443</v>
      </c>
      <c r="W156" s="1336">
        <v>1000000</v>
      </c>
      <c r="X156" s="1336">
        <v>1000000</v>
      </c>
      <c r="Y156" s="1336"/>
      <c r="Z156" s="3146"/>
      <c r="AA156" s="1465"/>
      <c r="AB156" s="3147"/>
      <c r="AC156" s="1466"/>
      <c r="AD156" s="3133"/>
      <c r="AE156" s="1467"/>
      <c r="AF156" s="3133"/>
      <c r="AG156" s="1467"/>
      <c r="AH156" s="3133"/>
      <c r="AI156" s="1467"/>
      <c r="AJ156" s="3016"/>
      <c r="AK156" s="3029"/>
      <c r="AL156" s="3133"/>
      <c r="AM156" s="1467"/>
      <c r="AN156" s="3133"/>
      <c r="AO156" s="1467"/>
      <c r="AP156" s="3133"/>
      <c r="AQ156" s="1467"/>
      <c r="AR156" s="1468"/>
      <c r="AS156" s="1468"/>
      <c r="AT156" s="3133"/>
      <c r="AU156" s="1467"/>
      <c r="AV156" s="1468"/>
      <c r="AW156" s="1468"/>
      <c r="AX156" s="3140"/>
      <c r="AY156" s="1468"/>
      <c r="AZ156" s="2895"/>
      <c r="BA156" s="3136"/>
      <c r="BB156" s="3136"/>
      <c r="BC156" s="3023"/>
      <c r="BD156" s="3146"/>
      <c r="BE156" s="3075"/>
      <c r="BF156" s="1390">
        <v>42750</v>
      </c>
      <c r="BG156" s="1390">
        <v>42750</v>
      </c>
      <c r="BH156" s="1399">
        <v>42993</v>
      </c>
      <c r="BI156" s="1399">
        <v>42993</v>
      </c>
      <c r="BJ156" s="3075"/>
    </row>
    <row r="157" spans="1:62" ht="26.25" customHeight="1" x14ac:dyDescent="0.2">
      <c r="A157" s="1469"/>
      <c r="B157" s="1470"/>
      <c r="C157" s="1470"/>
      <c r="D157" s="1470"/>
      <c r="E157" s="1470"/>
      <c r="F157" s="1470"/>
      <c r="G157" s="1470"/>
      <c r="H157" s="1470"/>
      <c r="I157" s="1470"/>
      <c r="J157" s="1470"/>
      <c r="K157" s="1471"/>
      <c r="L157" s="1472"/>
      <c r="M157" s="1472"/>
      <c r="N157" s="1472"/>
      <c r="O157" s="1472"/>
      <c r="P157" s="1473"/>
      <c r="Q157" s="1474"/>
      <c r="R157" s="1475" t="s">
        <v>140</v>
      </c>
      <c r="S157" s="1476">
        <f>SUM(S15:S156)</f>
        <v>11363981388</v>
      </c>
      <c r="T157" s="1477"/>
      <c r="U157" s="1478"/>
      <c r="V157" s="1479"/>
      <c r="W157" s="1476">
        <f>SUM(W15:W156)</f>
        <v>11363981388</v>
      </c>
      <c r="X157" s="1476">
        <f>SUM(X15:X156)</f>
        <v>909921705</v>
      </c>
      <c r="Y157" s="1476">
        <f>SUM(Y15:Y156)</f>
        <v>187691784</v>
      </c>
      <c r="Z157" s="1480"/>
      <c r="AA157" s="1481"/>
      <c r="AB157" s="1470"/>
      <c r="AC157" s="1470"/>
      <c r="AD157" s="1470"/>
      <c r="AE157" s="1470"/>
      <c r="AF157" s="1470"/>
      <c r="AG157" s="1470"/>
      <c r="AH157" s="1470"/>
      <c r="AI157" s="1470"/>
      <c r="AJ157" s="1470"/>
      <c r="AK157" s="1470"/>
      <c r="AL157" s="1470"/>
      <c r="AM157" s="1470"/>
      <c r="AN157" s="1470"/>
      <c r="AO157" s="1470"/>
      <c r="AP157" s="1470"/>
      <c r="AQ157" s="1470"/>
      <c r="AR157" s="1473"/>
      <c r="AS157" s="1473"/>
      <c r="AT157" s="1470"/>
      <c r="AU157" s="1470"/>
      <c r="AV157" s="1473"/>
      <c r="AW157" s="1473"/>
      <c r="AX157" s="1473"/>
      <c r="AY157" s="1473"/>
      <c r="AZ157" s="1482"/>
      <c r="BA157" s="1483">
        <f>SUM(BA15:BA156)</f>
        <v>909921705</v>
      </c>
      <c r="BB157" s="1483">
        <f>SUM(BB15:BB156)</f>
        <v>187691784</v>
      </c>
      <c r="BC157" s="1484">
        <f>BB157/BA157</f>
        <v>0.20627245505699857</v>
      </c>
      <c r="BD157" s="1485"/>
      <c r="BE157" s="1473"/>
      <c r="BF157" s="1486"/>
      <c r="BG157" s="1486"/>
      <c r="BH157" s="1487"/>
      <c r="BI157" s="1487"/>
      <c r="BJ157" s="1488"/>
    </row>
    <row r="158" spans="1:62" x14ac:dyDescent="0.2">
      <c r="A158" s="1489"/>
      <c r="B158" s="1489"/>
      <c r="C158" s="1489"/>
      <c r="D158" s="1489"/>
      <c r="E158" s="1489"/>
      <c r="F158" s="1489"/>
      <c r="G158" s="1489"/>
      <c r="H158" s="1489"/>
      <c r="I158" s="1489"/>
      <c r="J158" s="1489"/>
      <c r="K158" s="1490"/>
      <c r="L158" s="1491"/>
      <c r="M158" s="1491"/>
      <c r="N158" s="1491"/>
      <c r="O158" s="1491"/>
      <c r="P158" s="1492"/>
      <c r="Q158" s="1493"/>
      <c r="R158" s="1494"/>
      <c r="S158" s="1491"/>
      <c r="T158" s="1491"/>
      <c r="U158" s="1490"/>
      <c r="V158" s="1490"/>
      <c r="W158" s="1495"/>
      <c r="X158" s="1495"/>
      <c r="Y158" s="1495"/>
      <c r="Z158" s="1496"/>
      <c r="AA158" s="1497"/>
      <c r="AB158" s="1489"/>
      <c r="AC158" s="1489"/>
      <c r="AD158" s="1489"/>
      <c r="AE158" s="1489"/>
      <c r="AF158" s="1489"/>
      <c r="AG158" s="1489"/>
      <c r="AH158" s="1489"/>
      <c r="AI158" s="1489"/>
      <c r="AJ158" s="1489"/>
      <c r="AK158" s="1489"/>
      <c r="AL158" s="1489"/>
      <c r="AM158" s="1489"/>
      <c r="AN158" s="1489"/>
      <c r="AO158" s="1489"/>
      <c r="AP158" s="1489"/>
      <c r="AQ158" s="1489"/>
      <c r="AR158" s="1492"/>
      <c r="AS158" s="1492"/>
      <c r="AT158" s="1489"/>
      <c r="AU158" s="1489"/>
      <c r="AV158" s="1492"/>
      <c r="AW158" s="1492"/>
      <c r="AX158" s="1492"/>
      <c r="AY158" s="1492"/>
      <c r="AZ158" s="1492"/>
      <c r="BA158" s="1492"/>
      <c r="BB158" s="1492"/>
      <c r="BC158" s="1498"/>
      <c r="BD158" s="1492"/>
      <c r="BE158" s="1492"/>
      <c r="BF158" s="1499"/>
      <c r="BG158" s="1499"/>
      <c r="BH158" s="1500"/>
      <c r="BI158" s="1500"/>
      <c r="BJ158" s="1501"/>
    </row>
    <row r="159" spans="1:62" x14ac:dyDescent="0.2">
      <c r="A159" s="1489"/>
      <c r="B159" s="1489"/>
      <c r="C159" s="1489"/>
      <c r="D159" s="1489"/>
      <c r="E159" s="1489"/>
      <c r="F159" s="1489"/>
      <c r="G159" s="1489"/>
      <c r="H159" s="1489"/>
      <c r="I159" s="1489"/>
      <c r="J159" s="1489"/>
      <c r="K159" s="1490"/>
      <c r="L159" s="1491"/>
      <c r="M159" s="1491"/>
      <c r="N159" s="1491"/>
      <c r="O159" s="1491"/>
      <c r="P159" s="1492"/>
      <c r="Q159" s="1493"/>
      <c r="R159" s="1494"/>
      <c r="S159" s="1491"/>
      <c r="T159" s="1491"/>
      <c r="U159" s="1490"/>
      <c r="V159" s="1490"/>
      <c r="W159" s="1495"/>
      <c r="X159" s="1495"/>
      <c r="Y159" s="1495"/>
      <c r="Z159" s="1496"/>
      <c r="AA159" s="1497"/>
      <c r="AB159" s="1489"/>
      <c r="AC159" s="1489"/>
      <c r="AD159" s="1489"/>
      <c r="AE159" s="1489"/>
      <c r="AF159" s="1489"/>
      <c r="AG159" s="1489"/>
      <c r="AH159" s="1489"/>
      <c r="AI159" s="1489"/>
      <c r="AJ159" s="1489"/>
      <c r="AK159" s="1489"/>
      <c r="AL159" s="1489"/>
      <c r="AM159" s="1489"/>
      <c r="AN159" s="1489"/>
      <c r="AO159" s="1489"/>
      <c r="AP159" s="1489"/>
      <c r="AQ159" s="1489"/>
      <c r="AR159" s="1492"/>
      <c r="AS159" s="1492"/>
      <c r="AT159" s="1489"/>
      <c r="AU159" s="1489"/>
      <c r="AV159" s="1492"/>
      <c r="AW159" s="1492"/>
      <c r="AX159" s="1492"/>
      <c r="AY159" s="1492"/>
      <c r="AZ159" s="1492"/>
      <c r="BA159" s="1492"/>
      <c r="BB159" s="1492"/>
      <c r="BC159" s="1498"/>
      <c r="BD159" s="1492"/>
      <c r="BE159" s="1492"/>
      <c r="BF159" s="1499"/>
      <c r="BG159" s="1499"/>
      <c r="BH159" s="1500"/>
      <c r="BI159" s="1500"/>
      <c r="BJ159" s="1501"/>
    </row>
    <row r="160" spans="1:62" x14ac:dyDescent="0.2">
      <c r="A160" s="1489"/>
      <c r="B160" s="1489"/>
      <c r="C160" s="1489"/>
      <c r="D160" s="1489"/>
      <c r="E160" s="1489"/>
      <c r="F160" s="1489"/>
      <c r="G160" s="1489"/>
      <c r="H160" s="1489"/>
      <c r="I160" s="1489"/>
      <c r="J160" s="1489"/>
      <c r="K160" s="1502"/>
      <c r="L160" s="1491"/>
      <c r="M160" s="1491"/>
      <c r="N160" s="1491"/>
      <c r="O160" s="1491"/>
      <c r="P160" s="1492"/>
      <c r="Q160" s="1493"/>
      <c r="R160" s="1494"/>
      <c r="S160" s="1491"/>
      <c r="T160" s="1491"/>
      <c r="U160" s="1490"/>
      <c r="V160" s="1490"/>
      <c r="W160" s="1495"/>
      <c r="X160" s="1495"/>
      <c r="Y160" s="1495"/>
      <c r="Z160" s="1496"/>
      <c r="AA160" s="1497"/>
      <c r="AB160" s="1489"/>
      <c r="AC160" s="1489"/>
      <c r="AD160" s="1489"/>
      <c r="AE160" s="1489"/>
      <c r="AF160" s="1489"/>
      <c r="AG160" s="1489"/>
      <c r="AH160" s="1489"/>
      <c r="AI160" s="1489"/>
      <c r="AJ160" s="1489"/>
      <c r="AK160" s="1489"/>
      <c r="AL160" s="1489"/>
      <c r="AM160" s="1489"/>
      <c r="AN160" s="1489"/>
      <c r="AO160" s="1489"/>
      <c r="AP160" s="1489"/>
      <c r="AQ160" s="1489"/>
      <c r="AR160" s="1492"/>
      <c r="AS160" s="1492"/>
      <c r="AT160" s="1489"/>
      <c r="AU160" s="1489"/>
      <c r="AV160" s="1492"/>
      <c r="AW160" s="1492"/>
      <c r="AX160" s="1492"/>
      <c r="AY160" s="1492"/>
      <c r="AZ160" s="1492"/>
      <c r="BA160" s="1492"/>
      <c r="BB160" s="1492"/>
      <c r="BC160" s="1498"/>
      <c r="BD160" s="1492"/>
      <c r="BE160" s="1492"/>
      <c r="BF160" s="1499"/>
      <c r="BG160" s="1499"/>
      <c r="BH160" s="1500"/>
      <c r="BI160" s="1500"/>
      <c r="BJ160" s="1501"/>
    </row>
    <row r="161" spans="1:62" x14ac:dyDescent="0.2">
      <c r="A161" s="1489"/>
      <c r="B161" s="1489"/>
      <c r="C161" s="1489"/>
      <c r="D161" s="1489"/>
      <c r="E161" s="1489"/>
      <c r="F161" s="1489"/>
      <c r="G161" s="1489"/>
      <c r="H161" s="1489"/>
      <c r="I161" s="1489"/>
      <c r="J161" s="1489"/>
      <c r="K161" s="1490"/>
      <c r="L161" s="1491"/>
      <c r="M161" s="1491"/>
      <c r="N161" s="1491"/>
      <c r="O161" s="1491"/>
      <c r="P161" s="1492"/>
      <c r="Q161" s="1493"/>
      <c r="R161" s="1494"/>
      <c r="S161" s="1491"/>
      <c r="T161" s="1491"/>
      <c r="U161" s="1490"/>
      <c r="V161" s="1490"/>
      <c r="W161" s="1495"/>
      <c r="X161" s="1495"/>
      <c r="Y161" s="1495"/>
      <c r="Z161" s="1496"/>
      <c r="AA161" s="1497"/>
      <c r="AB161" s="1489"/>
      <c r="AC161" s="1489"/>
      <c r="AD161" s="1489"/>
      <c r="AE161" s="1489"/>
      <c r="AF161" s="1489"/>
      <c r="AG161" s="1489"/>
      <c r="AH161" s="1489"/>
      <c r="AI161" s="1489"/>
      <c r="AJ161" s="1489"/>
      <c r="AK161" s="1489"/>
      <c r="AL161" s="1489"/>
      <c r="AM161" s="1489"/>
      <c r="AN161" s="1489"/>
      <c r="AO161" s="1489"/>
      <c r="AP161" s="1489"/>
      <c r="AQ161" s="1489"/>
      <c r="AR161" s="1492"/>
      <c r="AS161" s="1492"/>
      <c r="AT161" s="1489"/>
      <c r="AU161" s="1489"/>
      <c r="AV161" s="1492"/>
      <c r="AW161" s="1492"/>
      <c r="AX161" s="1492"/>
      <c r="AY161" s="1492"/>
      <c r="AZ161" s="1492"/>
      <c r="BA161" s="1492"/>
      <c r="BB161" s="1492"/>
      <c r="BC161" s="1498"/>
      <c r="BD161" s="1492"/>
      <c r="BE161" s="1492"/>
      <c r="BF161" s="1499"/>
      <c r="BG161" s="1499"/>
      <c r="BH161" s="1500"/>
      <c r="BI161" s="1500"/>
      <c r="BJ161" s="1501"/>
    </row>
    <row r="162" spans="1:62" x14ac:dyDescent="0.2">
      <c r="Z162" s="1507"/>
      <c r="AX162" s="1307"/>
      <c r="AY162" s="1307"/>
      <c r="AZ162" s="1307"/>
      <c r="BA162" s="1307"/>
      <c r="BB162" s="1307"/>
      <c r="BC162" s="1509"/>
      <c r="BD162" s="1307"/>
      <c r="BE162" s="1307"/>
    </row>
    <row r="163" spans="1:62" s="1510" customFormat="1" x14ac:dyDescent="0.2">
      <c r="A163" s="1279"/>
      <c r="B163" s="1279"/>
      <c r="C163" s="1279"/>
      <c r="D163" s="1279"/>
      <c r="E163" s="1279"/>
      <c r="F163" s="1279"/>
      <c r="G163" s="1279"/>
      <c r="H163" s="1279"/>
      <c r="I163" s="1279"/>
      <c r="J163" s="1279"/>
      <c r="K163" s="1503"/>
      <c r="L163" s="1312"/>
      <c r="M163" s="1312"/>
      <c r="N163" s="1312"/>
      <c r="O163" s="1312"/>
      <c r="P163" s="1307"/>
      <c r="Q163" s="1504"/>
      <c r="R163" s="1505"/>
      <c r="S163" s="1312"/>
      <c r="T163" s="1312"/>
      <c r="U163" s="1503"/>
      <c r="V163" s="1503"/>
      <c r="W163" s="1506"/>
      <c r="X163" s="1506"/>
      <c r="Y163" s="1506"/>
      <c r="Z163" s="1513"/>
      <c r="AA163" s="1508"/>
      <c r="AB163" s="1279"/>
      <c r="AC163" s="1279"/>
      <c r="AD163" s="1279"/>
      <c r="AE163" s="1279"/>
      <c r="AF163" s="1279"/>
      <c r="AG163" s="1279"/>
      <c r="AH163" s="1279"/>
      <c r="AI163" s="1279"/>
      <c r="AJ163" s="1279"/>
      <c r="AK163" s="1279"/>
      <c r="AL163" s="1279"/>
      <c r="AM163" s="1279"/>
      <c r="AN163" s="1279"/>
      <c r="AO163" s="1279"/>
      <c r="AP163" s="1279"/>
      <c r="AQ163" s="1279"/>
      <c r="AR163" s="1307"/>
      <c r="AS163" s="1307"/>
      <c r="AT163" s="1279"/>
      <c r="AU163" s="1279"/>
      <c r="AV163" s="1307"/>
      <c r="AW163" s="1307"/>
      <c r="AX163" s="1307"/>
      <c r="AY163" s="1307"/>
      <c r="AZ163" s="1307"/>
      <c r="BA163" s="1307"/>
      <c r="BB163" s="1307"/>
      <c r="BC163" s="1509"/>
      <c r="BD163" s="1307"/>
      <c r="BE163" s="1307"/>
      <c r="BH163" s="1511"/>
      <c r="BI163" s="1511"/>
      <c r="BJ163" s="1512"/>
    </row>
    <row r="164" spans="1:62" s="1510" customFormat="1" x14ac:dyDescent="0.2">
      <c r="A164" s="1279"/>
      <c r="B164" s="1279"/>
      <c r="C164" s="1279"/>
      <c r="D164" s="1279"/>
      <c r="E164" s="1279"/>
      <c r="F164" s="1279"/>
      <c r="G164" s="1279"/>
      <c r="H164" s="1279"/>
      <c r="I164" s="1279"/>
      <c r="J164" s="1279"/>
      <c r="K164" s="1503"/>
      <c r="L164" s="1312"/>
      <c r="M164" s="1312"/>
      <c r="N164" s="1312"/>
      <c r="O164" s="1312"/>
      <c r="P164" s="1307"/>
      <c r="Q164" s="1504"/>
      <c r="R164" s="1505"/>
      <c r="S164" s="1312"/>
      <c r="T164" s="1312"/>
      <c r="U164" s="1503"/>
      <c r="V164" s="1503"/>
      <c r="W164" s="1506"/>
      <c r="X164" s="1506"/>
      <c r="Y164" s="1506"/>
      <c r="Z164" s="1513"/>
      <c r="AA164" s="1508"/>
      <c r="AB164" s="1279"/>
      <c r="AC164" s="1279"/>
      <c r="AD164" s="1279"/>
      <c r="AE164" s="1279"/>
      <c r="AF164" s="1279"/>
      <c r="AG164" s="1279"/>
      <c r="AH164" s="1279"/>
      <c r="AI164" s="1279"/>
      <c r="AJ164" s="1279"/>
      <c r="AK164" s="1279"/>
      <c r="AL164" s="1279"/>
      <c r="AM164" s="1279"/>
      <c r="AN164" s="1279"/>
      <c r="AO164" s="1279"/>
      <c r="AP164" s="1279"/>
      <c r="AQ164" s="1279"/>
      <c r="AR164" s="1307"/>
      <c r="AS164" s="1307"/>
      <c r="AT164" s="1279"/>
      <c r="AU164" s="1279"/>
      <c r="AV164" s="1307"/>
      <c r="AW164" s="1307"/>
      <c r="AX164" s="1307"/>
      <c r="AY164" s="1307"/>
      <c r="AZ164" s="1307"/>
      <c r="BA164" s="1307"/>
      <c r="BB164" s="1307"/>
      <c r="BC164" s="1509"/>
      <c r="BD164" s="1307"/>
      <c r="BE164" s="1307"/>
      <c r="BH164" s="1511"/>
      <c r="BI164" s="1511"/>
      <c r="BJ164" s="1512"/>
    </row>
    <row r="165" spans="1:62" s="1510" customFormat="1" ht="15" x14ac:dyDescent="0.25">
      <c r="A165" s="1279"/>
      <c r="B165" s="1279"/>
      <c r="C165" s="1279"/>
      <c r="D165" s="2306" t="s">
        <v>2109</v>
      </c>
      <c r="E165" s="2307"/>
      <c r="F165" s="2307"/>
      <c r="G165" s="2307"/>
      <c r="H165" s="1279"/>
      <c r="I165" s="1279"/>
      <c r="J165" s="1279"/>
      <c r="K165" s="1503"/>
      <c r="L165" s="1312"/>
      <c r="M165" s="1312"/>
      <c r="N165" s="1312"/>
      <c r="O165" s="1312"/>
      <c r="P165" s="1307"/>
      <c r="Q165" s="1504"/>
      <c r="R165" s="1505"/>
      <c r="S165" s="1312"/>
      <c r="T165" s="1312"/>
      <c r="U165" s="1503"/>
      <c r="V165" s="1503"/>
      <c r="W165" s="1506"/>
      <c r="X165" s="1506"/>
      <c r="Y165" s="1506"/>
      <c r="Z165" s="1513"/>
      <c r="AA165" s="1508"/>
      <c r="AB165" s="1279"/>
      <c r="AC165" s="1279"/>
      <c r="AD165" s="1279"/>
      <c r="AE165" s="1279"/>
      <c r="AF165" s="1279"/>
      <c r="AG165" s="1279"/>
      <c r="AH165" s="1279"/>
      <c r="AI165" s="1279"/>
      <c r="AJ165" s="1279"/>
      <c r="AK165" s="1279"/>
      <c r="AL165" s="1279"/>
      <c r="AM165" s="1279"/>
      <c r="AN165" s="1279"/>
      <c r="AO165" s="1279"/>
      <c r="AP165" s="1279"/>
      <c r="AQ165" s="1279"/>
      <c r="AR165" s="1307"/>
      <c r="AS165" s="1307"/>
      <c r="AT165" s="1279"/>
      <c r="AU165" s="1279"/>
      <c r="AV165" s="1307"/>
      <c r="AW165" s="1307"/>
      <c r="AX165" s="1307"/>
      <c r="AY165" s="1307"/>
      <c r="AZ165" s="1307"/>
      <c r="BA165" s="1307"/>
      <c r="BB165" s="1307"/>
      <c r="BC165" s="1509"/>
      <c r="BD165" s="1307"/>
      <c r="BE165" s="1307"/>
      <c r="BH165" s="1511"/>
      <c r="BI165" s="1511"/>
      <c r="BJ165" s="1512"/>
    </row>
    <row r="166" spans="1:62" s="1510" customFormat="1" x14ac:dyDescent="0.2">
      <c r="A166" s="1279"/>
      <c r="B166" s="1279"/>
      <c r="C166" s="1279"/>
      <c r="D166" s="1279" t="s">
        <v>2108</v>
      </c>
      <c r="E166" s="1279"/>
      <c r="F166" s="1279"/>
      <c r="G166" s="1279"/>
      <c r="H166" s="1279"/>
      <c r="I166" s="1279"/>
      <c r="J166" s="1279"/>
      <c r="K166" s="1503"/>
      <c r="L166" s="1312"/>
      <c r="M166" s="1312"/>
      <c r="N166" s="1312"/>
      <c r="O166" s="1312"/>
      <c r="P166" s="1307"/>
      <c r="Q166" s="1504"/>
      <c r="R166" s="1505"/>
      <c r="S166" s="1312"/>
      <c r="T166" s="1312"/>
      <c r="U166" s="1503"/>
      <c r="V166" s="1503"/>
      <c r="W166" s="1506"/>
      <c r="X166" s="1506"/>
      <c r="Y166" s="1506"/>
      <c r="Z166" s="1513"/>
      <c r="AA166" s="1508"/>
      <c r="AB166" s="1279"/>
      <c r="AC166" s="1279"/>
      <c r="AD166" s="1279"/>
      <c r="AE166" s="1279"/>
      <c r="AF166" s="1279"/>
      <c r="AG166" s="1279"/>
      <c r="AH166" s="1279"/>
      <c r="AI166" s="1279"/>
      <c r="AJ166" s="1279"/>
      <c r="AK166" s="1279"/>
      <c r="AL166" s="1279"/>
      <c r="AM166" s="1279"/>
      <c r="AN166" s="1279"/>
      <c r="AO166" s="1279"/>
      <c r="AP166" s="1279"/>
      <c r="AQ166" s="1279"/>
      <c r="AR166" s="1307"/>
      <c r="AS166" s="1307"/>
      <c r="AT166" s="1279"/>
      <c r="AU166" s="1279"/>
      <c r="AV166" s="1307"/>
      <c r="AW166" s="1307"/>
      <c r="AX166" s="1307"/>
      <c r="AY166" s="1307"/>
      <c r="AZ166" s="1307"/>
      <c r="BA166" s="1307"/>
      <c r="BB166" s="1307"/>
      <c r="BC166" s="1509"/>
      <c r="BD166" s="1307"/>
      <c r="BE166" s="1307"/>
      <c r="BH166" s="1511"/>
      <c r="BI166" s="1511"/>
      <c r="BJ166" s="1512"/>
    </row>
    <row r="167" spans="1:62" s="1510" customFormat="1" x14ac:dyDescent="0.2">
      <c r="A167" s="1279"/>
      <c r="B167" s="1279"/>
      <c r="C167" s="1279"/>
      <c r="D167" s="1279"/>
      <c r="E167" s="1279"/>
      <c r="F167" s="1279"/>
      <c r="G167" s="1279"/>
      <c r="H167" s="1279"/>
      <c r="I167" s="1279"/>
      <c r="J167" s="1279"/>
      <c r="K167" s="1503"/>
      <c r="L167" s="1312"/>
      <c r="M167" s="1312"/>
      <c r="N167" s="1312"/>
      <c r="O167" s="1312"/>
      <c r="P167" s="1307"/>
      <c r="Q167" s="1504"/>
      <c r="R167" s="1505"/>
      <c r="S167" s="1312"/>
      <c r="T167" s="1312"/>
      <c r="U167" s="1503"/>
      <c r="V167" s="1503"/>
      <c r="W167" s="1506"/>
      <c r="X167" s="1506"/>
      <c r="Y167" s="1506"/>
      <c r="Z167" s="1513"/>
      <c r="AA167" s="1508"/>
      <c r="AB167" s="1279"/>
      <c r="AC167" s="1279"/>
      <c r="AD167" s="1279"/>
      <c r="AE167" s="1279"/>
      <c r="AF167" s="1279"/>
      <c r="AG167" s="1279"/>
      <c r="AH167" s="1279"/>
      <c r="AI167" s="1279"/>
      <c r="AJ167" s="1279"/>
      <c r="AK167" s="1279"/>
      <c r="AL167" s="1279"/>
      <c r="AM167" s="1279"/>
      <c r="AN167" s="1279"/>
      <c r="AO167" s="1279"/>
      <c r="AP167" s="1279"/>
      <c r="AQ167" s="1279"/>
      <c r="AR167" s="1307"/>
      <c r="AS167" s="1307"/>
      <c r="AT167" s="1279"/>
      <c r="AU167" s="1279"/>
      <c r="AV167" s="1307"/>
      <c r="AW167" s="1307"/>
      <c r="AX167" s="1307"/>
      <c r="AY167" s="1307"/>
      <c r="AZ167" s="1307"/>
      <c r="BA167" s="1307"/>
      <c r="BB167" s="1307"/>
      <c r="BC167" s="1509"/>
      <c r="BD167" s="1307"/>
      <c r="BE167" s="1307"/>
      <c r="BH167" s="1511"/>
      <c r="BI167" s="1511"/>
      <c r="BJ167" s="1512"/>
    </row>
    <row r="168" spans="1:62" s="1510" customFormat="1" x14ac:dyDescent="0.2">
      <c r="A168" s="1279"/>
      <c r="B168" s="1279"/>
      <c r="C168" s="1279"/>
      <c r="D168" s="1279"/>
      <c r="E168" s="1279"/>
      <c r="F168" s="1279"/>
      <c r="G168" s="1279"/>
      <c r="H168" s="1279"/>
      <c r="I168" s="1279"/>
      <c r="J168" s="1279"/>
      <c r="K168" s="1503"/>
      <c r="L168" s="1312"/>
      <c r="M168" s="1312"/>
      <c r="N168" s="1312"/>
      <c r="O168" s="1312"/>
      <c r="P168" s="1307"/>
      <c r="Q168" s="1504"/>
      <c r="R168" s="1505"/>
      <c r="S168" s="1312"/>
      <c r="T168" s="1312"/>
      <c r="U168" s="1503"/>
      <c r="V168" s="1503"/>
      <c r="W168" s="1506"/>
      <c r="X168" s="1506"/>
      <c r="Y168" s="1506"/>
      <c r="Z168" s="1513"/>
      <c r="AA168" s="1508"/>
      <c r="AB168" s="1279"/>
      <c r="AC168" s="1279"/>
      <c r="AD168" s="1279"/>
      <c r="AE168" s="1279"/>
      <c r="AF168" s="1279"/>
      <c r="AG168" s="1279"/>
      <c r="AH168" s="1279"/>
      <c r="AI168" s="1279"/>
      <c r="AJ168" s="1279"/>
      <c r="AK168" s="1279"/>
      <c r="AL168" s="1279"/>
      <c r="AM168" s="1279"/>
      <c r="AN168" s="1279"/>
      <c r="AO168" s="1279"/>
      <c r="AP168" s="1279"/>
      <c r="AQ168" s="1279"/>
      <c r="AR168" s="1307"/>
      <c r="AS168" s="1307"/>
      <c r="AT168" s="1279"/>
      <c r="AU168" s="1279"/>
      <c r="AV168" s="1307"/>
      <c r="AW168" s="1307"/>
      <c r="AX168" s="1307"/>
      <c r="AY168" s="1307"/>
      <c r="AZ168" s="1307"/>
      <c r="BA168" s="1307"/>
      <c r="BB168" s="1307"/>
      <c r="BC168" s="1509"/>
      <c r="BD168" s="1307"/>
      <c r="BE168" s="1307"/>
      <c r="BH168" s="1511"/>
      <c r="BI168" s="1511"/>
      <c r="BJ168" s="1512"/>
    </row>
    <row r="169" spans="1:62" s="1510" customFormat="1" x14ac:dyDescent="0.2">
      <c r="A169" s="1279"/>
      <c r="B169" s="1279"/>
      <c r="C169" s="1279"/>
      <c r="D169" s="1279"/>
      <c r="E169" s="1279"/>
      <c r="F169" s="1279"/>
      <c r="G169" s="1279"/>
      <c r="H169" s="1279"/>
      <c r="I169" s="1279"/>
      <c r="J169" s="1279"/>
      <c r="K169" s="1503"/>
      <c r="L169" s="1312"/>
      <c r="M169" s="1312"/>
      <c r="N169" s="1312"/>
      <c r="O169" s="1312"/>
      <c r="P169" s="1307"/>
      <c r="Q169" s="1504"/>
      <c r="R169" s="1505"/>
      <c r="S169" s="1312"/>
      <c r="T169" s="1312"/>
      <c r="U169" s="1503"/>
      <c r="V169" s="1503"/>
      <c r="W169" s="1506"/>
      <c r="X169" s="1506"/>
      <c r="Y169" s="1506"/>
      <c r="Z169" s="1513"/>
      <c r="AA169" s="1508"/>
      <c r="AB169" s="1279"/>
      <c r="AC169" s="1279"/>
      <c r="AD169" s="1279"/>
      <c r="AE169" s="1279"/>
      <c r="AF169" s="1279"/>
      <c r="AG169" s="1279"/>
      <c r="AH169" s="1279"/>
      <c r="AI169" s="1279"/>
      <c r="AJ169" s="1279"/>
      <c r="AK169" s="1279"/>
      <c r="AL169" s="1279"/>
      <c r="AM169" s="1279"/>
      <c r="AN169" s="1279"/>
      <c r="AO169" s="1279"/>
      <c r="AP169" s="1279"/>
      <c r="AQ169" s="1279"/>
      <c r="AR169" s="1307"/>
      <c r="AS169" s="1307"/>
      <c r="AT169" s="1279"/>
      <c r="AU169" s="1279"/>
      <c r="AV169" s="1307"/>
      <c r="AW169" s="1307"/>
      <c r="AX169" s="1307"/>
      <c r="AY169" s="1307"/>
      <c r="AZ169" s="1307"/>
      <c r="BA169" s="1307"/>
      <c r="BB169" s="1307"/>
      <c r="BC169" s="1509"/>
      <c r="BD169" s="1307"/>
      <c r="BE169" s="1307"/>
      <c r="BH169" s="1511"/>
      <c r="BI169" s="1511"/>
      <c r="BJ169" s="1512"/>
    </row>
    <row r="170" spans="1:62" s="1510" customFormat="1" x14ac:dyDescent="0.2">
      <c r="A170" s="1279"/>
      <c r="B170" s="1279"/>
      <c r="C170" s="1279"/>
      <c r="D170" s="1279"/>
      <c r="E170" s="1279"/>
      <c r="F170" s="1279"/>
      <c r="G170" s="1279"/>
      <c r="H170" s="1279"/>
      <c r="I170" s="1279"/>
      <c r="J170" s="1279"/>
      <c r="K170" s="1503"/>
      <c r="L170" s="1312"/>
      <c r="M170" s="1312"/>
      <c r="N170" s="1312"/>
      <c r="O170" s="1312"/>
      <c r="P170" s="1307"/>
      <c r="Q170" s="1504"/>
      <c r="R170" s="1505"/>
      <c r="S170" s="1312"/>
      <c r="T170" s="1312"/>
      <c r="U170" s="1503"/>
      <c r="V170" s="1503"/>
      <c r="W170" s="1506"/>
      <c r="X170" s="1506"/>
      <c r="Y170" s="1506"/>
      <c r="Z170" s="1513"/>
      <c r="AA170" s="1508"/>
      <c r="AB170" s="1279"/>
      <c r="AC170" s="1279"/>
      <c r="AD170" s="1279"/>
      <c r="AE170" s="1279"/>
      <c r="AF170" s="1279"/>
      <c r="AG170" s="1279"/>
      <c r="AH170" s="1279"/>
      <c r="AI170" s="1279"/>
      <c r="AJ170" s="1279"/>
      <c r="AK170" s="1279"/>
      <c r="AL170" s="1279"/>
      <c r="AM170" s="1279"/>
      <c r="AN170" s="1279"/>
      <c r="AO170" s="1279"/>
      <c r="AP170" s="1279"/>
      <c r="AQ170" s="1279"/>
      <c r="AR170" s="1307"/>
      <c r="AS170" s="1307"/>
      <c r="AT170" s="1279"/>
      <c r="AU170" s="1279"/>
      <c r="AV170" s="1307"/>
      <c r="AW170" s="1307"/>
      <c r="AX170" s="1307"/>
      <c r="AY170" s="1307"/>
      <c r="AZ170" s="1307"/>
      <c r="BA170" s="1307"/>
      <c r="BB170" s="1307"/>
      <c r="BC170" s="1509"/>
      <c r="BD170" s="1307"/>
      <c r="BE170" s="1307"/>
      <c r="BH170" s="1511"/>
      <c r="BI170" s="1511"/>
      <c r="BJ170" s="1512"/>
    </row>
    <row r="171" spans="1:62" s="1510" customFormat="1" x14ac:dyDescent="0.2">
      <c r="A171" s="1279"/>
      <c r="B171" s="1279"/>
      <c r="C171" s="1279"/>
      <c r="D171" s="1279"/>
      <c r="E171" s="1279"/>
      <c r="F171" s="1279"/>
      <c r="G171" s="1279"/>
      <c r="H171" s="1279"/>
      <c r="I171" s="1279"/>
      <c r="J171" s="1279"/>
      <c r="K171" s="1503"/>
      <c r="L171" s="1312"/>
      <c r="M171" s="1312"/>
      <c r="N171" s="1312"/>
      <c r="O171" s="1312"/>
      <c r="P171" s="1307"/>
      <c r="Q171" s="1504"/>
      <c r="R171" s="1505"/>
      <c r="S171" s="1312"/>
      <c r="T171" s="1312"/>
      <c r="U171" s="1503"/>
      <c r="V171" s="1503"/>
      <c r="W171" s="1506"/>
      <c r="X171" s="1506"/>
      <c r="Y171" s="1506"/>
      <c r="Z171" s="1513"/>
      <c r="AA171" s="1508"/>
      <c r="AB171" s="1279"/>
      <c r="AC171" s="1279"/>
      <c r="AD171" s="1279"/>
      <c r="AE171" s="1279"/>
      <c r="AF171" s="1279"/>
      <c r="AG171" s="1279"/>
      <c r="AH171" s="1279"/>
      <c r="AI171" s="1279"/>
      <c r="AJ171" s="1279"/>
      <c r="AK171" s="1279"/>
      <c r="AL171" s="1279"/>
      <c r="AM171" s="1279"/>
      <c r="AN171" s="1279"/>
      <c r="AO171" s="1279"/>
      <c r="AP171" s="1279"/>
      <c r="AQ171" s="1279"/>
      <c r="AR171" s="1307"/>
      <c r="AS171" s="1307"/>
      <c r="AT171" s="1279"/>
      <c r="AU171" s="1279"/>
      <c r="AV171" s="1307"/>
      <c r="AW171" s="1307"/>
      <c r="AX171" s="1307"/>
      <c r="AY171" s="1307"/>
      <c r="AZ171" s="1307"/>
      <c r="BA171" s="1307"/>
      <c r="BB171" s="1307"/>
      <c r="BC171" s="1509"/>
      <c r="BD171" s="1307"/>
      <c r="BE171" s="1307"/>
      <c r="BH171" s="1511"/>
      <c r="BI171" s="1511"/>
      <c r="BJ171" s="1512"/>
    </row>
    <row r="172" spans="1:62" s="1510" customFormat="1" x14ac:dyDescent="0.2">
      <c r="A172" s="1279"/>
      <c r="B172" s="1279"/>
      <c r="C172" s="1279"/>
      <c r="D172" s="1279"/>
      <c r="E172" s="1279"/>
      <c r="F172" s="1279"/>
      <c r="G172" s="1279"/>
      <c r="H172" s="1279"/>
      <c r="I172" s="1279"/>
      <c r="J172" s="1279"/>
      <c r="K172" s="1503"/>
      <c r="L172" s="1312"/>
      <c r="M172" s="1312"/>
      <c r="N172" s="1312"/>
      <c r="O172" s="1312"/>
      <c r="P172" s="1307"/>
      <c r="Q172" s="1504"/>
      <c r="R172" s="1505"/>
      <c r="S172" s="1312"/>
      <c r="T172" s="1312"/>
      <c r="U172" s="1503"/>
      <c r="V172" s="1503"/>
      <c r="W172" s="1506"/>
      <c r="X172" s="1506"/>
      <c r="Y172" s="1506"/>
      <c r="Z172" s="1513"/>
      <c r="AA172" s="1508"/>
      <c r="AB172" s="1279"/>
      <c r="AC172" s="1279"/>
      <c r="AD172" s="1279"/>
      <c r="AE172" s="1279"/>
      <c r="AF172" s="1279"/>
      <c r="AG172" s="1279"/>
      <c r="AH172" s="1279"/>
      <c r="AI172" s="1279"/>
      <c r="AJ172" s="1279"/>
      <c r="AK172" s="1279"/>
      <c r="AL172" s="1279"/>
      <c r="AM172" s="1279"/>
      <c r="AN172" s="1279"/>
      <c r="AO172" s="1279"/>
      <c r="AP172" s="1279"/>
      <c r="AQ172" s="1279"/>
      <c r="AR172" s="1307"/>
      <c r="AS172" s="1307"/>
      <c r="AT172" s="1279"/>
      <c r="AU172" s="1279"/>
      <c r="AV172" s="1307"/>
      <c r="AW172" s="1307"/>
      <c r="AX172" s="1307"/>
      <c r="AY172" s="1307"/>
      <c r="AZ172" s="1307"/>
      <c r="BA172" s="1307"/>
      <c r="BB172" s="1307"/>
      <c r="BC172" s="1509"/>
      <c r="BD172" s="1307"/>
      <c r="BE172" s="1307"/>
      <c r="BH172" s="1511"/>
      <c r="BI172" s="1511"/>
      <c r="BJ172" s="1512"/>
    </row>
    <row r="173" spans="1:62" s="1510" customFormat="1" x14ac:dyDescent="0.2">
      <c r="A173" s="1279"/>
      <c r="B173" s="1279"/>
      <c r="C173" s="1279"/>
      <c r="D173" s="1279"/>
      <c r="E173" s="1279"/>
      <c r="F173" s="1279"/>
      <c r="G173" s="1279"/>
      <c r="H173" s="1279"/>
      <c r="I173" s="1279"/>
      <c r="J173" s="1279"/>
      <c r="K173" s="1503"/>
      <c r="L173" s="1312"/>
      <c r="M173" s="1312"/>
      <c r="N173" s="1312"/>
      <c r="O173" s="1312"/>
      <c r="P173" s="1307"/>
      <c r="Q173" s="1504"/>
      <c r="R173" s="1505"/>
      <c r="S173" s="1312"/>
      <c r="T173" s="1312"/>
      <c r="U173" s="1503"/>
      <c r="V173" s="1503"/>
      <c r="W173" s="1506"/>
      <c r="X173" s="1506"/>
      <c r="Y173" s="1506"/>
      <c r="Z173" s="1513"/>
      <c r="AA173" s="1508"/>
      <c r="AB173" s="1279"/>
      <c r="AC173" s="1279"/>
      <c r="AD173" s="1279"/>
      <c r="AE173" s="1279"/>
      <c r="AF173" s="1279"/>
      <c r="AG173" s="1279"/>
      <c r="AH173" s="1279"/>
      <c r="AI173" s="1279"/>
      <c r="AJ173" s="1279"/>
      <c r="AK173" s="1279"/>
      <c r="AL173" s="1279"/>
      <c r="AM173" s="1279"/>
      <c r="AN173" s="1279"/>
      <c r="AO173" s="1279"/>
      <c r="AP173" s="1279"/>
      <c r="AQ173" s="1279"/>
      <c r="AR173" s="1307"/>
      <c r="AS173" s="1307"/>
      <c r="AT173" s="1279"/>
      <c r="AU173" s="1279"/>
      <c r="AV173" s="1307"/>
      <c r="AW173" s="1307"/>
      <c r="AX173" s="1307"/>
      <c r="AY173" s="1307"/>
      <c r="AZ173" s="1307"/>
      <c r="BA173" s="1307"/>
      <c r="BB173" s="1307"/>
      <c r="BC173" s="1509"/>
      <c r="BD173" s="1307"/>
      <c r="BE173" s="1307"/>
      <c r="BH173" s="1511"/>
      <c r="BI173" s="1511"/>
      <c r="BJ173" s="1512"/>
    </row>
    <row r="174" spans="1:62" s="1510" customFormat="1" x14ac:dyDescent="0.2">
      <c r="A174" s="1279"/>
      <c r="B174" s="1279"/>
      <c r="C174" s="1279"/>
      <c r="D174" s="1279"/>
      <c r="E174" s="1279"/>
      <c r="F174" s="1279"/>
      <c r="G174" s="1279"/>
      <c r="H174" s="1279"/>
      <c r="I174" s="1279"/>
      <c r="J174" s="1279"/>
      <c r="K174" s="1503"/>
      <c r="L174" s="1312"/>
      <c r="M174" s="1312"/>
      <c r="N174" s="1312"/>
      <c r="O174" s="1312"/>
      <c r="P174" s="1307"/>
      <c r="Q174" s="1504"/>
      <c r="R174" s="1505"/>
      <c r="S174" s="1312"/>
      <c r="T174" s="1312"/>
      <c r="U174" s="1503"/>
      <c r="V174" s="1503"/>
      <c r="W174" s="1506"/>
      <c r="X174" s="1506"/>
      <c r="Y174" s="1506"/>
      <c r="Z174" s="1513"/>
      <c r="AA174" s="1508"/>
      <c r="AB174" s="1279"/>
      <c r="AC174" s="1279"/>
      <c r="AD174" s="1279"/>
      <c r="AE174" s="1279"/>
      <c r="AF174" s="1279"/>
      <c r="AG174" s="1279"/>
      <c r="AH174" s="1279"/>
      <c r="AI174" s="1279"/>
      <c r="AJ174" s="1279"/>
      <c r="AK174" s="1279"/>
      <c r="AL174" s="1279"/>
      <c r="AM174" s="1279"/>
      <c r="AN174" s="1279"/>
      <c r="AO174" s="1279"/>
      <c r="AP174" s="1279"/>
      <c r="AQ174" s="1279"/>
      <c r="AR174" s="1307"/>
      <c r="AS174" s="1307"/>
      <c r="AT174" s="1279"/>
      <c r="AU174" s="1279"/>
      <c r="AV174" s="1307"/>
      <c r="AW174" s="1307"/>
      <c r="AX174" s="1307"/>
      <c r="AY174" s="1307"/>
      <c r="AZ174" s="1307"/>
      <c r="BA174" s="1307"/>
      <c r="BB174" s="1307"/>
      <c r="BC174" s="1509"/>
      <c r="BD174" s="1307"/>
      <c r="BE174" s="1307"/>
      <c r="BH174" s="1511"/>
      <c r="BI174" s="1511"/>
      <c r="BJ174" s="1512"/>
    </row>
    <row r="175" spans="1:62" s="1510" customFormat="1" x14ac:dyDescent="0.2">
      <c r="A175" s="1279"/>
      <c r="B175" s="1279"/>
      <c r="C175" s="1279"/>
      <c r="D175" s="1279"/>
      <c r="E175" s="1279"/>
      <c r="F175" s="1279"/>
      <c r="G175" s="1279"/>
      <c r="H175" s="1279"/>
      <c r="I175" s="1279"/>
      <c r="J175" s="1279"/>
      <c r="K175" s="1503"/>
      <c r="L175" s="1312"/>
      <c r="M175" s="1312"/>
      <c r="N175" s="1312"/>
      <c r="O175" s="1312"/>
      <c r="P175" s="1307"/>
      <c r="Q175" s="1504"/>
      <c r="R175" s="1505"/>
      <c r="S175" s="1312"/>
      <c r="T175" s="1312"/>
      <c r="U175" s="1503"/>
      <c r="V175" s="1503"/>
      <c r="W175" s="1506"/>
      <c r="X175" s="1506"/>
      <c r="Y175" s="1506"/>
      <c r="Z175" s="1513"/>
      <c r="AA175" s="1508"/>
      <c r="AB175" s="1279"/>
      <c r="AC175" s="1279"/>
      <c r="AD175" s="1279"/>
      <c r="AE175" s="1279"/>
      <c r="AF175" s="1279"/>
      <c r="AG175" s="1279"/>
      <c r="AH175" s="1279"/>
      <c r="AI175" s="1279"/>
      <c r="AJ175" s="1279"/>
      <c r="AK175" s="1279"/>
      <c r="AL175" s="1279"/>
      <c r="AM175" s="1279"/>
      <c r="AN175" s="1279"/>
      <c r="AO175" s="1279"/>
      <c r="AP175" s="1279"/>
      <c r="AQ175" s="1279"/>
      <c r="AR175" s="1307"/>
      <c r="AS175" s="1307"/>
      <c r="AT175" s="1279"/>
      <c r="AU175" s="1279"/>
      <c r="AV175" s="1307"/>
      <c r="AW175" s="1307"/>
      <c r="AX175" s="1307"/>
      <c r="AY175" s="1307"/>
      <c r="AZ175" s="1307"/>
      <c r="BA175" s="1307"/>
      <c r="BB175" s="1307"/>
      <c r="BC175" s="1509"/>
      <c r="BD175" s="1307"/>
      <c r="BE175" s="1307"/>
      <c r="BH175" s="1511"/>
      <c r="BI175" s="1511"/>
      <c r="BJ175" s="1512"/>
    </row>
    <row r="176" spans="1:62" s="1510" customFormat="1" x14ac:dyDescent="0.2">
      <c r="A176" s="1279"/>
      <c r="B176" s="1279"/>
      <c r="C176" s="1279"/>
      <c r="D176" s="1279"/>
      <c r="E176" s="1279"/>
      <c r="F176" s="1279"/>
      <c r="G176" s="1279"/>
      <c r="H176" s="1279"/>
      <c r="I176" s="1279"/>
      <c r="J176" s="1279"/>
      <c r="K176" s="1503"/>
      <c r="L176" s="1312"/>
      <c r="M176" s="1312"/>
      <c r="N176" s="1312"/>
      <c r="O176" s="1312"/>
      <c r="P176" s="1307"/>
      <c r="Q176" s="1504"/>
      <c r="R176" s="1505"/>
      <c r="S176" s="1312"/>
      <c r="T176" s="1312"/>
      <c r="U176" s="1503"/>
      <c r="V176" s="1503"/>
      <c r="W176" s="1506"/>
      <c r="X176" s="1506"/>
      <c r="Y176" s="1506"/>
      <c r="Z176" s="1513"/>
      <c r="AA176" s="1508"/>
      <c r="AB176" s="1279"/>
      <c r="AC176" s="1279"/>
      <c r="AD176" s="1279"/>
      <c r="AE176" s="1279"/>
      <c r="AF176" s="1279"/>
      <c r="AG176" s="1279"/>
      <c r="AH176" s="1279"/>
      <c r="AI176" s="1279"/>
      <c r="AJ176" s="1279"/>
      <c r="AK176" s="1279"/>
      <c r="AL176" s="1279"/>
      <c r="AM176" s="1279"/>
      <c r="AN176" s="1279"/>
      <c r="AO176" s="1279"/>
      <c r="AP176" s="1279"/>
      <c r="AQ176" s="1279"/>
      <c r="AR176" s="1307"/>
      <c r="AS176" s="1307"/>
      <c r="AT176" s="1279"/>
      <c r="AU176" s="1279"/>
      <c r="AV176" s="1307"/>
      <c r="AW176" s="1307"/>
      <c r="AX176" s="1307"/>
      <c r="AY176" s="1307"/>
      <c r="AZ176" s="1307"/>
      <c r="BA176" s="1307"/>
      <c r="BB176" s="1307"/>
      <c r="BC176" s="1509"/>
      <c r="BD176" s="1307"/>
      <c r="BE176" s="1307"/>
      <c r="BH176" s="1511"/>
      <c r="BI176" s="1511"/>
      <c r="BJ176" s="1512"/>
    </row>
    <row r="177" spans="1:62" s="1510" customFormat="1" x14ac:dyDescent="0.2">
      <c r="A177" s="1279"/>
      <c r="B177" s="1279"/>
      <c r="C177" s="1279"/>
      <c r="D177" s="1279"/>
      <c r="E177" s="1279"/>
      <c r="F177" s="1279"/>
      <c r="G177" s="1279"/>
      <c r="H177" s="1279"/>
      <c r="I177" s="1279"/>
      <c r="J177" s="1279"/>
      <c r="K177" s="1503"/>
      <c r="L177" s="1312"/>
      <c r="M177" s="1312"/>
      <c r="N177" s="1312"/>
      <c r="O177" s="1312"/>
      <c r="P177" s="1307"/>
      <c r="Q177" s="1504"/>
      <c r="R177" s="1505"/>
      <c r="S177" s="1312"/>
      <c r="T177" s="1312"/>
      <c r="U177" s="1503"/>
      <c r="V177" s="1503"/>
      <c r="W177" s="1506"/>
      <c r="X177" s="1506"/>
      <c r="Y177" s="1506"/>
      <c r="Z177" s="1513"/>
      <c r="AA177" s="1508"/>
      <c r="AB177" s="1279"/>
      <c r="AC177" s="1279"/>
      <c r="AD177" s="1279"/>
      <c r="AE177" s="1279"/>
      <c r="AF177" s="1279"/>
      <c r="AG177" s="1279"/>
      <c r="AH177" s="1279"/>
      <c r="AI177" s="1279"/>
      <c r="AJ177" s="1279"/>
      <c r="AK177" s="1279"/>
      <c r="AL177" s="1279"/>
      <c r="AM177" s="1279"/>
      <c r="AN177" s="1279"/>
      <c r="AO177" s="1279"/>
      <c r="AP177" s="1279"/>
      <c r="AQ177" s="1279"/>
      <c r="AR177" s="1307"/>
      <c r="AS177" s="1307"/>
      <c r="AT177" s="1279"/>
      <c r="AU177" s="1279"/>
      <c r="AV177" s="1307"/>
      <c r="AW177" s="1307"/>
      <c r="AX177" s="1307"/>
      <c r="AY177" s="1307"/>
      <c r="AZ177" s="1307"/>
      <c r="BA177" s="1307"/>
      <c r="BB177" s="1307"/>
      <c r="BC177" s="1509"/>
      <c r="BD177" s="1307"/>
      <c r="BE177" s="1307"/>
      <c r="BH177" s="1511"/>
      <c r="BI177" s="1511"/>
      <c r="BJ177" s="1512"/>
    </row>
    <row r="178" spans="1:62" s="1510" customFormat="1" x14ac:dyDescent="0.2">
      <c r="A178" s="1279"/>
      <c r="B178" s="1279"/>
      <c r="C178" s="1279"/>
      <c r="D178" s="1279"/>
      <c r="E178" s="1279"/>
      <c r="F178" s="1279"/>
      <c r="G178" s="1279"/>
      <c r="H178" s="1279"/>
      <c r="I178" s="1279"/>
      <c r="J178" s="1279"/>
      <c r="K178" s="1503"/>
      <c r="L178" s="1312"/>
      <c r="M178" s="1312"/>
      <c r="N178" s="1312"/>
      <c r="O178" s="1312"/>
      <c r="P178" s="1307"/>
      <c r="Q178" s="1504"/>
      <c r="R178" s="1505"/>
      <c r="S178" s="1312"/>
      <c r="T178" s="1312"/>
      <c r="U178" s="1503"/>
      <c r="V178" s="1503"/>
      <c r="W178" s="1506"/>
      <c r="X178" s="1506"/>
      <c r="Y178" s="1506"/>
      <c r="Z178" s="1513"/>
      <c r="AA178" s="1508"/>
      <c r="AB178" s="1279"/>
      <c r="AC178" s="1279"/>
      <c r="AD178" s="1279"/>
      <c r="AE178" s="1279"/>
      <c r="AF178" s="1279"/>
      <c r="AG178" s="1279"/>
      <c r="AH178" s="1279"/>
      <c r="AI178" s="1279"/>
      <c r="AJ178" s="1279"/>
      <c r="AK178" s="1279"/>
      <c r="AL178" s="1279"/>
      <c r="AM178" s="1279"/>
      <c r="AN178" s="1279"/>
      <c r="AO178" s="1279"/>
      <c r="AP178" s="1279"/>
      <c r="AQ178" s="1279"/>
      <c r="AR178" s="1307"/>
      <c r="AS178" s="1307"/>
      <c r="AT178" s="1279"/>
      <c r="AU178" s="1279"/>
      <c r="AV178" s="1307"/>
      <c r="AW178" s="1307"/>
      <c r="AX178" s="1307"/>
      <c r="AY178" s="1307"/>
      <c r="AZ178" s="1307"/>
      <c r="BA178" s="1307"/>
      <c r="BB178" s="1307"/>
      <c r="BC178" s="1509"/>
      <c r="BD178" s="1307"/>
      <c r="BE178" s="1307"/>
      <c r="BH178" s="1511"/>
      <c r="BI178" s="1511"/>
      <c r="BJ178" s="1512"/>
    </row>
    <row r="179" spans="1:62" s="1510" customFormat="1" x14ac:dyDescent="0.2">
      <c r="A179" s="1279"/>
      <c r="B179" s="1279"/>
      <c r="C179" s="1279"/>
      <c r="D179" s="1279"/>
      <c r="E179" s="1279"/>
      <c r="F179" s="1279"/>
      <c r="G179" s="1279"/>
      <c r="H179" s="1279"/>
      <c r="I179" s="1279"/>
      <c r="J179" s="1279"/>
      <c r="K179" s="1503"/>
      <c r="L179" s="1312"/>
      <c r="M179" s="1312"/>
      <c r="N179" s="1312"/>
      <c r="O179" s="1312"/>
      <c r="P179" s="1307"/>
      <c r="Q179" s="1504"/>
      <c r="R179" s="1505"/>
      <c r="S179" s="1312"/>
      <c r="T179" s="1312"/>
      <c r="U179" s="1503"/>
      <c r="V179" s="1503"/>
      <c r="W179" s="1506"/>
      <c r="X179" s="1506"/>
      <c r="Y179" s="1506"/>
      <c r="Z179" s="1513"/>
      <c r="AA179" s="1508"/>
      <c r="AB179" s="1279"/>
      <c r="AC179" s="1279"/>
      <c r="AD179" s="1279"/>
      <c r="AE179" s="1279"/>
      <c r="AF179" s="1279"/>
      <c r="AG179" s="1279"/>
      <c r="AH179" s="1279"/>
      <c r="AI179" s="1279"/>
      <c r="AJ179" s="1279"/>
      <c r="AK179" s="1279"/>
      <c r="AL179" s="1279"/>
      <c r="AM179" s="1279"/>
      <c r="AN179" s="1279"/>
      <c r="AO179" s="1279"/>
      <c r="AP179" s="1279"/>
      <c r="AQ179" s="1279"/>
      <c r="AR179" s="1307"/>
      <c r="AS179" s="1307"/>
      <c r="AT179" s="1279"/>
      <c r="AU179" s="1279"/>
      <c r="AV179" s="1307"/>
      <c r="AW179" s="1307"/>
      <c r="AX179" s="1307"/>
      <c r="AY179" s="1307"/>
      <c r="AZ179" s="1307"/>
      <c r="BA179" s="1307"/>
      <c r="BB179" s="1307"/>
      <c r="BC179" s="1509"/>
      <c r="BD179" s="1307"/>
      <c r="BE179" s="1307"/>
      <c r="BH179" s="1511"/>
      <c r="BI179" s="1511"/>
      <c r="BJ179" s="1512"/>
    </row>
    <row r="180" spans="1:62" s="1510" customFormat="1" x14ac:dyDescent="0.2">
      <c r="A180" s="1279"/>
      <c r="B180" s="1279"/>
      <c r="C180" s="1279"/>
      <c r="D180" s="1279"/>
      <c r="E180" s="1279"/>
      <c r="F180" s="1279"/>
      <c r="G180" s="1279"/>
      <c r="H180" s="1279"/>
      <c r="I180" s="1279"/>
      <c r="J180" s="1279"/>
      <c r="K180" s="1503"/>
      <c r="L180" s="1312"/>
      <c r="M180" s="1312"/>
      <c r="N180" s="1312"/>
      <c r="O180" s="1312"/>
      <c r="P180" s="1307"/>
      <c r="Q180" s="1504"/>
      <c r="R180" s="1505"/>
      <c r="S180" s="1312"/>
      <c r="T180" s="1312"/>
      <c r="U180" s="1503"/>
      <c r="V180" s="1503"/>
      <c r="W180" s="1506"/>
      <c r="X180" s="1506"/>
      <c r="Y180" s="1506"/>
      <c r="Z180" s="1513"/>
      <c r="AA180" s="1508"/>
      <c r="AB180" s="1279"/>
      <c r="AC180" s="1279"/>
      <c r="AD180" s="1279"/>
      <c r="AE180" s="1279"/>
      <c r="AF180" s="1279"/>
      <c r="AG180" s="1279"/>
      <c r="AH180" s="1279"/>
      <c r="AI180" s="1279"/>
      <c r="AJ180" s="1279"/>
      <c r="AK180" s="1279"/>
      <c r="AL180" s="1279"/>
      <c r="AM180" s="1279"/>
      <c r="AN180" s="1279"/>
      <c r="AO180" s="1279"/>
      <c r="AP180" s="1279"/>
      <c r="AQ180" s="1279"/>
      <c r="AR180" s="1307"/>
      <c r="AS180" s="1307"/>
      <c r="AT180" s="1279"/>
      <c r="AU180" s="1279"/>
      <c r="AV180" s="1307"/>
      <c r="AW180" s="1307"/>
      <c r="AX180" s="1307"/>
      <c r="AY180" s="1307"/>
      <c r="AZ180" s="1307"/>
      <c r="BA180" s="1307"/>
      <c r="BB180" s="1307"/>
      <c r="BC180" s="1509"/>
      <c r="BD180" s="1307"/>
      <c r="BE180" s="1307"/>
      <c r="BH180" s="1511"/>
      <c r="BI180" s="1511"/>
      <c r="BJ180" s="1512"/>
    </row>
    <row r="181" spans="1:62" s="1510" customFormat="1" x14ac:dyDescent="0.2">
      <c r="A181" s="1279"/>
      <c r="B181" s="1279"/>
      <c r="C181" s="1279"/>
      <c r="D181" s="1279"/>
      <c r="E181" s="1279"/>
      <c r="F181" s="1279"/>
      <c r="G181" s="1279"/>
      <c r="H181" s="1279"/>
      <c r="I181" s="1279"/>
      <c r="J181" s="1279"/>
      <c r="K181" s="1503"/>
      <c r="L181" s="1312"/>
      <c r="M181" s="1312"/>
      <c r="N181" s="1312"/>
      <c r="O181" s="1312"/>
      <c r="P181" s="1307"/>
      <c r="Q181" s="1504"/>
      <c r="R181" s="1505"/>
      <c r="S181" s="1312"/>
      <c r="T181" s="1312"/>
      <c r="U181" s="1503"/>
      <c r="V181" s="1503"/>
      <c r="W181" s="1506"/>
      <c r="X181" s="1506"/>
      <c r="Y181" s="1506"/>
      <c r="Z181" s="1513"/>
      <c r="AA181" s="1508"/>
      <c r="AB181" s="1279"/>
      <c r="AC181" s="1279"/>
      <c r="AD181" s="1279"/>
      <c r="AE181" s="1279"/>
      <c r="AF181" s="1279"/>
      <c r="AG181" s="1279"/>
      <c r="AH181" s="1279"/>
      <c r="AI181" s="1279"/>
      <c r="AJ181" s="1279"/>
      <c r="AK181" s="1279"/>
      <c r="AL181" s="1279"/>
      <c r="AM181" s="1279"/>
      <c r="AN181" s="1279"/>
      <c r="AO181" s="1279"/>
      <c r="AP181" s="1279"/>
      <c r="AQ181" s="1279"/>
      <c r="AR181" s="1307"/>
      <c r="AS181" s="1307"/>
      <c r="AT181" s="1279"/>
      <c r="AU181" s="1279"/>
      <c r="AV181" s="1307"/>
      <c r="AW181" s="1307"/>
      <c r="AX181" s="1307"/>
      <c r="AY181" s="1307"/>
      <c r="AZ181" s="1307"/>
      <c r="BA181" s="1307"/>
      <c r="BB181" s="1307"/>
      <c r="BC181" s="1509"/>
      <c r="BD181" s="1307"/>
      <c r="BE181" s="1307"/>
      <c r="BH181" s="1511"/>
      <c r="BI181" s="1511"/>
      <c r="BJ181" s="1512"/>
    </row>
    <row r="182" spans="1:62" s="1510" customFormat="1" x14ac:dyDescent="0.2">
      <c r="A182" s="1279"/>
      <c r="B182" s="1279"/>
      <c r="C182" s="1279"/>
      <c r="D182" s="1279"/>
      <c r="E182" s="1279"/>
      <c r="F182" s="1279"/>
      <c r="G182" s="1279"/>
      <c r="H182" s="1279"/>
      <c r="I182" s="1279"/>
      <c r="J182" s="1279"/>
      <c r="K182" s="1503"/>
      <c r="L182" s="1312"/>
      <c r="M182" s="1312"/>
      <c r="N182" s="1312"/>
      <c r="O182" s="1312"/>
      <c r="P182" s="1307"/>
      <c r="Q182" s="1504"/>
      <c r="R182" s="1505"/>
      <c r="S182" s="1312"/>
      <c r="T182" s="1312"/>
      <c r="U182" s="1503"/>
      <c r="V182" s="1503"/>
      <c r="W182" s="1506"/>
      <c r="X182" s="1506"/>
      <c r="Y182" s="1506"/>
      <c r="Z182" s="1513"/>
      <c r="AA182" s="1508"/>
      <c r="AB182" s="1279"/>
      <c r="AC182" s="1279"/>
      <c r="AD182" s="1279"/>
      <c r="AE182" s="1279"/>
      <c r="AF182" s="1279"/>
      <c r="AG182" s="1279"/>
      <c r="AH182" s="1279"/>
      <c r="AI182" s="1279"/>
      <c r="AJ182" s="1279"/>
      <c r="AK182" s="1279"/>
      <c r="AL182" s="1279"/>
      <c r="AM182" s="1279"/>
      <c r="AN182" s="1279"/>
      <c r="AO182" s="1279"/>
      <c r="AP182" s="1279"/>
      <c r="AQ182" s="1279"/>
      <c r="AR182" s="1307"/>
      <c r="AS182" s="1307"/>
      <c r="AT182" s="1279"/>
      <c r="AU182" s="1279"/>
      <c r="AV182" s="1307"/>
      <c r="AW182" s="1307"/>
      <c r="AX182" s="1307"/>
      <c r="AY182" s="1307"/>
      <c r="AZ182" s="1307"/>
      <c r="BA182" s="1307"/>
      <c r="BB182" s="1307"/>
      <c r="BC182" s="1509"/>
      <c r="BD182" s="1307"/>
      <c r="BE182" s="1307"/>
      <c r="BH182" s="1511"/>
      <c r="BI182" s="1511"/>
      <c r="BJ182" s="1512"/>
    </row>
    <row r="183" spans="1:62" s="1510" customFormat="1" x14ac:dyDescent="0.2">
      <c r="A183" s="1279"/>
      <c r="B183" s="1279"/>
      <c r="C183" s="1279"/>
      <c r="D183" s="1279"/>
      <c r="E183" s="1279"/>
      <c r="F183" s="1279"/>
      <c r="G183" s="1279"/>
      <c r="H183" s="1279"/>
      <c r="I183" s="1279"/>
      <c r="J183" s="1279"/>
      <c r="K183" s="1503"/>
      <c r="L183" s="1312"/>
      <c r="M183" s="1312"/>
      <c r="N183" s="1312"/>
      <c r="O183" s="1312"/>
      <c r="P183" s="1307"/>
      <c r="Q183" s="1504"/>
      <c r="R183" s="1505"/>
      <c r="S183" s="1312"/>
      <c r="T183" s="1312"/>
      <c r="U183" s="1503"/>
      <c r="V183" s="1503"/>
      <c r="W183" s="1506"/>
      <c r="X183" s="1506"/>
      <c r="Y183" s="1506"/>
      <c r="Z183" s="1513"/>
      <c r="AA183" s="1508"/>
      <c r="AB183" s="1279"/>
      <c r="AC183" s="1279"/>
      <c r="AD183" s="1279"/>
      <c r="AE183" s="1279"/>
      <c r="AF183" s="1279"/>
      <c r="AG183" s="1279"/>
      <c r="AH183" s="1279"/>
      <c r="AI183" s="1279"/>
      <c r="AJ183" s="1279"/>
      <c r="AK183" s="1279"/>
      <c r="AL183" s="1279"/>
      <c r="AM183" s="1279"/>
      <c r="AN183" s="1279"/>
      <c r="AO183" s="1279"/>
      <c r="AP183" s="1279"/>
      <c r="AQ183" s="1279"/>
      <c r="AR183" s="1307"/>
      <c r="AS183" s="1307"/>
      <c r="AT183" s="1279"/>
      <c r="AU183" s="1279"/>
      <c r="AV183" s="1307"/>
      <c r="AW183" s="1307"/>
      <c r="AX183" s="1307"/>
      <c r="AY183" s="1307"/>
      <c r="AZ183" s="1307"/>
      <c r="BA183" s="1307"/>
      <c r="BB183" s="1307"/>
      <c r="BC183" s="1509"/>
      <c r="BD183" s="1307"/>
      <c r="BE183" s="1307"/>
      <c r="BH183" s="1511"/>
      <c r="BI183" s="1511"/>
      <c r="BJ183" s="1512"/>
    </row>
    <row r="184" spans="1:62" s="1510" customFormat="1" x14ac:dyDescent="0.2">
      <c r="A184" s="1279"/>
      <c r="B184" s="1279"/>
      <c r="C184" s="1279"/>
      <c r="D184" s="1279"/>
      <c r="E184" s="1279"/>
      <c r="F184" s="1279"/>
      <c r="G184" s="1279"/>
      <c r="H184" s="1279"/>
      <c r="I184" s="1279"/>
      <c r="J184" s="1279"/>
      <c r="K184" s="1503"/>
      <c r="L184" s="1312"/>
      <c r="M184" s="1312"/>
      <c r="N184" s="1312"/>
      <c r="O184" s="1312"/>
      <c r="P184" s="1307"/>
      <c r="Q184" s="1504"/>
      <c r="R184" s="1505"/>
      <c r="S184" s="1312"/>
      <c r="T184" s="1312"/>
      <c r="U184" s="1503"/>
      <c r="V184" s="1503"/>
      <c r="W184" s="1506"/>
      <c r="X184" s="1506"/>
      <c r="Y184" s="1506"/>
      <c r="Z184" s="1513"/>
      <c r="AA184" s="1508"/>
      <c r="AB184" s="1279"/>
      <c r="AC184" s="1279"/>
      <c r="AD184" s="1279"/>
      <c r="AE184" s="1279"/>
      <c r="AF184" s="1279"/>
      <c r="AG184" s="1279"/>
      <c r="AH184" s="1279"/>
      <c r="AI184" s="1279"/>
      <c r="AJ184" s="1279"/>
      <c r="AK184" s="1279"/>
      <c r="AL184" s="1279"/>
      <c r="AM184" s="1279"/>
      <c r="AN184" s="1279"/>
      <c r="AO184" s="1279"/>
      <c r="AP184" s="1279"/>
      <c r="AQ184" s="1279"/>
      <c r="AR184" s="1307"/>
      <c r="AS184" s="1307"/>
      <c r="AT184" s="1279"/>
      <c r="AU184" s="1279"/>
      <c r="AV184" s="1307"/>
      <c r="AW184" s="1307"/>
      <c r="AX184" s="1307"/>
      <c r="AY184" s="1307"/>
      <c r="AZ184" s="1307"/>
      <c r="BA184" s="1307"/>
      <c r="BB184" s="1307"/>
      <c r="BC184" s="1509"/>
      <c r="BD184" s="1307"/>
      <c r="BE184" s="1307"/>
      <c r="BH184" s="1511"/>
      <c r="BI184" s="1511"/>
      <c r="BJ184" s="1512"/>
    </row>
    <row r="185" spans="1:62" s="1510" customFormat="1" x14ac:dyDescent="0.2">
      <c r="A185" s="1279"/>
      <c r="B185" s="1279"/>
      <c r="C185" s="1279"/>
      <c r="D185" s="1279"/>
      <c r="E185" s="1279"/>
      <c r="F185" s="1279"/>
      <c r="G185" s="1279"/>
      <c r="H185" s="1279"/>
      <c r="I185" s="1279"/>
      <c r="J185" s="1279"/>
      <c r="K185" s="1503"/>
      <c r="L185" s="1312"/>
      <c r="M185" s="1312"/>
      <c r="N185" s="1312"/>
      <c r="O185" s="1312"/>
      <c r="P185" s="1307"/>
      <c r="Q185" s="1504"/>
      <c r="R185" s="1505"/>
      <c r="S185" s="1312"/>
      <c r="T185" s="1312"/>
      <c r="U185" s="1503"/>
      <c r="V185" s="1503"/>
      <c r="W185" s="1506"/>
      <c r="X185" s="1506"/>
      <c r="Y185" s="1506"/>
      <c r="Z185" s="1513"/>
      <c r="AA185" s="1508"/>
      <c r="AB185" s="1279"/>
      <c r="AC185" s="1279"/>
      <c r="AD185" s="1279"/>
      <c r="AE185" s="1279"/>
      <c r="AF185" s="1279"/>
      <c r="AG185" s="1279"/>
      <c r="AH185" s="1279"/>
      <c r="AI185" s="1279"/>
      <c r="AJ185" s="1279"/>
      <c r="AK185" s="1279"/>
      <c r="AL185" s="1279"/>
      <c r="AM185" s="1279"/>
      <c r="AN185" s="1279"/>
      <c r="AO185" s="1279"/>
      <c r="AP185" s="1279"/>
      <c r="AQ185" s="1279"/>
      <c r="AR185" s="1307"/>
      <c r="AS185" s="1307"/>
      <c r="AT185" s="1279"/>
      <c r="AU185" s="1279"/>
      <c r="AV185" s="1307"/>
      <c r="AW185" s="1307"/>
      <c r="AX185" s="1307"/>
      <c r="AY185" s="1307"/>
      <c r="AZ185" s="1307"/>
      <c r="BA185" s="1307"/>
      <c r="BB185" s="1307"/>
      <c r="BC185" s="1509"/>
      <c r="BD185" s="1307"/>
      <c r="BE185" s="1307"/>
      <c r="BH185" s="1511"/>
      <c r="BI185" s="1511"/>
      <c r="BJ185" s="1512"/>
    </row>
    <row r="186" spans="1:62" s="1510" customFormat="1" x14ac:dyDescent="0.2">
      <c r="A186" s="1279"/>
      <c r="B186" s="1279"/>
      <c r="C186" s="1279"/>
      <c r="D186" s="1279"/>
      <c r="E186" s="1279"/>
      <c r="F186" s="1279"/>
      <c r="G186" s="1279"/>
      <c r="H186" s="1279"/>
      <c r="I186" s="1279"/>
      <c r="J186" s="1279"/>
      <c r="K186" s="1503"/>
      <c r="L186" s="1312"/>
      <c r="M186" s="1312"/>
      <c r="N186" s="1312"/>
      <c r="O186" s="1312"/>
      <c r="P186" s="1307"/>
      <c r="Q186" s="1504"/>
      <c r="R186" s="1505"/>
      <c r="S186" s="1312"/>
      <c r="T186" s="1312"/>
      <c r="U186" s="1503"/>
      <c r="V186" s="1503"/>
      <c r="W186" s="1506"/>
      <c r="X186" s="1506"/>
      <c r="Y186" s="1506"/>
      <c r="Z186" s="1513"/>
      <c r="AA186" s="1508"/>
      <c r="AB186" s="1279"/>
      <c r="AC186" s="1279"/>
      <c r="AD186" s="1279"/>
      <c r="AE186" s="1279"/>
      <c r="AF186" s="1279"/>
      <c r="AG186" s="1279"/>
      <c r="AH186" s="1279"/>
      <c r="AI186" s="1279"/>
      <c r="AJ186" s="1279"/>
      <c r="AK186" s="1279"/>
      <c r="AL186" s="1279"/>
      <c r="AM186" s="1279"/>
      <c r="AN186" s="1279"/>
      <c r="AO186" s="1279"/>
      <c r="AP186" s="1279"/>
      <c r="AQ186" s="1279"/>
      <c r="AR186" s="1307"/>
      <c r="AS186" s="1307"/>
      <c r="AT186" s="1279"/>
      <c r="AU186" s="1279"/>
      <c r="AV186" s="1307"/>
      <c r="AW186" s="1307"/>
      <c r="AX186" s="1307"/>
      <c r="AY186" s="1307"/>
      <c r="AZ186" s="1307"/>
      <c r="BA186" s="1307"/>
      <c r="BB186" s="1307"/>
      <c r="BC186" s="1509"/>
      <c r="BD186" s="1307"/>
      <c r="BE186" s="1307"/>
      <c r="BH186" s="1511"/>
      <c r="BI186" s="1511"/>
      <c r="BJ186" s="1512"/>
    </row>
    <row r="187" spans="1:62" s="1510" customFormat="1" x14ac:dyDescent="0.2">
      <c r="A187" s="1279"/>
      <c r="B187" s="1279"/>
      <c r="C187" s="1279"/>
      <c r="D187" s="1279"/>
      <c r="E187" s="1279"/>
      <c r="F187" s="1279"/>
      <c r="G187" s="1279"/>
      <c r="H187" s="1279"/>
      <c r="I187" s="1279"/>
      <c r="J187" s="1279"/>
      <c r="K187" s="1503"/>
      <c r="L187" s="1312"/>
      <c r="M187" s="1312"/>
      <c r="N187" s="1312"/>
      <c r="O187" s="1312"/>
      <c r="P187" s="1307"/>
      <c r="Q187" s="1504"/>
      <c r="R187" s="1505"/>
      <c r="S187" s="1312"/>
      <c r="T187" s="1312"/>
      <c r="U187" s="1503"/>
      <c r="V187" s="1503"/>
      <c r="W187" s="1506"/>
      <c r="X187" s="1506"/>
      <c r="Y187" s="1506"/>
      <c r="Z187" s="1513"/>
      <c r="AA187" s="1508"/>
      <c r="AB187" s="1279"/>
      <c r="AC187" s="1279"/>
      <c r="AD187" s="1279"/>
      <c r="AE187" s="1279"/>
      <c r="AF187" s="1279"/>
      <c r="AG187" s="1279"/>
      <c r="AH187" s="1279"/>
      <c r="AI187" s="1279"/>
      <c r="AJ187" s="1279"/>
      <c r="AK187" s="1279"/>
      <c r="AL187" s="1279"/>
      <c r="AM187" s="1279"/>
      <c r="AN187" s="1279"/>
      <c r="AO187" s="1279"/>
      <c r="AP187" s="1279"/>
      <c r="AQ187" s="1279"/>
      <c r="AR187" s="1307"/>
      <c r="AS187" s="1307"/>
      <c r="AT187" s="1279"/>
      <c r="AU187" s="1279"/>
      <c r="AV187" s="1307"/>
      <c r="AW187" s="1307"/>
      <c r="AX187" s="1307"/>
      <c r="AY187" s="1307"/>
      <c r="AZ187" s="1307"/>
      <c r="BA187" s="1307"/>
      <c r="BB187" s="1307"/>
      <c r="BC187" s="1509"/>
      <c r="BD187" s="1307"/>
      <c r="BE187" s="1307"/>
      <c r="BH187" s="1511"/>
      <c r="BI187" s="1511"/>
      <c r="BJ187" s="1512"/>
    </row>
    <row r="188" spans="1:62" s="1510" customFormat="1" x14ac:dyDescent="0.2">
      <c r="A188" s="1279"/>
      <c r="B188" s="1279"/>
      <c r="C188" s="1279"/>
      <c r="D188" s="1279"/>
      <c r="E188" s="1279"/>
      <c r="F188" s="1279"/>
      <c r="G188" s="1279"/>
      <c r="H188" s="1279"/>
      <c r="I188" s="1279"/>
      <c r="J188" s="1279"/>
      <c r="K188" s="1503"/>
      <c r="L188" s="1312"/>
      <c r="M188" s="1312"/>
      <c r="N188" s="1312"/>
      <c r="O188" s="1312"/>
      <c r="P188" s="1307"/>
      <c r="Q188" s="1504"/>
      <c r="R188" s="1505"/>
      <c r="S188" s="1312"/>
      <c r="T188" s="1312"/>
      <c r="U188" s="1503"/>
      <c r="V188" s="1503"/>
      <c r="W188" s="1506"/>
      <c r="X188" s="1506"/>
      <c r="Y188" s="1506"/>
      <c r="Z188" s="1513"/>
      <c r="AA188" s="1508"/>
      <c r="AB188" s="1279"/>
      <c r="AC188" s="1279"/>
      <c r="AD188" s="1279"/>
      <c r="AE188" s="1279"/>
      <c r="AF188" s="1279"/>
      <c r="AG188" s="1279"/>
      <c r="AH188" s="1279"/>
      <c r="AI188" s="1279"/>
      <c r="AJ188" s="1279"/>
      <c r="AK188" s="1279"/>
      <c r="AL188" s="1279"/>
      <c r="AM188" s="1279"/>
      <c r="AN188" s="1279"/>
      <c r="AO188" s="1279"/>
      <c r="AP188" s="1279"/>
      <c r="AQ188" s="1279"/>
      <c r="AR188" s="1307"/>
      <c r="AS188" s="1307"/>
      <c r="AT188" s="1279"/>
      <c r="AU188" s="1279"/>
      <c r="AV188" s="1307"/>
      <c r="AW188" s="1307"/>
      <c r="AX188" s="1307"/>
      <c r="AY188" s="1307"/>
      <c r="AZ188" s="1307"/>
      <c r="BA188" s="1307"/>
      <c r="BB188" s="1307"/>
      <c r="BC188" s="1509"/>
      <c r="BD188" s="1307"/>
      <c r="BE188" s="1307"/>
      <c r="BH188" s="1511"/>
      <c r="BI188" s="1511"/>
      <c r="BJ188" s="1512"/>
    </row>
    <row r="189" spans="1:62" s="1510" customFormat="1" x14ac:dyDescent="0.2">
      <c r="A189" s="1279"/>
      <c r="B189" s="1279"/>
      <c r="C189" s="1279"/>
      <c r="D189" s="1279"/>
      <c r="E189" s="1279"/>
      <c r="F189" s="1279"/>
      <c r="G189" s="1279"/>
      <c r="H189" s="1279"/>
      <c r="I189" s="1279"/>
      <c r="J189" s="1279"/>
      <c r="K189" s="1503"/>
      <c r="L189" s="1312"/>
      <c r="M189" s="1312"/>
      <c r="N189" s="1312"/>
      <c r="O189" s="1312"/>
      <c r="P189" s="1307"/>
      <c r="Q189" s="1504"/>
      <c r="R189" s="1505"/>
      <c r="S189" s="1312"/>
      <c r="T189" s="1312"/>
      <c r="U189" s="1503"/>
      <c r="V189" s="1503"/>
      <c r="W189" s="1506"/>
      <c r="X189" s="1506"/>
      <c r="Y189" s="1506"/>
      <c r="Z189" s="1513"/>
      <c r="AA189" s="1508"/>
      <c r="AB189" s="1279"/>
      <c r="AC189" s="1279"/>
      <c r="AD189" s="1279"/>
      <c r="AE189" s="1279"/>
      <c r="AF189" s="1279"/>
      <c r="AG189" s="1279"/>
      <c r="AH189" s="1279"/>
      <c r="AI189" s="1279"/>
      <c r="AJ189" s="1279"/>
      <c r="AK189" s="1279"/>
      <c r="AL189" s="1279"/>
      <c r="AM189" s="1279"/>
      <c r="AN189" s="1279"/>
      <c r="AO189" s="1279"/>
      <c r="AP189" s="1279"/>
      <c r="AQ189" s="1279"/>
      <c r="AR189" s="1307"/>
      <c r="AS189" s="1307"/>
      <c r="AT189" s="1279"/>
      <c r="AU189" s="1279"/>
      <c r="AV189" s="1307"/>
      <c r="AW189" s="1307"/>
      <c r="AX189" s="1307"/>
      <c r="AY189" s="1307"/>
      <c r="AZ189" s="1307"/>
      <c r="BA189" s="1307"/>
      <c r="BB189" s="1307"/>
      <c r="BC189" s="1509"/>
      <c r="BD189" s="1307"/>
      <c r="BE189" s="1307"/>
      <c r="BH189" s="1511"/>
      <c r="BI189" s="1511"/>
      <c r="BJ189" s="1512"/>
    </row>
    <row r="190" spans="1:62" s="1510" customFormat="1" x14ac:dyDescent="0.2">
      <c r="A190" s="1279"/>
      <c r="B190" s="1279"/>
      <c r="C190" s="1279"/>
      <c r="D190" s="1279"/>
      <c r="E190" s="1279"/>
      <c r="F190" s="1279"/>
      <c r="G190" s="1279"/>
      <c r="H190" s="1279"/>
      <c r="I190" s="1279"/>
      <c r="J190" s="1279"/>
      <c r="K190" s="1503"/>
      <c r="L190" s="1312"/>
      <c r="M190" s="1312"/>
      <c r="N190" s="1312"/>
      <c r="O190" s="1312"/>
      <c r="P190" s="1307"/>
      <c r="Q190" s="1504"/>
      <c r="R190" s="1505"/>
      <c r="S190" s="1312"/>
      <c r="T190" s="1312"/>
      <c r="U190" s="1503"/>
      <c r="V190" s="1503"/>
      <c r="W190" s="1506"/>
      <c r="X190" s="1506"/>
      <c r="Y190" s="1506"/>
      <c r="Z190" s="1513"/>
      <c r="AA190" s="1508"/>
      <c r="AB190" s="1279"/>
      <c r="AC190" s="1279"/>
      <c r="AD190" s="1279"/>
      <c r="AE190" s="1279"/>
      <c r="AF190" s="1279"/>
      <c r="AG190" s="1279"/>
      <c r="AH190" s="1279"/>
      <c r="AI190" s="1279"/>
      <c r="AJ190" s="1279"/>
      <c r="AK190" s="1279"/>
      <c r="AL190" s="1279"/>
      <c r="AM190" s="1279"/>
      <c r="AN190" s="1279"/>
      <c r="AO190" s="1279"/>
      <c r="AP190" s="1279"/>
      <c r="AQ190" s="1279"/>
      <c r="AR190" s="1307"/>
      <c r="AS190" s="1307"/>
      <c r="AT190" s="1279"/>
      <c r="AU190" s="1279"/>
      <c r="AV190" s="1307"/>
      <c r="AW190" s="1307"/>
      <c r="AX190" s="1307"/>
      <c r="AY190" s="1307"/>
      <c r="AZ190" s="1307"/>
      <c r="BA190" s="1307"/>
      <c r="BB190" s="1307"/>
      <c r="BC190" s="1509"/>
      <c r="BD190" s="1307"/>
      <c r="BE190" s="1307"/>
      <c r="BH190" s="1511"/>
      <c r="BI190" s="1511"/>
      <c r="BJ190" s="1512"/>
    </row>
    <row r="191" spans="1:62" s="1510" customFormat="1" x14ac:dyDescent="0.2">
      <c r="A191" s="1279"/>
      <c r="B191" s="1279"/>
      <c r="C191" s="1279"/>
      <c r="D191" s="1279"/>
      <c r="E191" s="1279"/>
      <c r="F191" s="1279"/>
      <c r="G191" s="1279"/>
      <c r="H191" s="1279"/>
      <c r="I191" s="1279"/>
      <c r="J191" s="1279"/>
      <c r="K191" s="1503"/>
      <c r="L191" s="1312"/>
      <c r="M191" s="1312"/>
      <c r="N191" s="1312"/>
      <c r="O191" s="1312"/>
      <c r="P191" s="1307"/>
      <c r="Q191" s="1504"/>
      <c r="R191" s="1505"/>
      <c r="S191" s="1312"/>
      <c r="T191" s="1312"/>
      <c r="U191" s="1503"/>
      <c r="V191" s="1503"/>
      <c r="W191" s="1506"/>
      <c r="X191" s="1506"/>
      <c r="Y191" s="1506"/>
      <c r="Z191" s="1513"/>
      <c r="AA191" s="1508"/>
      <c r="AB191" s="1279"/>
      <c r="AC191" s="1279"/>
      <c r="AD191" s="1279"/>
      <c r="AE191" s="1279"/>
      <c r="AF191" s="1279"/>
      <c r="AG191" s="1279"/>
      <c r="AH191" s="1279"/>
      <c r="AI191" s="1279"/>
      <c r="AJ191" s="1279"/>
      <c r="AK191" s="1279"/>
      <c r="AL191" s="1279"/>
      <c r="AM191" s="1279"/>
      <c r="AN191" s="1279"/>
      <c r="AO191" s="1279"/>
      <c r="AP191" s="1279"/>
      <c r="AQ191" s="1279"/>
      <c r="AR191" s="1307"/>
      <c r="AS191" s="1307"/>
      <c r="AT191" s="1279"/>
      <c r="AU191" s="1279"/>
      <c r="AV191" s="1307"/>
      <c r="AW191" s="1307"/>
      <c r="AX191" s="1307"/>
      <c r="AY191" s="1307"/>
      <c r="AZ191" s="1307"/>
      <c r="BA191" s="1307"/>
      <c r="BB191" s="1307"/>
      <c r="BC191" s="1509"/>
      <c r="BD191" s="1307"/>
      <c r="BE191" s="1307"/>
      <c r="BH191" s="1511"/>
      <c r="BI191" s="1511"/>
      <c r="BJ191" s="1512"/>
    </row>
    <row r="192" spans="1:62" s="1510" customFormat="1" x14ac:dyDescent="0.2">
      <c r="A192" s="1279"/>
      <c r="B192" s="1279"/>
      <c r="C192" s="1279"/>
      <c r="D192" s="1279"/>
      <c r="E192" s="1279"/>
      <c r="F192" s="1279"/>
      <c r="G192" s="1279"/>
      <c r="H192" s="1279"/>
      <c r="I192" s="1279"/>
      <c r="J192" s="1279"/>
      <c r="K192" s="1503"/>
      <c r="L192" s="1312"/>
      <c r="M192" s="1312"/>
      <c r="N192" s="1312"/>
      <c r="O192" s="1312"/>
      <c r="P192" s="1307"/>
      <c r="Q192" s="1504"/>
      <c r="R192" s="1505"/>
      <c r="S192" s="1312"/>
      <c r="T192" s="1312"/>
      <c r="U192" s="1503"/>
      <c r="V192" s="1503"/>
      <c r="W192" s="1506"/>
      <c r="X192" s="1506"/>
      <c r="Y192" s="1506"/>
      <c r="Z192" s="1513"/>
      <c r="AA192" s="1508"/>
      <c r="AB192" s="1279"/>
      <c r="AC192" s="1279"/>
      <c r="AD192" s="1279"/>
      <c r="AE192" s="1279"/>
      <c r="AF192" s="1279"/>
      <c r="AG192" s="1279"/>
      <c r="AH192" s="1279"/>
      <c r="AI192" s="1279"/>
      <c r="AJ192" s="1279"/>
      <c r="AK192" s="1279"/>
      <c r="AL192" s="1279"/>
      <c r="AM192" s="1279"/>
      <c r="AN192" s="1279"/>
      <c r="AO192" s="1279"/>
      <c r="AP192" s="1279"/>
      <c r="AQ192" s="1279"/>
      <c r="AR192" s="1307"/>
      <c r="AS192" s="1307"/>
      <c r="AT192" s="1279"/>
      <c r="AU192" s="1279"/>
      <c r="AV192" s="1307"/>
      <c r="AW192" s="1307"/>
      <c r="AX192" s="1307"/>
      <c r="AY192" s="1307"/>
      <c r="AZ192" s="1307"/>
      <c r="BA192" s="1307"/>
      <c r="BB192" s="1307"/>
      <c r="BC192" s="1509"/>
      <c r="BD192" s="1307"/>
      <c r="BE192" s="1307"/>
      <c r="BH192" s="1511"/>
      <c r="BI192" s="1511"/>
      <c r="BJ192" s="1512"/>
    </row>
    <row r="193" spans="1:62" s="1510" customFormat="1" x14ac:dyDescent="0.2">
      <c r="A193" s="1279"/>
      <c r="B193" s="1279"/>
      <c r="C193" s="1279"/>
      <c r="D193" s="1279"/>
      <c r="E193" s="1279"/>
      <c r="F193" s="1279"/>
      <c r="G193" s="1279"/>
      <c r="H193" s="1279"/>
      <c r="I193" s="1279"/>
      <c r="J193" s="1279"/>
      <c r="K193" s="1503"/>
      <c r="L193" s="1312"/>
      <c r="M193" s="1312"/>
      <c r="N193" s="1312"/>
      <c r="O193" s="1312"/>
      <c r="P193" s="1307"/>
      <c r="Q193" s="1504"/>
      <c r="R193" s="1505"/>
      <c r="S193" s="1312"/>
      <c r="T193" s="1312"/>
      <c r="U193" s="1503"/>
      <c r="V193" s="1503"/>
      <c r="W193" s="1506"/>
      <c r="X193" s="1506"/>
      <c r="Y193" s="1506"/>
      <c r="Z193" s="1513"/>
      <c r="AA193" s="1508"/>
      <c r="AB193" s="1279"/>
      <c r="AC193" s="1279"/>
      <c r="AD193" s="1279"/>
      <c r="AE193" s="1279"/>
      <c r="AF193" s="1279"/>
      <c r="AG193" s="1279"/>
      <c r="AH193" s="1279"/>
      <c r="AI193" s="1279"/>
      <c r="AJ193" s="1279"/>
      <c r="AK193" s="1279"/>
      <c r="AL193" s="1279"/>
      <c r="AM193" s="1279"/>
      <c r="AN193" s="1279"/>
      <c r="AO193" s="1279"/>
      <c r="AP193" s="1279"/>
      <c r="AQ193" s="1279"/>
      <c r="AR193" s="1307"/>
      <c r="AS193" s="1307"/>
      <c r="AT193" s="1279"/>
      <c r="AU193" s="1279"/>
      <c r="AV193" s="1307"/>
      <c r="AW193" s="1307"/>
      <c r="AX193" s="1307"/>
      <c r="AY193" s="1307"/>
      <c r="AZ193" s="1307"/>
      <c r="BA193" s="1307"/>
      <c r="BB193" s="1307"/>
      <c r="BC193" s="1509"/>
      <c r="BD193" s="1307"/>
      <c r="BE193" s="1307"/>
      <c r="BH193" s="1511"/>
      <c r="BI193" s="1511"/>
      <c r="BJ193" s="1512"/>
    </row>
    <row r="194" spans="1:62" s="1510" customFormat="1" x14ac:dyDescent="0.2">
      <c r="A194" s="1279"/>
      <c r="B194" s="1279"/>
      <c r="C194" s="1279"/>
      <c r="D194" s="1279"/>
      <c r="E194" s="1279"/>
      <c r="F194" s="1279"/>
      <c r="G194" s="1279"/>
      <c r="H194" s="1279"/>
      <c r="I194" s="1279"/>
      <c r="J194" s="1279"/>
      <c r="K194" s="1503"/>
      <c r="L194" s="1312"/>
      <c r="M194" s="1312"/>
      <c r="N194" s="1312"/>
      <c r="O194" s="1312"/>
      <c r="P194" s="1307"/>
      <c r="Q194" s="1504"/>
      <c r="R194" s="1505"/>
      <c r="S194" s="1312"/>
      <c r="T194" s="1312"/>
      <c r="U194" s="1503"/>
      <c r="V194" s="1503"/>
      <c r="W194" s="1506"/>
      <c r="X194" s="1506"/>
      <c r="Y194" s="1506"/>
      <c r="Z194" s="1513"/>
      <c r="AA194" s="1508"/>
      <c r="AB194" s="1279"/>
      <c r="AC194" s="1279"/>
      <c r="AD194" s="1279"/>
      <c r="AE194" s="1279"/>
      <c r="AF194" s="1279"/>
      <c r="AG194" s="1279"/>
      <c r="AH194" s="1279"/>
      <c r="AI194" s="1279"/>
      <c r="AJ194" s="1279"/>
      <c r="AK194" s="1279"/>
      <c r="AL194" s="1279"/>
      <c r="AM194" s="1279"/>
      <c r="AN194" s="1279"/>
      <c r="AO194" s="1279"/>
      <c r="AP194" s="1279"/>
      <c r="AQ194" s="1279"/>
      <c r="AR194" s="1307"/>
      <c r="AS194" s="1307"/>
      <c r="AT194" s="1279"/>
      <c r="AU194" s="1279"/>
      <c r="AV194" s="1307"/>
      <c r="AW194" s="1307"/>
      <c r="AX194" s="1307"/>
      <c r="AY194" s="1307"/>
      <c r="AZ194" s="1307"/>
      <c r="BA194" s="1307"/>
      <c r="BB194" s="1307"/>
      <c r="BC194" s="1509"/>
      <c r="BD194" s="1307"/>
      <c r="BE194" s="1307"/>
      <c r="BH194" s="1511"/>
      <c r="BI194" s="1511"/>
      <c r="BJ194" s="1512"/>
    </row>
    <row r="195" spans="1:62" s="1510" customFormat="1" x14ac:dyDescent="0.2">
      <c r="A195" s="1279"/>
      <c r="B195" s="1279"/>
      <c r="C195" s="1279"/>
      <c r="D195" s="1279"/>
      <c r="E195" s="1279"/>
      <c r="F195" s="1279"/>
      <c r="G195" s="1279"/>
      <c r="H195" s="1279"/>
      <c r="I195" s="1279"/>
      <c r="J195" s="1279"/>
      <c r="K195" s="1503"/>
      <c r="L195" s="1312"/>
      <c r="M195" s="1312"/>
      <c r="N195" s="1312"/>
      <c r="O195" s="1312"/>
      <c r="P195" s="1307"/>
      <c r="Q195" s="1504"/>
      <c r="R195" s="1505"/>
      <c r="S195" s="1312"/>
      <c r="T195" s="1312"/>
      <c r="U195" s="1503"/>
      <c r="V195" s="1503"/>
      <c r="W195" s="1506"/>
      <c r="X195" s="1506"/>
      <c r="Y195" s="1506"/>
      <c r="Z195" s="1513"/>
      <c r="AA195" s="1508"/>
      <c r="AB195" s="1279"/>
      <c r="AC195" s="1279"/>
      <c r="AD195" s="1279"/>
      <c r="AE195" s="1279"/>
      <c r="AF195" s="1279"/>
      <c r="AG195" s="1279"/>
      <c r="AH195" s="1279"/>
      <c r="AI195" s="1279"/>
      <c r="AJ195" s="1279"/>
      <c r="AK195" s="1279"/>
      <c r="AL195" s="1279"/>
      <c r="AM195" s="1279"/>
      <c r="AN195" s="1279"/>
      <c r="AO195" s="1279"/>
      <c r="AP195" s="1279"/>
      <c r="AQ195" s="1279"/>
      <c r="AR195" s="1307"/>
      <c r="AS195" s="1307"/>
      <c r="AT195" s="1279"/>
      <c r="AU195" s="1279"/>
      <c r="AV195" s="1307"/>
      <c r="AW195" s="1307"/>
      <c r="AX195" s="1307"/>
      <c r="AY195" s="1307"/>
      <c r="AZ195" s="1307"/>
      <c r="BA195" s="1307"/>
      <c r="BB195" s="1307"/>
      <c r="BC195" s="1509"/>
      <c r="BD195" s="1307"/>
      <c r="BE195" s="1307"/>
      <c r="BH195" s="1511"/>
      <c r="BI195" s="1511"/>
      <c r="BJ195" s="1512"/>
    </row>
    <row r="196" spans="1:62" s="1510" customFormat="1" x14ac:dyDescent="0.2">
      <c r="A196" s="1279"/>
      <c r="B196" s="1279"/>
      <c r="C196" s="1279"/>
      <c r="D196" s="1279"/>
      <c r="E196" s="1279"/>
      <c r="F196" s="1279"/>
      <c r="G196" s="1279"/>
      <c r="H196" s="1279"/>
      <c r="I196" s="1279"/>
      <c r="J196" s="1279"/>
      <c r="K196" s="1503"/>
      <c r="L196" s="1312"/>
      <c r="M196" s="1312"/>
      <c r="N196" s="1312"/>
      <c r="O196" s="1312"/>
      <c r="P196" s="1307"/>
      <c r="Q196" s="1504"/>
      <c r="R196" s="1505"/>
      <c r="S196" s="1312"/>
      <c r="T196" s="1312"/>
      <c r="U196" s="1503"/>
      <c r="V196" s="1503"/>
      <c r="W196" s="1506"/>
      <c r="X196" s="1506"/>
      <c r="Y196" s="1506"/>
      <c r="Z196" s="1513"/>
      <c r="AA196" s="1508"/>
      <c r="AB196" s="1279"/>
      <c r="AC196" s="1279"/>
      <c r="AD196" s="1279"/>
      <c r="AE196" s="1279"/>
      <c r="AF196" s="1279"/>
      <c r="AG196" s="1279"/>
      <c r="AH196" s="1279"/>
      <c r="AI196" s="1279"/>
      <c r="AJ196" s="1279"/>
      <c r="AK196" s="1279"/>
      <c r="AL196" s="1279"/>
      <c r="AM196" s="1279"/>
      <c r="AN196" s="1279"/>
      <c r="AO196" s="1279"/>
      <c r="AP196" s="1279"/>
      <c r="AQ196" s="1279"/>
      <c r="AR196" s="1307"/>
      <c r="AS196" s="1307"/>
      <c r="AT196" s="1279"/>
      <c r="AU196" s="1279"/>
      <c r="AV196" s="1307"/>
      <c r="AW196" s="1307"/>
      <c r="AX196" s="1307"/>
      <c r="AY196" s="1307"/>
      <c r="AZ196" s="1307"/>
      <c r="BA196" s="1307"/>
      <c r="BB196" s="1307"/>
      <c r="BC196" s="1509"/>
      <c r="BD196" s="1307"/>
      <c r="BE196" s="1307"/>
      <c r="BH196" s="1511"/>
      <c r="BI196" s="1511"/>
      <c r="BJ196" s="1512"/>
    </row>
    <row r="197" spans="1:62" s="1510" customFormat="1" x14ac:dyDescent="0.2">
      <c r="A197" s="1279"/>
      <c r="B197" s="1279"/>
      <c r="C197" s="1279"/>
      <c r="D197" s="1279"/>
      <c r="E197" s="1279"/>
      <c r="F197" s="1279"/>
      <c r="G197" s="1279"/>
      <c r="H197" s="1279"/>
      <c r="I197" s="1279"/>
      <c r="J197" s="1279"/>
      <c r="K197" s="1503"/>
      <c r="L197" s="1312"/>
      <c r="M197" s="1312"/>
      <c r="N197" s="1312"/>
      <c r="O197" s="1312"/>
      <c r="P197" s="1307"/>
      <c r="Q197" s="1504"/>
      <c r="R197" s="1505"/>
      <c r="S197" s="1312"/>
      <c r="T197" s="1312"/>
      <c r="U197" s="1503"/>
      <c r="V197" s="1503"/>
      <c r="W197" s="1506"/>
      <c r="X197" s="1506"/>
      <c r="Y197" s="1506"/>
      <c r="Z197" s="1513"/>
      <c r="AA197" s="1508"/>
      <c r="AB197" s="1279"/>
      <c r="AC197" s="1279"/>
      <c r="AD197" s="1279"/>
      <c r="AE197" s="1279"/>
      <c r="AF197" s="1279"/>
      <c r="AG197" s="1279"/>
      <c r="AH197" s="1279"/>
      <c r="AI197" s="1279"/>
      <c r="AJ197" s="1279"/>
      <c r="AK197" s="1279"/>
      <c r="AL197" s="1279"/>
      <c r="AM197" s="1279"/>
      <c r="AN197" s="1279"/>
      <c r="AO197" s="1279"/>
      <c r="AP197" s="1279"/>
      <c r="AQ197" s="1279"/>
      <c r="AR197" s="1307"/>
      <c r="AS197" s="1307"/>
      <c r="AT197" s="1279"/>
      <c r="AU197" s="1279"/>
      <c r="AV197" s="1307"/>
      <c r="AW197" s="1307"/>
      <c r="AX197" s="1307"/>
      <c r="AY197" s="1307"/>
      <c r="AZ197" s="1307"/>
      <c r="BA197" s="1307"/>
      <c r="BB197" s="1307"/>
      <c r="BC197" s="1509"/>
      <c r="BD197" s="1307"/>
      <c r="BE197" s="1307"/>
      <c r="BH197" s="1511"/>
      <c r="BI197" s="1511"/>
      <c r="BJ197" s="1512"/>
    </row>
    <row r="198" spans="1:62" s="1510" customFormat="1" x14ac:dyDescent="0.2">
      <c r="A198" s="1279"/>
      <c r="B198" s="1279"/>
      <c r="C198" s="1279"/>
      <c r="D198" s="1279"/>
      <c r="E198" s="1279"/>
      <c r="F198" s="1279"/>
      <c r="G198" s="1279"/>
      <c r="H198" s="1279"/>
      <c r="I198" s="1279"/>
      <c r="J198" s="1279"/>
      <c r="K198" s="1503"/>
      <c r="L198" s="1312"/>
      <c r="M198" s="1312"/>
      <c r="N198" s="1312"/>
      <c r="O198" s="1312"/>
      <c r="P198" s="1307"/>
      <c r="Q198" s="1504"/>
      <c r="R198" s="1505"/>
      <c r="S198" s="1312"/>
      <c r="T198" s="1312"/>
      <c r="U198" s="1503"/>
      <c r="V198" s="1503"/>
      <c r="W198" s="1506"/>
      <c r="X198" s="1506"/>
      <c r="Y198" s="1506"/>
      <c r="Z198" s="1513"/>
      <c r="AA198" s="1508"/>
      <c r="AB198" s="1279"/>
      <c r="AC198" s="1279"/>
      <c r="AD198" s="1279"/>
      <c r="AE198" s="1279"/>
      <c r="AF198" s="1279"/>
      <c r="AG198" s="1279"/>
      <c r="AH198" s="1279"/>
      <c r="AI198" s="1279"/>
      <c r="AJ198" s="1279"/>
      <c r="AK198" s="1279"/>
      <c r="AL198" s="1279"/>
      <c r="AM198" s="1279"/>
      <c r="AN198" s="1279"/>
      <c r="AO198" s="1279"/>
      <c r="AP198" s="1279"/>
      <c r="AQ198" s="1279"/>
      <c r="AR198" s="1307"/>
      <c r="AS198" s="1307"/>
      <c r="AT198" s="1279"/>
      <c r="AU198" s="1279"/>
      <c r="AV198" s="1307"/>
      <c r="AW198" s="1307"/>
      <c r="AX198" s="1307"/>
      <c r="AY198" s="1307"/>
      <c r="AZ198" s="1307"/>
      <c r="BA198" s="1307"/>
      <c r="BB198" s="1307"/>
      <c r="BC198" s="1509"/>
      <c r="BD198" s="1307"/>
      <c r="BE198" s="1307"/>
      <c r="BH198" s="1511"/>
      <c r="BI198" s="1511"/>
      <c r="BJ198" s="1512"/>
    </row>
    <row r="199" spans="1:62" s="1510" customFormat="1" x14ac:dyDescent="0.2">
      <c r="A199" s="1279"/>
      <c r="B199" s="1279"/>
      <c r="C199" s="1279"/>
      <c r="D199" s="1279"/>
      <c r="E199" s="1279"/>
      <c r="F199" s="1279"/>
      <c r="G199" s="1279"/>
      <c r="H199" s="1279"/>
      <c r="I199" s="1279"/>
      <c r="J199" s="1279"/>
      <c r="K199" s="1503"/>
      <c r="L199" s="1312"/>
      <c r="M199" s="1312"/>
      <c r="N199" s="1312"/>
      <c r="O199" s="1312"/>
      <c r="P199" s="1307"/>
      <c r="Q199" s="1504"/>
      <c r="R199" s="1505"/>
      <c r="S199" s="1312"/>
      <c r="T199" s="1312"/>
      <c r="U199" s="1503"/>
      <c r="V199" s="1503"/>
      <c r="W199" s="1506"/>
      <c r="X199" s="1506"/>
      <c r="Y199" s="1506"/>
      <c r="Z199" s="1513"/>
      <c r="AA199" s="1508"/>
      <c r="AB199" s="1279"/>
      <c r="AC199" s="1279"/>
      <c r="AD199" s="1279"/>
      <c r="AE199" s="1279"/>
      <c r="AF199" s="1279"/>
      <c r="AG199" s="1279"/>
      <c r="AH199" s="1279"/>
      <c r="AI199" s="1279"/>
      <c r="AJ199" s="1279"/>
      <c r="AK199" s="1279"/>
      <c r="AL199" s="1279"/>
      <c r="AM199" s="1279"/>
      <c r="AN199" s="1279"/>
      <c r="AO199" s="1279"/>
      <c r="AP199" s="1279"/>
      <c r="AQ199" s="1279"/>
      <c r="AR199" s="1307"/>
      <c r="AS199" s="1307"/>
      <c r="AT199" s="1279"/>
      <c r="AU199" s="1279"/>
      <c r="AV199" s="1307"/>
      <c r="AW199" s="1307"/>
      <c r="AX199" s="1307"/>
      <c r="AY199" s="1307"/>
      <c r="AZ199" s="1307"/>
      <c r="BA199" s="1307"/>
      <c r="BB199" s="1307"/>
      <c r="BC199" s="1509"/>
      <c r="BD199" s="1307"/>
      <c r="BE199" s="1307"/>
      <c r="BH199" s="1511"/>
      <c r="BI199" s="1511"/>
      <c r="BJ199" s="1512"/>
    </row>
    <row r="200" spans="1:62" s="1510" customFormat="1" x14ac:dyDescent="0.2">
      <c r="A200" s="1279"/>
      <c r="B200" s="1279"/>
      <c r="C200" s="1279"/>
      <c r="D200" s="1279"/>
      <c r="E200" s="1279"/>
      <c r="F200" s="1279"/>
      <c r="G200" s="1279"/>
      <c r="H200" s="1279"/>
      <c r="I200" s="1279"/>
      <c r="J200" s="1279"/>
      <c r="K200" s="1503"/>
      <c r="L200" s="1312"/>
      <c r="M200" s="1312"/>
      <c r="N200" s="1312"/>
      <c r="O200" s="1312"/>
      <c r="P200" s="1307"/>
      <c r="Q200" s="1504"/>
      <c r="R200" s="1505"/>
      <c r="S200" s="1312"/>
      <c r="T200" s="1312"/>
      <c r="U200" s="1503"/>
      <c r="V200" s="1503"/>
      <c r="W200" s="1506"/>
      <c r="X200" s="1506"/>
      <c r="Y200" s="1506"/>
      <c r="Z200" s="1513"/>
      <c r="AA200" s="1508"/>
      <c r="AB200" s="1279"/>
      <c r="AC200" s="1279"/>
      <c r="AD200" s="1279"/>
      <c r="AE200" s="1279"/>
      <c r="AF200" s="1279"/>
      <c r="AG200" s="1279"/>
      <c r="AH200" s="1279"/>
      <c r="AI200" s="1279"/>
      <c r="AJ200" s="1279"/>
      <c r="AK200" s="1279"/>
      <c r="AL200" s="1279"/>
      <c r="AM200" s="1279"/>
      <c r="AN200" s="1279"/>
      <c r="AO200" s="1279"/>
      <c r="AP200" s="1279"/>
      <c r="AQ200" s="1279"/>
      <c r="AR200" s="1307"/>
      <c r="AS200" s="1307"/>
      <c r="AT200" s="1279"/>
      <c r="AU200" s="1279"/>
      <c r="AV200" s="1307"/>
      <c r="AW200" s="1307"/>
      <c r="AX200" s="1307"/>
      <c r="AY200" s="1307"/>
      <c r="AZ200" s="1307"/>
      <c r="BA200" s="1307"/>
      <c r="BB200" s="1307"/>
      <c r="BC200" s="1509"/>
      <c r="BD200" s="1307"/>
      <c r="BE200" s="1307"/>
      <c r="BH200" s="1511"/>
      <c r="BI200" s="1511"/>
      <c r="BJ200" s="1512"/>
    </row>
    <row r="201" spans="1:62" s="1510" customFormat="1" x14ac:dyDescent="0.2">
      <c r="A201" s="1279"/>
      <c r="B201" s="1279"/>
      <c r="C201" s="1279"/>
      <c r="D201" s="1279"/>
      <c r="E201" s="1279"/>
      <c r="F201" s="1279"/>
      <c r="G201" s="1279"/>
      <c r="H201" s="1279"/>
      <c r="I201" s="1279"/>
      <c r="J201" s="1279"/>
      <c r="K201" s="1503"/>
      <c r="L201" s="1312"/>
      <c r="M201" s="1312"/>
      <c r="N201" s="1312"/>
      <c r="O201" s="1312"/>
      <c r="P201" s="1307"/>
      <c r="Q201" s="1504"/>
      <c r="R201" s="1505"/>
      <c r="S201" s="1312"/>
      <c r="T201" s="1312"/>
      <c r="U201" s="1503"/>
      <c r="V201" s="1503"/>
      <c r="W201" s="1506"/>
      <c r="X201" s="1506"/>
      <c r="Y201" s="1506"/>
      <c r="Z201" s="1513"/>
      <c r="AA201" s="1508"/>
      <c r="AB201" s="1279"/>
      <c r="AC201" s="1279"/>
      <c r="AD201" s="1279"/>
      <c r="AE201" s="1279"/>
      <c r="AF201" s="1279"/>
      <c r="AG201" s="1279"/>
      <c r="AH201" s="1279"/>
      <c r="AI201" s="1279"/>
      <c r="AJ201" s="1279"/>
      <c r="AK201" s="1279"/>
      <c r="AL201" s="1279"/>
      <c r="AM201" s="1279"/>
      <c r="AN201" s="1279"/>
      <c r="AO201" s="1279"/>
      <c r="AP201" s="1279"/>
      <c r="AQ201" s="1279"/>
      <c r="AR201" s="1307"/>
      <c r="AS201" s="1307"/>
      <c r="AT201" s="1279"/>
      <c r="AU201" s="1279"/>
      <c r="AV201" s="1307"/>
      <c r="AW201" s="1307"/>
      <c r="AX201" s="1307"/>
      <c r="AY201" s="1307"/>
      <c r="AZ201" s="1307"/>
      <c r="BA201" s="1307"/>
      <c r="BB201" s="1307"/>
      <c r="BC201" s="1509"/>
      <c r="BD201" s="1307"/>
      <c r="BE201" s="1307"/>
      <c r="BH201" s="1511"/>
      <c r="BI201" s="1511"/>
      <c r="BJ201" s="1512"/>
    </row>
    <row r="202" spans="1:62" s="1510" customFormat="1" x14ac:dyDescent="0.2">
      <c r="A202" s="1279"/>
      <c r="B202" s="1279"/>
      <c r="C202" s="1279"/>
      <c r="D202" s="1279"/>
      <c r="E202" s="1279"/>
      <c r="F202" s="1279"/>
      <c r="G202" s="1279"/>
      <c r="H202" s="1279"/>
      <c r="I202" s="1279"/>
      <c r="J202" s="1279"/>
      <c r="K202" s="1503"/>
      <c r="L202" s="1312"/>
      <c r="M202" s="1312"/>
      <c r="N202" s="1312"/>
      <c r="O202" s="1312"/>
      <c r="P202" s="1307"/>
      <c r="Q202" s="1504"/>
      <c r="R202" s="1505"/>
      <c r="S202" s="1312"/>
      <c r="T202" s="1312"/>
      <c r="U202" s="1503"/>
      <c r="V202" s="1503"/>
      <c r="W202" s="1506"/>
      <c r="X202" s="1506"/>
      <c r="Y202" s="1506"/>
      <c r="Z202" s="1513"/>
      <c r="AA202" s="1508"/>
      <c r="AB202" s="1279"/>
      <c r="AC202" s="1279"/>
      <c r="AD202" s="1279"/>
      <c r="AE202" s="1279"/>
      <c r="AF202" s="1279"/>
      <c r="AG202" s="1279"/>
      <c r="AH202" s="1279"/>
      <c r="AI202" s="1279"/>
      <c r="AJ202" s="1279"/>
      <c r="AK202" s="1279"/>
      <c r="AL202" s="1279"/>
      <c r="AM202" s="1279"/>
      <c r="AN202" s="1279"/>
      <c r="AO202" s="1279"/>
      <c r="AP202" s="1279"/>
      <c r="AQ202" s="1279"/>
      <c r="AR202" s="1307"/>
      <c r="AS202" s="1307"/>
      <c r="AT202" s="1279"/>
      <c r="AU202" s="1279"/>
      <c r="AV202" s="1307"/>
      <c r="AW202" s="1307"/>
      <c r="AX202" s="1307"/>
      <c r="AY202" s="1307"/>
      <c r="AZ202" s="1307"/>
      <c r="BA202" s="1307"/>
      <c r="BB202" s="1307"/>
      <c r="BC202" s="1509"/>
      <c r="BD202" s="1307"/>
      <c r="BE202" s="1307"/>
      <c r="BH202" s="1511"/>
      <c r="BI202" s="1511"/>
      <c r="BJ202" s="1512"/>
    </row>
    <row r="203" spans="1:62" s="1510" customFormat="1" x14ac:dyDescent="0.2">
      <c r="A203" s="1279"/>
      <c r="B203" s="1279"/>
      <c r="C203" s="1279"/>
      <c r="D203" s="1279"/>
      <c r="E203" s="1279"/>
      <c r="F203" s="1279"/>
      <c r="G203" s="1279"/>
      <c r="H203" s="1279"/>
      <c r="I203" s="1279"/>
      <c r="J203" s="1279"/>
      <c r="K203" s="1503"/>
      <c r="L203" s="1312"/>
      <c r="M203" s="1312"/>
      <c r="N203" s="1312"/>
      <c r="O203" s="1312"/>
      <c r="P203" s="1307"/>
      <c r="Q203" s="1504"/>
      <c r="R203" s="1505"/>
      <c r="S203" s="1312"/>
      <c r="T203" s="1312"/>
      <c r="U203" s="1503"/>
      <c r="V203" s="1503"/>
      <c r="W203" s="1506"/>
      <c r="X203" s="1506"/>
      <c r="Y203" s="1506"/>
      <c r="Z203" s="1513"/>
      <c r="AA203" s="1508"/>
      <c r="AB203" s="1279"/>
      <c r="AC203" s="1279"/>
      <c r="AD203" s="1279"/>
      <c r="AE203" s="1279"/>
      <c r="AF203" s="1279"/>
      <c r="AG203" s="1279"/>
      <c r="AH203" s="1279"/>
      <c r="AI203" s="1279"/>
      <c r="AJ203" s="1279"/>
      <c r="AK203" s="1279"/>
      <c r="AL203" s="1279"/>
      <c r="AM203" s="1279"/>
      <c r="AN203" s="1279"/>
      <c r="AO203" s="1279"/>
      <c r="AP203" s="1279"/>
      <c r="AQ203" s="1279"/>
      <c r="AR203" s="1307"/>
      <c r="AS203" s="1307"/>
      <c r="AT203" s="1279"/>
      <c r="AU203" s="1279"/>
      <c r="AV203" s="1307"/>
      <c r="AW203" s="1307"/>
      <c r="AX203" s="1307"/>
      <c r="AY203" s="1307"/>
      <c r="AZ203" s="1307"/>
      <c r="BA203" s="1307"/>
      <c r="BB203" s="1307"/>
      <c r="BC203" s="1509"/>
      <c r="BD203" s="1307"/>
      <c r="BE203" s="1307"/>
      <c r="BH203" s="1511"/>
      <c r="BI203" s="1511"/>
      <c r="BJ203" s="1512"/>
    </row>
    <row r="204" spans="1:62" s="1510" customFormat="1" x14ac:dyDescent="0.2">
      <c r="A204" s="1279"/>
      <c r="B204" s="1279"/>
      <c r="C204" s="1279"/>
      <c r="D204" s="1279"/>
      <c r="E204" s="1279"/>
      <c r="F204" s="1279"/>
      <c r="G204" s="1279"/>
      <c r="H204" s="1279"/>
      <c r="I204" s="1279"/>
      <c r="J204" s="1279"/>
      <c r="K204" s="1503"/>
      <c r="L204" s="1312"/>
      <c r="M204" s="1312"/>
      <c r="N204" s="1312"/>
      <c r="O204" s="1312"/>
      <c r="P204" s="1307"/>
      <c r="Q204" s="1504"/>
      <c r="R204" s="1505"/>
      <c r="S204" s="1312"/>
      <c r="T204" s="1312"/>
      <c r="U204" s="1503"/>
      <c r="V204" s="1503"/>
      <c r="W204" s="1506"/>
      <c r="X204" s="1506"/>
      <c r="Y204" s="1506"/>
      <c r="Z204" s="1513"/>
      <c r="AA204" s="1508"/>
      <c r="AB204" s="1279"/>
      <c r="AC204" s="1279"/>
      <c r="AD204" s="1279"/>
      <c r="AE204" s="1279"/>
      <c r="AF204" s="1279"/>
      <c r="AG204" s="1279"/>
      <c r="AH204" s="1279"/>
      <c r="AI204" s="1279"/>
      <c r="AJ204" s="1279"/>
      <c r="AK204" s="1279"/>
      <c r="AL204" s="1279"/>
      <c r="AM204" s="1279"/>
      <c r="AN204" s="1279"/>
      <c r="AO204" s="1279"/>
      <c r="AP204" s="1279"/>
      <c r="AQ204" s="1279"/>
      <c r="AR204" s="1307"/>
      <c r="AS204" s="1307"/>
      <c r="AT204" s="1279"/>
      <c r="AU204" s="1279"/>
      <c r="AV204" s="1307"/>
      <c r="AW204" s="1307"/>
      <c r="AX204" s="1307"/>
      <c r="AY204" s="1307"/>
      <c r="AZ204" s="1307"/>
      <c r="BA204" s="1307"/>
      <c r="BB204" s="1307"/>
      <c r="BC204" s="1509"/>
      <c r="BD204" s="1307"/>
      <c r="BE204" s="1307"/>
      <c r="BH204" s="1511"/>
      <c r="BI204" s="1511"/>
      <c r="BJ204" s="1512"/>
    </row>
    <row r="205" spans="1:62" s="1510" customFormat="1" x14ac:dyDescent="0.2">
      <c r="A205" s="1279"/>
      <c r="B205" s="1279"/>
      <c r="C205" s="1279"/>
      <c r="D205" s="1279"/>
      <c r="E205" s="1279"/>
      <c r="F205" s="1279"/>
      <c r="G205" s="1279"/>
      <c r="H205" s="1279"/>
      <c r="I205" s="1279"/>
      <c r="J205" s="1279"/>
      <c r="K205" s="1503"/>
      <c r="L205" s="1312"/>
      <c r="M205" s="1312"/>
      <c r="N205" s="1312"/>
      <c r="O205" s="1312"/>
      <c r="P205" s="1307"/>
      <c r="Q205" s="1504"/>
      <c r="R205" s="1505"/>
      <c r="S205" s="1312"/>
      <c r="T205" s="1312"/>
      <c r="U205" s="1503"/>
      <c r="V205" s="1503"/>
      <c r="W205" s="1506"/>
      <c r="X205" s="1506"/>
      <c r="Y205" s="1506"/>
      <c r="Z205" s="1513"/>
      <c r="AA205" s="1508"/>
      <c r="AB205" s="1279"/>
      <c r="AC205" s="1279"/>
      <c r="AD205" s="1279"/>
      <c r="AE205" s="1279"/>
      <c r="AF205" s="1279"/>
      <c r="AG205" s="1279"/>
      <c r="AH205" s="1279"/>
      <c r="AI205" s="1279"/>
      <c r="AJ205" s="1279"/>
      <c r="AK205" s="1279"/>
      <c r="AL205" s="1279"/>
      <c r="AM205" s="1279"/>
      <c r="AN205" s="1279"/>
      <c r="AO205" s="1279"/>
      <c r="AP205" s="1279"/>
      <c r="AQ205" s="1279"/>
      <c r="AR205" s="1307"/>
      <c r="AS205" s="1307"/>
      <c r="AT205" s="1279"/>
      <c r="AU205" s="1279"/>
      <c r="AV205" s="1307"/>
      <c r="AW205" s="1307"/>
      <c r="AX205" s="1307"/>
      <c r="AY205" s="1307"/>
      <c r="AZ205" s="1307"/>
      <c r="BA205" s="1307"/>
      <c r="BB205" s="1307"/>
      <c r="BC205" s="1509"/>
      <c r="BD205" s="1307"/>
      <c r="BE205" s="1307"/>
      <c r="BH205" s="1511"/>
      <c r="BI205" s="1511"/>
      <c r="BJ205" s="1512"/>
    </row>
    <row r="206" spans="1:62" s="1510" customFormat="1" x14ac:dyDescent="0.2">
      <c r="A206" s="1279"/>
      <c r="B206" s="1279"/>
      <c r="C206" s="1279"/>
      <c r="D206" s="1279"/>
      <c r="E206" s="1279"/>
      <c r="F206" s="1279"/>
      <c r="G206" s="1279"/>
      <c r="H206" s="1279"/>
      <c r="I206" s="1279"/>
      <c r="J206" s="1279"/>
      <c r="K206" s="1503"/>
      <c r="L206" s="1312"/>
      <c r="M206" s="1312"/>
      <c r="N206" s="1312"/>
      <c r="O206" s="1312"/>
      <c r="P206" s="1307"/>
      <c r="Q206" s="1504"/>
      <c r="R206" s="1505"/>
      <c r="S206" s="1312"/>
      <c r="T206" s="1312"/>
      <c r="U206" s="1503"/>
      <c r="V206" s="1503"/>
      <c r="W206" s="1506"/>
      <c r="X206" s="1506"/>
      <c r="Y206" s="1506"/>
      <c r="Z206" s="1513"/>
      <c r="AA206" s="1508"/>
      <c r="AB206" s="1279"/>
      <c r="AC206" s="1279"/>
      <c r="AD206" s="1279"/>
      <c r="AE206" s="1279"/>
      <c r="AF206" s="1279"/>
      <c r="AG206" s="1279"/>
      <c r="AH206" s="1279"/>
      <c r="AI206" s="1279"/>
      <c r="AJ206" s="1279"/>
      <c r="AK206" s="1279"/>
      <c r="AL206" s="1279"/>
      <c r="AM206" s="1279"/>
      <c r="AN206" s="1279"/>
      <c r="AO206" s="1279"/>
      <c r="AP206" s="1279"/>
      <c r="AQ206" s="1279"/>
      <c r="AR206" s="1307"/>
      <c r="AS206" s="1307"/>
      <c r="AT206" s="1279"/>
      <c r="AU206" s="1279"/>
      <c r="AV206" s="1307"/>
      <c r="AW206" s="1307"/>
      <c r="AX206" s="1307"/>
      <c r="AY206" s="1307"/>
      <c r="AZ206" s="1307"/>
      <c r="BA206" s="1307"/>
      <c r="BB206" s="1307"/>
      <c r="BC206" s="1509"/>
      <c r="BD206" s="1307"/>
      <c r="BE206" s="1307"/>
      <c r="BH206" s="1511"/>
      <c r="BI206" s="1511"/>
      <c r="BJ206" s="1512"/>
    </row>
    <row r="207" spans="1:62" s="1510" customFormat="1" x14ac:dyDescent="0.2">
      <c r="A207" s="1279"/>
      <c r="B207" s="1279"/>
      <c r="C207" s="1279"/>
      <c r="D207" s="1279"/>
      <c r="E207" s="1279"/>
      <c r="F207" s="1279"/>
      <c r="G207" s="1279"/>
      <c r="H207" s="1279"/>
      <c r="I207" s="1279"/>
      <c r="J207" s="1279"/>
      <c r="K207" s="1503"/>
      <c r="L207" s="1312"/>
      <c r="M207" s="1312"/>
      <c r="N207" s="1312"/>
      <c r="O207" s="1312"/>
      <c r="P207" s="1307"/>
      <c r="Q207" s="1504"/>
      <c r="R207" s="1505"/>
      <c r="S207" s="1312"/>
      <c r="T207" s="1312"/>
      <c r="U207" s="1503"/>
      <c r="V207" s="1503"/>
      <c r="W207" s="1506"/>
      <c r="X207" s="1506"/>
      <c r="Y207" s="1506"/>
      <c r="Z207" s="1513"/>
      <c r="AA207" s="1508"/>
      <c r="AB207" s="1279"/>
      <c r="AC207" s="1279"/>
      <c r="AD207" s="1279"/>
      <c r="AE207" s="1279"/>
      <c r="AF207" s="1279"/>
      <c r="AG207" s="1279"/>
      <c r="AH207" s="1279"/>
      <c r="AI207" s="1279"/>
      <c r="AJ207" s="1279"/>
      <c r="AK207" s="1279"/>
      <c r="AL207" s="1279"/>
      <c r="AM207" s="1279"/>
      <c r="AN207" s="1279"/>
      <c r="AO207" s="1279"/>
      <c r="AP207" s="1279"/>
      <c r="AQ207" s="1279"/>
      <c r="AR207" s="1307"/>
      <c r="AS207" s="1307"/>
      <c r="AT207" s="1279"/>
      <c r="AU207" s="1279"/>
      <c r="AV207" s="1307"/>
      <c r="AW207" s="1307"/>
      <c r="AX207" s="1307"/>
      <c r="AY207" s="1307"/>
      <c r="AZ207" s="1307"/>
      <c r="BA207" s="1307"/>
      <c r="BB207" s="1307"/>
      <c r="BC207" s="1509"/>
      <c r="BD207" s="1307"/>
      <c r="BE207" s="1307"/>
      <c r="BH207" s="1511"/>
      <c r="BI207" s="1511"/>
      <c r="BJ207" s="1512"/>
    </row>
    <row r="208" spans="1:62" s="1510" customFormat="1" x14ac:dyDescent="0.2">
      <c r="A208" s="1279"/>
      <c r="B208" s="1279"/>
      <c r="C208" s="1279"/>
      <c r="D208" s="1279"/>
      <c r="E208" s="1279"/>
      <c r="F208" s="1279"/>
      <c r="G208" s="1279"/>
      <c r="H208" s="1279"/>
      <c r="I208" s="1279"/>
      <c r="J208" s="1279"/>
      <c r="K208" s="1503"/>
      <c r="L208" s="1312"/>
      <c r="M208" s="1312"/>
      <c r="N208" s="1312"/>
      <c r="O208" s="1312"/>
      <c r="P208" s="1307"/>
      <c r="Q208" s="1504"/>
      <c r="R208" s="1505"/>
      <c r="S208" s="1312"/>
      <c r="T208" s="1312"/>
      <c r="U208" s="1503"/>
      <c r="V208" s="1503"/>
      <c r="W208" s="1506"/>
      <c r="X208" s="1506"/>
      <c r="Y208" s="1506"/>
      <c r="Z208" s="1513"/>
      <c r="AA208" s="1508"/>
      <c r="AB208" s="1279"/>
      <c r="AC208" s="1279"/>
      <c r="AD208" s="1279"/>
      <c r="AE208" s="1279"/>
      <c r="AF208" s="1279"/>
      <c r="AG208" s="1279"/>
      <c r="AH208" s="1279"/>
      <c r="AI208" s="1279"/>
      <c r="AJ208" s="1279"/>
      <c r="AK208" s="1279"/>
      <c r="AL208" s="1279"/>
      <c r="AM208" s="1279"/>
      <c r="AN208" s="1279"/>
      <c r="AO208" s="1279"/>
      <c r="AP208" s="1279"/>
      <c r="AQ208" s="1279"/>
      <c r="AR208" s="1307"/>
      <c r="AS208" s="1307"/>
      <c r="AT208" s="1279"/>
      <c r="AU208" s="1279"/>
      <c r="AV208" s="1307"/>
      <c r="AW208" s="1307"/>
      <c r="AX208" s="1307"/>
      <c r="AY208" s="1307"/>
      <c r="AZ208" s="1307"/>
      <c r="BA208" s="1307"/>
      <c r="BB208" s="1307"/>
      <c r="BC208" s="1509"/>
      <c r="BD208" s="1307"/>
      <c r="BE208" s="1307"/>
      <c r="BH208" s="1511"/>
      <c r="BI208" s="1511"/>
      <c r="BJ208" s="1512"/>
    </row>
    <row r="209" spans="1:62" s="1510" customFormat="1" x14ac:dyDescent="0.2">
      <c r="A209" s="1279"/>
      <c r="B209" s="1279"/>
      <c r="C209" s="1279"/>
      <c r="D209" s="1279"/>
      <c r="E209" s="1279"/>
      <c r="F209" s="1279"/>
      <c r="G209" s="1279"/>
      <c r="H209" s="1279"/>
      <c r="I209" s="1279"/>
      <c r="J209" s="1279"/>
      <c r="K209" s="1503"/>
      <c r="L209" s="1312"/>
      <c r="M209" s="1312"/>
      <c r="N209" s="1312"/>
      <c r="O209" s="1312"/>
      <c r="P209" s="1307"/>
      <c r="Q209" s="1504"/>
      <c r="R209" s="1505"/>
      <c r="S209" s="1312"/>
      <c r="T209" s="1312"/>
      <c r="U209" s="1503"/>
      <c r="V209" s="1503"/>
      <c r="W209" s="1506"/>
      <c r="X209" s="1506"/>
      <c r="Y209" s="1506"/>
      <c r="Z209" s="1513"/>
      <c r="AA209" s="1508"/>
      <c r="AB209" s="1279"/>
      <c r="AC209" s="1279"/>
      <c r="AD209" s="1279"/>
      <c r="AE209" s="1279"/>
      <c r="AF209" s="1279"/>
      <c r="AG209" s="1279"/>
      <c r="AH209" s="1279"/>
      <c r="AI209" s="1279"/>
      <c r="AJ209" s="1279"/>
      <c r="AK209" s="1279"/>
      <c r="AL209" s="1279"/>
      <c r="AM209" s="1279"/>
      <c r="AN209" s="1279"/>
      <c r="AO209" s="1279"/>
      <c r="AP209" s="1279"/>
      <c r="AQ209" s="1279"/>
      <c r="AR209" s="1307"/>
      <c r="AS209" s="1307"/>
      <c r="AT209" s="1279"/>
      <c r="AU209" s="1279"/>
      <c r="AV209" s="1307"/>
      <c r="AW209" s="1307"/>
      <c r="AX209" s="1307"/>
      <c r="AY209" s="1307"/>
      <c r="AZ209" s="1307"/>
      <c r="BA209" s="1307"/>
      <c r="BB209" s="1307"/>
      <c r="BC209" s="1509"/>
      <c r="BD209" s="1307"/>
      <c r="BE209" s="1307"/>
      <c r="BH209" s="1511"/>
      <c r="BI209" s="1511"/>
      <c r="BJ209" s="1512"/>
    </row>
    <row r="210" spans="1:62" s="1510" customFormat="1" x14ac:dyDescent="0.2">
      <c r="A210" s="1279"/>
      <c r="B210" s="1279"/>
      <c r="C210" s="1279"/>
      <c r="D210" s="1279"/>
      <c r="E210" s="1279"/>
      <c r="F210" s="1279"/>
      <c r="G210" s="1279"/>
      <c r="H210" s="1279"/>
      <c r="I210" s="1279"/>
      <c r="J210" s="1279"/>
      <c r="K210" s="1503"/>
      <c r="L210" s="1312"/>
      <c r="M210" s="1312"/>
      <c r="N210" s="1312"/>
      <c r="O210" s="1312"/>
      <c r="P210" s="1307"/>
      <c r="Q210" s="1504"/>
      <c r="R210" s="1505"/>
      <c r="S210" s="1312"/>
      <c r="T210" s="1312"/>
      <c r="U210" s="1503"/>
      <c r="V210" s="1503"/>
      <c r="W210" s="1506"/>
      <c r="X210" s="1506"/>
      <c r="Y210" s="1506"/>
      <c r="Z210" s="1513"/>
      <c r="AA210" s="1508"/>
      <c r="AB210" s="1279"/>
      <c r="AC210" s="1279"/>
      <c r="AD210" s="1279"/>
      <c r="AE210" s="1279"/>
      <c r="AF210" s="1279"/>
      <c r="AG210" s="1279"/>
      <c r="AH210" s="1279"/>
      <c r="AI210" s="1279"/>
      <c r="AJ210" s="1279"/>
      <c r="AK210" s="1279"/>
      <c r="AL210" s="1279"/>
      <c r="AM210" s="1279"/>
      <c r="AN210" s="1279"/>
      <c r="AO210" s="1279"/>
      <c r="AP210" s="1279"/>
      <c r="AQ210" s="1279"/>
      <c r="AR210" s="1307"/>
      <c r="AS210" s="1307"/>
      <c r="AT210" s="1279"/>
      <c r="AU210" s="1279"/>
      <c r="AV210" s="1307"/>
      <c r="AW210" s="1307"/>
      <c r="AX210" s="1307"/>
      <c r="AY210" s="1307"/>
      <c r="AZ210" s="1307"/>
      <c r="BA210" s="1307"/>
      <c r="BB210" s="1307"/>
      <c r="BC210" s="1509"/>
      <c r="BD210" s="1307"/>
      <c r="BE210" s="1307"/>
      <c r="BH210" s="1511"/>
      <c r="BI210" s="1511"/>
      <c r="BJ210" s="1512"/>
    </row>
    <row r="211" spans="1:62" s="1510" customFormat="1" x14ac:dyDescent="0.2">
      <c r="A211" s="1279"/>
      <c r="B211" s="1279"/>
      <c r="C211" s="1279"/>
      <c r="D211" s="1279"/>
      <c r="E211" s="1279"/>
      <c r="F211" s="1279"/>
      <c r="G211" s="1279"/>
      <c r="H211" s="1279"/>
      <c r="I211" s="1279"/>
      <c r="J211" s="1279"/>
      <c r="K211" s="1503"/>
      <c r="L211" s="1312"/>
      <c r="M211" s="1312"/>
      <c r="N211" s="1312"/>
      <c r="O211" s="1312"/>
      <c r="P211" s="1307"/>
      <c r="Q211" s="1504"/>
      <c r="R211" s="1505"/>
      <c r="S211" s="1312"/>
      <c r="T211" s="1312"/>
      <c r="U211" s="1503"/>
      <c r="V211" s="1503"/>
      <c r="W211" s="1506"/>
      <c r="X211" s="1506"/>
      <c r="Y211" s="1506"/>
      <c r="Z211" s="1513"/>
      <c r="AA211" s="1508"/>
      <c r="AB211" s="1279"/>
      <c r="AC211" s="1279"/>
      <c r="AD211" s="1279"/>
      <c r="AE211" s="1279"/>
      <c r="AF211" s="1279"/>
      <c r="AG211" s="1279"/>
      <c r="AH211" s="1279"/>
      <c r="AI211" s="1279"/>
      <c r="AJ211" s="1279"/>
      <c r="AK211" s="1279"/>
      <c r="AL211" s="1279"/>
      <c r="AM211" s="1279"/>
      <c r="AN211" s="1279"/>
      <c r="AO211" s="1279"/>
      <c r="AP211" s="1279"/>
      <c r="AQ211" s="1279"/>
      <c r="AR211" s="1307"/>
      <c r="AS211" s="1307"/>
      <c r="AT211" s="1279"/>
      <c r="AU211" s="1279"/>
      <c r="AV211" s="1307"/>
      <c r="AW211" s="1307"/>
      <c r="AX211" s="1307"/>
      <c r="AY211" s="1307"/>
      <c r="AZ211" s="1307"/>
      <c r="BA211" s="1307"/>
      <c r="BB211" s="1307"/>
      <c r="BC211" s="1509"/>
      <c r="BD211" s="1307"/>
      <c r="BE211" s="1307"/>
      <c r="BH211" s="1511"/>
      <c r="BI211" s="1511"/>
      <c r="BJ211" s="1512"/>
    </row>
    <row r="212" spans="1:62" s="1510" customFormat="1" x14ac:dyDescent="0.2">
      <c r="A212" s="1279"/>
      <c r="B212" s="1279"/>
      <c r="C212" s="1279"/>
      <c r="D212" s="1279"/>
      <c r="E212" s="1279"/>
      <c r="F212" s="1279"/>
      <c r="G212" s="1279"/>
      <c r="H212" s="1279"/>
      <c r="I212" s="1279"/>
      <c r="J212" s="1279"/>
      <c r="K212" s="1503"/>
      <c r="L212" s="1312"/>
      <c r="M212" s="1312"/>
      <c r="N212" s="1312"/>
      <c r="O212" s="1312"/>
      <c r="P212" s="1307"/>
      <c r="Q212" s="1504"/>
      <c r="R212" s="1505"/>
      <c r="S212" s="1312"/>
      <c r="T212" s="1312"/>
      <c r="U212" s="1503"/>
      <c r="V212" s="1503"/>
      <c r="W212" s="1506"/>
      <c r="X212" s="1506"/>
      <c r="Y212" s="1506"/>
      <c r="Z212" s="1513"/>
      <c r="AA212" s="1508"/>
      <c r="AB212" s="1279"/>
      <c r="AC212" s="1279"/>
      <c r="AD212" s="1279"/>
      <c r="AE212" s="1279"/>
      <c r="AF212" s="1279"/>
      <c r="AG212" s="1279"/>
      <c r="AH212" s="1279"/>
      <c r="AI212" s="1279"/>
      <c r="AJ212" s="1279"/>
      <c r="AK212" s="1279"/>
      <c r="AL212" s="1279"/>
      <c r="AM212" s="1279"/>
      <c r="AN212" s="1279"/>
      <c r="AO212" s="1279"/>
      <c r="AP212" s="1279"/>
      <c r="AQ212" s="1279"/>
      <c r="AR212" s="1307"/>
      <c r="AS212" s="1307"/>
      <c r="AT212" s="1279"/>
      <c r="AU212" s="1279"/>
      <c r="AV212" s="1307"/>
      <c r="AW212" s="1307"/>
      <c r="AX212" s="1307"/>
      <c r="AY212" s="1307"/>
      <c r="AZ212" s="1307"/>
      <c r="BA212" s="1307"/>
      <c r="BB212" s="1307"/>
      <c r="BC212" s="1509"/>
      <c r="BD212" s="1307"/>
      <c r="BE212" s="1307"/>
      <c r="BH212" s="1511"/>
      <c r="BI212" s="1511"/>
      <c r="BJ212" s="1512"/>
    </row>
    <row r="213" spans="1:62" s="1510" customFormat="1" x14ac:dyDescent="0.2">
      <c r="A213" s="1279"/>
      <c r="B213" s="1279"/>
      <c r="C213" s="1279"/>
      <c r="D213" s="1279"/>
      <c r="E213" s="1279"/>
      <c r="F213" s="1279"/>
      <c r="G213" s="1279"/>
      <c r="H213" s="1279"/>
      <c r="I213" s="1279"/>
      <c r="J213" s="1279"/>
      <c r="K213" s="1503"/>
      <c r="L213" s="1312"/>
      <c r="M213" s="1312"/>
      <c r="N213" s="1312"/>
      <c r="O213" s="1312"/>
      <c r="P213" s="1307"/>
      <c r="Q213" s="1504"/>
      <c r="R213" s="1505"/>
      <c r="S213" s="1312"/>
      <c r="T213" s="1312"/>
      <c r="U213" s="1503"/>
      <c r="V213" s="1503"/>
      <c r="W213" s="1506"/>
      <c r="X213" s="1506"/>
      <c r="Y213" s="1506"/>
      <c r="Z213" s="1513"/>
      <c r="AA213" s="1508"/>
      <c r="AB213" s="1279"/>
      <c r="AC213" s="1279"/>
      <c r="AD213" s="1279"/>
      <c r="AE213" s="1279"/>
      <c r="AF213" s="1279"/>
      <c r="AG213" s="1279"/>
      <c r="AH213" s="1279"/>
      <c r="AI213" s="1279"/>
      <c r="AJ213" s="1279"/>
      <c r="AK213" s="1279"/>
      <c r="AL213" s="1279"/>
      <c r="AM213" s="1279"/>
      <c r="AN213" s="1279"/>
      <c r="AO213" s="1279"/>
      <c r="AP213" s="1279"/>
      <c r="AQ213" s="1279"/>
      <c r="AR213" s="1307"/>
      <c r="AS213" s="1307"/>
      <c r="AT213" s="1279"/>
      <c r="AU213" s="1279"/>
      <c r="AV213" s="1307"/>
      <c r="AW213" s="1307"/>
      <c r="AX213" s="1307"/>
      <c r="AY213" s="1307"/>
      <c r="AZ213" s="1307"/>
      <c r="BA213" s="1307"/>
      <c r="BB213" s="1307"/>
      <c r="BC213" s="1509"/>
      <c r="BD213" s="1307"/>
      <c r="BE213" s="1307"/>
      <c r="BH213" s="1511"/>
      <c r="BI213" s="1511"/>
      <c r="BJ213" s="1512"/>
    </row>
    <row r="214" spans="1:62" s="1510" customFormat="1" x14ac:dyDescent="0.2">
      <c r="A214" s="1279"/>
      <c r="B214" s="1279"/>
      <c r="C214" s="1279"/>
      <c r="D214" s="1279"/>
      <c r="E214" s="1279"/>
      <c r="F214" s="1279"/>
      <c r="G214" s="1279"/>
      <c r="H214" s="1279"/>
      <c r="I214" s="1279"/>
      <c r="J214" s="1279"/>
      <c r="K214" s="1503"/>
      <c r="L214" s="1312"/>
      <c r="M214" s="1312"/>
      <c r="N214" s="1312"/>
      <c r="O214" s="1312"/>
      <c r="P214" s="1307"/>
      <c r="Q214" s="1504"/>
      <c r="R214" s="1505"/>
      <c r="S214" s="1312"/>
      <c r="T214" s="1312"/>
      <c r="U214" s="1503"/>
      <c r="V214" s="1503"/>
      <c r="W214" s="1506"/>
      <c r="X214" s="1506"/>
      <c r="Y214" s="1506"/>
      <c r="Z214" s="1513"/>
      <c r="AA214" s="1508"/>
      <c r="AB214" s="1279"/>
      <c r="AC214" s="1279"/>
      <c r="AD214" s="1279"/>
      <c r="AE214" s="1279"/>
      <c r="AF214" s="1279"/>
      <c r="AG214" s="1279"/>
      <c r="AH214" s="1279"/>
      <c r="AI214" s="1279"/>
      <c r="AJ214" s="1279"/>
      <c r="AK214" s="1279"/>
      <c r="AL214" s="1279"/>
      <c r="AM214" s="1279"/>
      <c r="AN214" s="1279"/>
      <c r="AO214" s="1279"/>
      <c r="AP214" s="1279"/>
      <c r="AQ214" s="1279"/>
      <c r="AR214" s="1307"/>
      <c r="AS214" s="1307"/>
      <c r="AT214" s="1279"/>
      <c r="AU214" s="1279"/>
      <c r="AV214" s="1307"/>
      <c r="AW214" s="1307"/>
      <c r="AX214" s="1307"/>
      <c r="AY214" s="1307"/>
      <c r="AZ214" s="1307"/>
      <c r="BA214" s="1307"/>
      <c r="BB214" s="1307"/>
      <c r="BC214" s="1509"/>
      <c r="BD214" s="1307"/>
      <c r="BE214" s="1307"/>
      <c r="BH214" s="1511"/>
      <c r="BI214" s="1511"/>
      <c r="BJ214" s="1512"/>
    </row>
    <row r="215" spans="1:62" s="1510" customFormat="1" x14ac:dyDescent="0.2">
      <c r="A215" s="1279"/>
      <c r="B215" s="1279"/>
      <c r="C215" s="1279"/>
      <c r="D215" s="1279"/>
      <c r="E215" s="1279"/>
      <c r="F215" s="1279"/>
      <c r="G215" s="1279"/>
      <c r="H215" s="1279"/>
      <c r="I215" s="1279"/>
      <c r="J215" s="1279"/>
      <c r="K215" s="1503"/>
      <c r="L215" s="1312"/>
      <c r="M215" s="1312"/>
      <c r="N215" s="1312"/>
      <c r="O215" s="1312"/>
      <c r="P215" s="1307"/>
      <c r="Q215" s="1504"/>
      <c r="R215" s="1505"/>
      <c r="S215" s="1312"/>
      <c r="T215" s="1312"/>
      <c r="U215" s="1503"/>
      <c r="V215" s="1503"/>
      <c r="W215" s="1506"/>
      <c r="X215" s="1506"/>
      <c r="Y215" s="1506"/>
      <c r="Z215" s="1513"/>
      <c r="AA215" s="1508"/>
      <c r="AB215" s="1279"/>
      <c r="AC215" s="1279"/>
      <c r="AD215" s="1279"/>
      <c r="AE215" s="1279"/>
      <c r="AF215" s="1279"/>
      <c r="AG215" s="1279"/>
      <c r="AH215" s="1279"/>
      <c r="AI215" s="1279"/>
      <c r="AJ215" s="1279"/>
      <c r="AK215" s="1279"/>
      <c r="AL215" s="1279"/>
      <c r="AM215" s="1279"/>
      <c r="AN215" s="1279"/>
      <c r="AO215" s="1279"/>
      <c r="AP215" s="1279"/>
      <c r="AQ215" s="1279"/>
      <c r="AR215" s="1307"/>
      <c r="AS215" s="1307"/>
      <c r="AT215" s="1279"/>
      <c r="AU215" s="1279"/>
      <c r="AV215" s="1307"/>
      <c r="AW215" s="1307"/>
      <c r="AX215" s="1307"/>
      <c r="AY215" s="1307"/>
      <c r="AZ215" s="1307"/>
      <c r="BA215" s="1307"/>
      <c r="BB215" s="1307"/>
      <c r="BC215" s="1509"/>
      <c r="BD215" s="1307"/>
      <c r="BE215" s="1307"/>
      <c r="BH215" s="1511"/>
      <c r="BI215" s="1511"/>
      <c r="BJ215" s="1512"/>
    </row>
  </sheetData>
  <sheetProtection password="CBEB" sheet="1" objects="1" scenarios="1"/>
  <mergeCells count="686">
    <mergeCell ref="BB152:BB156"/>
    <mergeCell ref="BC152:BC156"/>
    <mergeCell ref="BD152:BD156"/>
    <mergeCell ref="BE152:BE156"/>
    <mergeCell ref="BJ152:BJ156"/>
    <mergeCell ref="AN152:AN156"/>
    <mergeCell ref="AP152:AP156"/>
    <mergeCell ref="AT152:AT156"/>
    <mergeCell ref="AX152:AX156"/>
    <mergeCell ref="AZ152:AZ156"/>
    <mergeCell ref="BA152:BA156"/>
    <mergeCell ref="AJ152:AJ156"/>
    <mergeCell ref="AK152:AK156"/>
    <mergeCell ref="AL152:AL156"/>
    <mergeCell ref="R152:R156"/>
    <mergeCell ref="S152:S156"/>
    <mergeCell ref="T152:T156"/>
    <mergeCell ref="U152:U156"/>
    <mergeCell ref="Z152:Z156"/>
    <mergeCell ref="AB152:AB156"/>
    <mergeCell ref="BD144:BD148"/>
    <mergeCell ref="BE144:BE148"/>
    <mergeCell ref="BJ144:BJ148"/>
    <mergeCell ref="AZ144:AZ148"/>
    <mergeCell ref="BA144:BA148"/>
    <mergeCell ref="BB144:BB148"/>
    <mergeCell ref="BC144:BC148"/>
    <mergeCell ref="R144:R148"/>
    <mergeCell ref="S144:S148"/>
    <mergeCell ref="T144:T148"/>
    <mergeCell ref="AT144:AT148"/>
    <mergeCell ref="AX144:AX148"/>
    <mergeCell ref="AH144:AH148"/>
    <mergeCell ref="AJ144:AJ148"/>
    <mergeCell ref="AK144:AK148"/>
    <mergeCell ref="AL144:AL148"/>
    <mergeCell ref="AN144:AN148"/>
    <mergeCell ref="AP144:AP148"/>
    <mergeCell ref="U144:U148"/>
    <mergeCell ref="Z144:Z148"/>
    <mergeCell ref="AA144:AA148"/>
    <mergeCell ref="AB144:AB148"/>
    <mergeCell ref="AD144:AD148"/>
    <mergeCell ref="AF144:AF148"/>
    <mergeCell ref="AF128:AF142"/>
    <mergeCell ref="AG128:AG142"/>
    <mergeCell ref="AH128:AH142"/>
    <mergeCell ref="AI128:AI142"/>
    <mergeCell ref="AJ128:AJ142"/>
    <mergeCell ref="A150:C156"/>
    <mergeCell ref="D152:D156"/>
    <mergeCell ref="E152:F156"/>
    <mergeCell ref="G152:G156"/>
    <mergeCell ref="H152:I156"/>
    <mergeCell ref="J152:J156"/>
    <mergeCell ref="K152:K156"/>
    <mergeCell ref="O144:O148"/>
    <mergeCell ref="P144:P148"/>
    <mergeCell ref="Q144:Q148"/>
    <mergeCell ref="L152:L156"/>
    <mergeCell ref="M152:M156"/>
    <mergeCell ref="N152:N156"/>
    <mergeCell ref="O152:O156"/>
    <mergeCell ref="P152:P156"/>
    <mergeCell ref="Q152:Q156"/>
    <mergeCell ref="AD152:AD156"/>
    <mergeCell ref="AF152:AF156"/>
    <mergeCell ref="AH152:AH156"/>
    <mergeCell ref="BA140:BA142"/>
    <mergeCell ref="AK128:AK142"/>
    <mergeCell ref="AL128:AL142"/>
    <mergeCell ref="AM128:AM142"/>
    <mergeCell ref="AN128:AN142"/>
    <mergeCell ref="BB140:BB142"/>
    <mergeCell ref="BC140:BC142"/>
    <mergeCell ref="D144:D148"/>
    <mergeCell ref="G144:G148"/>
    <mergeCell ref="H144:I148"/>
    <mergeCell ref="J144:J148"/>
    <mergeCell ref="K144:K148"/>
    <mergeCell ref="L144:L148"/>
    <mergeCell ref="M144:M148"/>
    <mergeCell ref="N144:N148"/>
    <mergeCell ref="J140:J142"/>
    <mergeCell ref="K140:K142"/>
    <mergeCell ref="L140:L142"/>
    <mergeCell ref="M140:M142"/>
    <mergeCell ref="N140:N142"/>
    <mergeCell ref="R140:R142"/>
    <mergeCell ref="AP128:AP142"/>
    <mergeCell ref="AT128:AT142"/>
    <mergeCell ref="AE128:AE142"/>
    <mergeCell ref="O122:O125"/>
    <mergeCell ref="P122:P125"/>
    <mergeCell ref="Q122:Q125"/>
    <mergeCell ref="R122:R124"/>
    <mergeCell ref="S122:S124"/>
    <mergeCell ref="BJ128:BJ142"/>
    <mergeCell ref="J133:J139"/>
    <mergeCell ref="K133:K139"/>
    <mergeCell ref="L133:L139"/>
    <mergeCell ref="M133:M139"/>
    <mergeCell ref="N133:N139"/>
    <mergeCell ref="R133:R139"/>
    <mergeCell ref="S133:S139"/>
    <mergeCell ref="AZ133:AZ139"/>
    <mergeCell ref="BA133:BA139"/>
    <mergeCell ref="AX128:AX142"/>
    <mergeCell ref="AZ128:AZ132"/>
    <mergeCell ref="BA128:BA132"/>
    <mergeCell ref="BB128:BB132"/>
    <mergeCell ref="BC128:BC132"/>
    <mergeCell ref="BE128:BE142"/>
    <mergeCell ref="BB133:BB139"/>
    <mergeCell ref="BC133:BC139"/>
    <mergeCell ref="AZ140:AZ142"/>
    <mergeCell ref="S128:S132"/>
    <mergeCell ref="T128:T142"/>
    <mergeCell ref="U128:U142"/>
    <mergeCell ref="AB128:AB142"/>
    <mergeCell ref="AC128:AC142"/>
    <mergeCell ref="AD128:AD142"/>
    <mergeCell ref="S140:S142"/>
    <mergeCell ref="M128:M132"/>
    <mergeCell ref="N128:N132"/>
    <mergeCell ref="O128:O142"/>
    <mergeCell ref="P128:P142"/>
    <mergeCell ref="Q128:Q142"/>
    <mergeCell ref="R128:R132"/>
    <mergeCell ref="BD122:BD125"/>
    <mergeCell ref="BE122:BE125"/>
    <mergeCell ref="BJ122:BJ125"/>
    <mergeCell ref="D127:D142"/>
    <mergeCell ref="E127:F142"/>
    <mergeCell ref="G128:G142"/>
    <mergeCell ref="H128:I142"/>
    <mergeCell ref="J128:J132"/>
    <mergeCell ref="K128:K132"/>
    <mergeCell ref="L128:L132"/>
    <mergeCell ref="AT122:AT125"/>
    <mergeCell ref="AX122:AX125"/>
    <mergeCell ref="AZ122:AZ124"/>
    <mergeCell ref="BA122:BA124"/>
    <mergeCell ref="BB122:BB124"/>
    <mergeCell ref="BC122:BC124"/>
    <mergeCell ref="AJ122:AJ125"/>
    <mergeCell ref="AK122:AK125"/>
    <mergeCell ref="AL122:AL125"/>
    <mergeCell ref="AM122:AM125"/>
    <mergeCell ref="AN122:AN125"/>
    <mergeCell ref="AP122:AP125"/>
    <mergeCell ref="AD122:AD125"/>
    <mergeCell ref="N122:N124"/>
    <mergeCell ref="BA114:BA120"/>
    <mergeCell ref="BB114:BB120"/>
    <mergeCell ref="P101:P120"/>
    <mergeCell ref="Q101:Q120"/>
    <mergeCell ref="R101:R102"/>
    <mergeCell ref="S101:S102"/>
    <mergeCell ref="T101:T120"/>
    <mergeCell ref="S106:S111"/>
    <mergeCell ref="BB106:BB111"/>
    <mergeCell ref="AG122:AG125"/>
    <mergeCell ref="AH122:AH125"/>
    <mergeCell ref="AI122:AI125"/>
    <mergeCell ref="T122:T125"/>
    <mergeCell ref="U122:U125"/>
    <mergeCell ref="Z122:Z125"/>
    <mergeCell ref="AA122:AA125"/>
    <mergeCell ref="AB122:AB125"/>
    <mergeCell ref="AZ114:AZ120"/>
    <mergeCell ref="AE122:AE125"/>
    <mergeCell ref="AC122:AC125"/>
    <mergeCell ref="G122:G125"/>
    <mergeCell ref="H122:I125"/>
    <mergeCell ref="J122:J124"/>
    <mergeCell ref="K122:K124"/>
    <mergeCell ref="L122:L124"/>
    <mergeCell ref="M122:M124"/>
    <mergeCell ref="BA112:BA113"/>
    <mergeCell ref="BB112:BB113"/>
    <mergeCell ref="BC112:BC113"/>
    <mergeCell ref="J114:J120"/>
    <mergeCell ref="K114:K120"/>
    <mergeCell ref="L114:L120"/>
    <mergeCell ref="M114:M120"/>
    <mergeCell ref="N114:N120"/>
    <mergeCell ref="R114:R120"/>
    <mergeCell ref="S114:S120"/>
    <mergeCell ref="U101:U120"/>
    <mergeCell ref="Z101:Z120"/>
    <mergeCell ref="AA101:AA120"/>
    <mergeCell ref="AB101:AB120"/>
    <mergeCell ref="AC101:AC120"/>
    <mergeCell ref="AD101:AD120"/>
    <mergeCell ref="O101:O120"/>
    <mergeCell ref="AF122:AF125"/>
    <mergeCell ref="BC106:BC111"/>
    <mergeCell ref="J112:J113"/>
    <mergeCell ref="K112:K113"/>
    <mergeCell ref="L112:L113"/>
    <mergeCell ref="M112:M113"/>
    <mergeCell ref="N112:N113"/>
    <mergeCell ref="R112:R113"/>
    <mergeCell ref="S112:S113"/>
    <mergeCell ref="AZ112:AZ113"/>
    <mergeCell ref="J106:J111"/>
    <mergeCell ref="K106:K111"/>
    <mergeCell ref="L106:L111"/>
    <mergeCell ref="M106:M111"/>
    <mergeCell ref="N106:N111"/>
    <mergeCell ref="R106:R111"/>
    <mergeCell ref="AP101:AP120"/>
    <mergeCell ref="AT101:AT120"/>
    <mergeCell ref="AE101:AE120"/>
    <mergeCell ref="AF101:AF120"/>
    <mergeCell ref="AG101:AG120"/>
    <mergeCell ref="AH101:AH120"/>
    <mergeCell ref="AI101:AI120"/>
    <mergeCell ref="AJ101:AJ120"/>
    <mergeCell ref="BC114:BC120"/>
    <mergeCell ref="BJ101:BJ120"/>
    <mergeCell ref="J103:J105"/>
    <mergeCell ref="K103:K105"/>
    <mergeCell ref="L103:L105"/>
    <mergeCell ref="M103:M105"/>
    <mergeCell ref="N103:N105"/>
    <mergeCell ref="R103:R105"/>
    <mergeCell ref="S103:S105"/>
    <mergeCell ref="AZ103:AZ105"/>
    <mergeCell ref="BA103:BA105"/>
    <mergeCell ref="AZ101:AZ102"/>
    <mergeCell ref="BA101:BA102"/>
    <mergeCell ref="BB101:BB102"/>
    <mergeCell ref="BC101:BC102"/>
    <mergeCell ref="BD101:BD120"/>
    <mergeCell ref="BE101:BE120"/>
    <mergeCell ref="BB103:BB105"/>
    <mergeCell ref="BC103:BC105"/>
    <mergeCell ref="AZ106:AZ111"/>
    <mergeCell ref="BA106:BA111"/>
    <mergeCell ref="AK101:AK120"/>
    <mergeCell ref="AL101:AL120"/>
    <mergeCell ref="AM101:AM120"/>
    <mergeCell ref="AN101:AN120"/>
    <mergeCell ref="BC94:BC98"/>
    <mergeCell ref="D101:D125"/>
    <mergeCell ref="E101:F125"/>
    <mergeCell ref="G101:G120"/>
    <mergeCell ref="H101:I120"/>
    <mergeCell ref="J101:J102"/>
    <mergeCell ref="K101:K102"/>
    <mergeCell ref="L101:L102"/>
    <mergeCell ref="M101:M102"/>
    <mergeCell ref="N101:N102"/>
    <mergeCell ref="AN92:AN98"/>
    <mergeCell ref="AC92:AC98"/>
    <mergeCell ref="AD92:AD98"/>
    <mergeCell ref="AE92:AE98"/>
    <mergeCell ref="AF92:AF98"/>
    <mergeCell ref="AG92:AG98"/>
    <mergeCell ref="AH92:AH98"/>
    <mergeCell ref="S92:S93"/>
    <mergeCell ref="T92:T98"/>
    <mergeCell ref="U92:U98"/>
    <mergeCell ref="Z92:Z98"/>
    <mergeCell ref="AA92:AA98"/>
    <mergeCell ref="AB92:AB98"/>
    <mergeCell ref="M92:M93"/>
    <mergeCell ref="BC92:BC93"/>
    <mergeCell ref="BD92:BD98"/>
    <mergeCell ref="BE92:BE98"/>
    <mergeCell ref="J94:J98"/>
    <mergeCell ref="K94:K98"/>
    <mergeCell ref="L94:L98"/>
    <mergeCell ref="M94:M98"/>
    <mergeCell ref="N94:N98"/>
    <mergeCell ref="R94:R98"/>
    <mergeCell ref="S94:S98"/>
    <mergeCell ref="AP92:AP98"/>
    <mergeCell ref="AT92:AT98"/>
    <mergeCell ref="AX92:AX98"/>
    <mergeCell ref="AZ92:AZ93"/>
    <mergeCell ref="BA92:BA93"/>
    <mergeCell ref="BB92:BB93"/>
    <mergeCell ref="AZ94:AZ98"/>
    <mergeCell ref="BA94:BA98"/>
    <mergeCell ref="BB94:BB98"/>
    <mergeCell ref="AI92:AI98"/>
    <mergeCell ref="AJ92:AJ98"/>
    <mergeCell ref="AK92:AK98"/>
    <mergeCell ref="AL92:AL98"/>
    <mergeCell ref="AM92:AM98"/>
    <mergeCell ref="N92:N93"/>
    <mergeCell ref="O92:O98"/>
    <mergeCell ref="P92:P98"/>
    <mergeCell ref="Q92:Q98"/>
    <mergeCell ref="R92:R93"/>
    <mergeCell ref="AZ85:AZ90"/>
    <mergeCell ref="BA85:BA90"/>
    <mergeCell ref="BB85:BB90"/>
    <mergeCell ref="BC85:BC90"/>
    <mergeCell ref="AF79:AF90"/>
    <mergeCell ref="AG79:AG90"/>
    <mergeCell ref="AH79:AH90"/>
    <mergeCell ref="AI79:AI90"/>
    <mergeCell ref="AJ79:AJ90"/>
    <mergeCell ref="AK79:AK90"/>
    <mergeCell ref="Z79:Z90"/>
    <mergeCell ref="AA79:AA90"/>
    <mergeCell ref="AB79:AB90"/>
    <mergeCell ref="AC79:AC90"/>
    <mergeCell ref="AD79:AD90"/>
    <mergeCell ref="AE79:AE90"/>
    <mergeCell ref="P79:P90"/>
    <mergeCell ref="Q79:Q90"/>
    <mergeCell ref="R79:R80"/>
    <mergeCell ref="BJ91:BJ98"/>
    <mergeCell ref="G92:G98"/>
    <mergeCell ref="H92:I98"/>
    <mergeCell ref="J92:J93"/>
    <mergeCell ref="K92:K93"/>
    <mergeCell ref="L92:L93"/>
    <mergeCell ref="J85:J90"/>
    <mergeCell ref="K85:K90"/>
    <mergeCell ref="L85:L90"/>
    <mergeCell ref="M85:M90"/>
    <mergeCell ref="N85:N90"/>
    <mergeCell ref="R85:R90"/>
    <mergeCell ref="BD79:BD90"/>
    <mergeCell ref="BE79:BE90"/>
    <mergeCell ref="BJ79:BJ90"/>
    <mergeCell ref="J81:J84"/>
    <mergeCell ref="K81:K84"/>
    <mergeCell ref="L81:L84"/>
    <mergeCell ref="M81:M84"/>
    <mergeCell ref="N81:N84"/>
    <mergeCell ref="R81:R84"/>
    <mergeCell ref="S81:S84"/>
    <mergeCell ref="AV79:AV90"/>
    <mergeCell ref="AX79:AX90"/>
    <mergeCell ref="AZ79:AZ80"/>
    <mergeCell ref="BA79:BA80"/>
    <mergeCell ref="BB79:BB80"/>
    <mergeCell ref="BC79:BC80"/>
    <mergeCell ref="AZ81:AZ84"/>
    <mergeCell ref="BA81:BA84"/>
    <mergeCell ref="BB81:BB84"/>
    <mergeCell ref="BC81:BC84"/>
    <mergeCell ref="AL79:AL90"/>
    <mergeCell ref="AN79:AN90"/>
    <mergeCell ref="AO79:AO90"/>
    <mergeCell ref="AP79:AP90"/>
    <mergeCell ref="AQ79:AQ90"/>
    <mergeCell ref="AT79:AT90"/>
    <mergeCell ref="S79:S80"/>
    <mergeCell ref="T79:T90"/>
    <mergeCell ref="U79:U90"/>
    <mergeCell ref="S85:S90"/>
    <mergeCell ref="BB73:BB77"/>
    <mergeCell ref="BC73:BC77"/>
    <mergeCell ref="G79:G90"/>
    <mergeCell ref="H79:I90"/>
    <mergeCell ref="J79:J80"/>
    <mergeCell ref="K79:K80"/>
    <mergeCell ref="L79:L80"/>
    <mergeCell ref="M79:M80"/>
    <mergeCell ref="N79:N80"/>
    <mergeCell ref="O79:O90"/>
    <mergeCell ref="AE58:AE77"/>
    <mergeCell ref="AF58:AF77"/>
    <mergeCell ref="AG58:AG77"/>
    <mergeCell ref="AH58:AH77"/>
    <mergeCell ref="AI58:AI77"/>
    <mergeCell ref="R58:R64"/>
    <mergeCell ref="S58:S64"/>
    <mergeCell ref="T58:T77"/>
    <mergeCell ref="U58:U77"/>
    <mergeCell ref="AB58:AB77"/>
    <mergeCell ref="N71:N72"/>
    <mergeCell ref="R71:R72"/>
    <mergeCell ref="S71:S72"/>
    <mergeCell ref="AZ71:AZ72"/>
    <mergeCell ref="BA71:BA72"/>
    <mergeCell ref="BA73:BA77"/>
    <mergeCell ref="AJ58:AJ77"/>
    <mergeCell ref="AK58:AK77"/>
    <mergeCell ref="AL58:AL77"/>
    <mergeCell ref="AM58:AM77"/>
    <mergeCell ref="AN58:AN77"/>
    <mergeCell ref="AO58:AO77"/>
    <mergeCell ref="AD58:AD77"/>
    <mergeCell ref="J67:J70"/>
    <mergeCell ref="K67:K70"/>
    <mergeCell ref="L67:L70"/>
    <mergeCell ref="M67:M70"/>
    <mergeCell ref="N67:N70"/>
    <mergeCell ref="R67:R70"/>
    <mergeCell ref="S67:S70"/>
    <mergeCell ref="AZ67:AZ70"/>
    <mergeCell ref="BA67:BA70"/>
    <mergeCell ref="AP58:AP77"/>
    <mergeCell ref="AQ58:AQ77"/>
    <mergeCell ref="AT58:AT77"/>
    <mergeCell ref="AU58:AU77"/>
    <mergeCell ref="AZ58:AZ64"/>
    <mergeCell ref="BA58:BA64"/>
    <mergeCell ref="AZ65:AZ66"/>
    <mergeCell ref="BA65:BA66"/>
    <mergeCell ref="J73:J77"/>
    <mergeCell ref="K73:K77"/>
    <mergeCell ref="L73:L77"/>
    <mergeCell ref="M73:M77"/>
    <mergeCell ref="N73:N77"/>
    <mergeCell ref="R73:R77"/>
    <mergeCell ref="S73:S77"/>
    <mergeCell ref="M65:M66"/>
    <mergeCell ref="N65:N66"/>
    <mergeCell ref="L71:L72"/>
    <mergeCell ref="BB58:BB64"/>
    <mergeCell ref="BC58:BC64"/>
    <mergeCell ref="BD58:BD77"/>
    <mergeCell ref="BE58:BE77"/>
    <mergeCell ref="BJ58:BJ78"/>
    <mergeCell ref="BF63:BF64"/>
    <mergeCell ref="BG63:BG64"/>
    <mergeCell ref="BH63:BH64"/>
    <mergeCell ref="BI63:BI64"/>
    <mergeCell ref="BB65:BB66"/>
    <mergeCell ref="BB67:BB70"/>
    <mergeCell ref="BC67:BC70"/>
    <mergeCell ref="BF69:BF70"/>
    <mergeCell ref="BG69:BG70"/>
    <mergeCell ref="BH69:BH70"/>
    <mergeCell ref="BI69:BI70"/>
    <mergeCell ref="BC65:BC66"/>
    <mergeCell ref="BB71:BB72"/>
    <mergeCell ref="BC71:BC72"/>
    <mergeCell ref="AZ73:AZ77"/>
    <mergeCell ref="M71:M72"/>
    <mergeCell ref="AZ51:AZ54"/>
    <mergeCell ref="AG43:AG55"/>
    <mergeCell ref="AH43:AH55"/>
    <mergeCell ref="AI43:AI55"/>
    <mergeCell ref="D58:D98"/>
    <mergeCell ref="E58:F98"/>
    <mergeCell ref="G58:G77"/>
    <mergeCell ref="H58:I77"/>
    <mergeCell ref="J58:J64"/>
    <mergeCell ref="K58:K64"/>
    <mergeCell ref="J65:J66"/>
    <mergeCell ref="K65:K66"/>
    <mergeCell ref="J71:J72"/>
    <mergeCell ref="K71:K72"/>
    <mergeCell ref="AC58:AC77"/>
    <mergeCell ref="R65:R66"/>
    <mergeCell ref="S65:S66"/>
    <mergeCell ref="L58:L64"/>
    <mergeCell ref="M58:M64"/>
    <mergeCell ref="N58:N64"/>
    <mergeCell ref="O58:O77"/>
    <mergeCell ref="P58:P77"/>
    <mergeCell ref="Q58:Q77"/>
    <mergeCell ref="L65:L66"/>
    <mergeCell ref="AL43:AL55"/>
    <mergeCell ref="AM43:AM55"/>
    <mergeCell ref="AN43:AN55"/>
    <mergeCell ref="AP43:AP55"/>
    <mergeCell ref="AT43:AT55"/>
    <mergeCell ref="AE43:AE55"/>
    <mergeCell ref="AF43:AF55"/>
    <mergeCell ref="BI51:BI52"/>
    <mergeCell ref="V53:V54"/>
    <mergeCell ref="W53:W54"/>
    <mergeCell ref="X53:X54"/>
    <mergeCell ref="Y53:Y54"/>
    <mergeCell ref="BF53:BF54"/>
    <mergeCell ref="BG53:BG54"/>
    <mergeCell ref="BH53:BH54"/>
    <mergeCell ref="BI53:BI54"/>
    <mergeCell ref="BA51:BA54"/>
    <mergeCell ref="BB51:BB54"/>
    <mergeCell ref="BC51:BC54"/>
    <mergeCell ref="BF51:BF52"/>
    <mergeCell ref="BG51:BG52"/>
    <mergeCell ref="BH51:BH52"/>
    <mergeCell ref="V51:V52"/>
    <mergeCell ref="W51:W52"/>
    <mergeCell ref="J51:J54"/>
    <mergeCell ref="K51:K54"/>
    <mergeCell ref="L51:L54"/>
    <mergeCell ref="M51:M54"/>
    <mergeCell ref="N51:N54"/>
    <mergeCell ref="R51:R54"/>
    <mergeCell ref="J45:J50"/>
    <mergeCell ref="K45:K50"/>
    <mergeCell ref="L45:L50"/>
    <mergeCell ref="M45:M50"/>
    <mergeCell ref="N45:N50"/>
    <mergeCell ref="O45:O50"/>
    <mergeCell ref="R43:R44"/>
    <mergeCell ref="S43:S44"/>
    <mergeCell ref="T43:T55"/>
    <mergeCell ref="R45:R50"/>
    <mergeCell ref="S45:S50"/>
    <mergeCell ref="S51:S54"/>
    <mergeCell ref="AJ43:AJ55"/>
    <mergeCell ref="U43:U55"/>
    <mergeCell ref="Z43:Z47"/>
    <mergeCell ref="AA43:AA44"/>
    <mergeCell ref="AB43:AB55"/>
    <mergeCell ref="AC43:AC55"/>
    <mergeCell ref="AD43:AD55"/>
    <mergeCell ref="V45:V46"/>
    <mergeCell ref="W45:W46"/>
    <mergeCell ref="X45:X46"/>
    <mergeCell ref="Y45:Y46"/>
    <mergeCell ref="X51:X52"/>
    <mergeCell ref="Y51:Y52"/>
    <mergeCell ref="Z51:Z55"/>
    <mergeCell ref="G43:G55"/>
    <mergeCell ref="H43:I55"/>
    <mergeCell ref="J43:J44"/>
    <mergeCell ref="K43:K44"/>
    <mergeCell ref="L43:L44"/>
    <mergeCell ref="M43:M44"/>
    <mergeCell ref="N43:N44"/>
    <mergeCell ref="BJ15:BJ41"/>
    <mergeCell ref="BB15:BB16"/>
    <mergeCell ref="BC15:BC16"/>
    <mergeCell ref="BF15:BF16"/>
    <mergeCell ref="BG15:BG16"/>
    <mergeCell ref="BH15:BH16"/>
    <mergeCell ref="BI15:BI16"/>
    <mergeCell ref="BA15:BA16"/>
    <mergeCell ref="AB15:AB41"/>
    <mergeCell ref="AC15:AC41"/>
    <mergeCell ref="AD15:AD41"/>
    <mergeCell ref="AE15:AE41"/>
    <mergeCell ref="AF15:AF41"/>
    <mergeCell ref="AG15:AG41"/>
    <mergeCell ref="O43:O44"/>
    <mergeCell ref="P43:P55"/>
    <mergeCell ref="Q43:Q55"/>
    <mergeCell ref="AH15:AH41"/>
    <mergeCell ref="AI15:AI41"/>
    <mergeCell ref="AJ15:AJ41"/>
    <mergeCell ref="AK15:AK41"/>
    <mergeCell ref="AL15:AL41"/>
    <mergeCell ref="AM15:AM41"/>
    <mergeCell ref="BB37:BB41"/>
    <mergeCell ref="BC37:BC41"/>
    <mergeCell ref="BJ42:BJ55"/>
    <mergeCell ref="AZ43:AZ44"/>
    <mergeCell ref="BA43:BA44"/>
    <mergeCell ref="BB43:BB44"/>
    <mergeCell ref="BC43:BC44"/>
    <mergeCell ref="BD43:BD55"/>
    <mergeCell ref="BE43:BE55"/>
    <mergeCell ref="AZ45:AZ50"/>
    <mergeCell ref="BA45:BA50"/>
    <mergeCell ref="BB45:BB50"/>
    <mergeCell ref="BC45:BC50"/>
    <mergeCell ref="BF45:BF46"/>
    <mergeCell ref="BG45:BG46"/>
    <mergeCell ref="BH45:BH46"/>
    <mergeCell ref="BI45:BI46"/>
    <mergeCell ref="AK43:AK55"/>
    <mergeCell ref="BA18:BA21"/>
    <mergeCell ref="AV15:AV41"/>
    <mergeCell ref="AW15:AW41"/>
    <mergeCell ref="AX15:AX41"/>
    <mergeCell ref="AY15:AY41"/>
    <mergeCell ref="AZ15:AZ16"/>
    <mergeCell ref="BB22:BB36"/>
    <mergeCell ref="BC22:BC36"/>
    <mergeCell ref="J37:J41"/>
    <mergeCell ref="K37:K41"/>
    <mergeCell ref="L37:L41"/>
    <mergeCell ref="M37:M41"/>
    <mergeCell ref="N37:N41"/>
    <mergeCell ref="R37:R41"/>
    <mergeCell ref="S37:S41"/>
    <mergeCell ref="AZ37:AZ41"/>
    <mergeCell ref="BA22:BA36"/>
    <mergeCell ref="BA37:BA41"/>
    <mergeCell ref="AN15:AN41"/>
    <mergeCell ref="AP15:AP41"/>
    <mergeCell ref="AQ15:AQ41"/>
    <mergeCell ref="AR15:AR41"/>
    <mergeCell ref="AT15:AT41"/>
    <mergeCell ref="AU15:AU41"/>
    <mergeCell ref="N15:N16"/>
    <mergeCell ref="O15:O41"/>
    <mergeCell ref="P15:P41"/>
    <mergeCell ref="Q15:Q41"/>
    <mergeCell ref="R15:R16"/>
    <mergeCell ref="S15:S16"/>
    <mergeCell ref="BB18:BB21"/>
    <mergeCell ref="BC18:BC21"/>
    <mergeCell ref="J22:J36"/>
    <mergeCell ref="K22:K36"/>
    <mergeCell ref="L22:L36"/>
    <mergeCell ref="M22:M36"/>
    <mergeCell ref="N22:N36"/>
    <mergeCell ref="R22:R36"/>
    <mergeCell ref="S22:S36"/>
    <mergeCell ref="AZ22:AZ36"/>
    <mergeCell ref="J18:J21"/>
    <mergeCell ref="K18:K21"/>
    <mergeCell ref="L18:L21"/>
    <mergeCell ref="M18:M21"/>
    <mergeCell ref="N18:N21"/>
    <mergeCell ref="R18:R21"/>
    <mergeCell ref="S18:S21"/>
    <mergeCell ref="AZ18:AZ21"/>
    <mergeCell ref="D14:F55"/>
    <mergeCell ref="G15:I41"/>
    <mergeCell ref="J15:J16"/>
    <mergeCell ref="K15:K16"/>
    <mergeCell ref="L15:L16"/>
    <mergeCell ref="M15:M16"/>
    <mergeCell ref="BE8:BE11"/>
    <mergeCell ref="M10:M11"/>
    <mergeCell ref="N10:N11"/>
    <mergeCell ref="W10:W11"/>
    <mergeCell ref="X10:X11"/>
    <mergeCell ref="Y10:Y11"/>
    <mergeCell ref="AX8:AY10"/>
    <mergeCell ref="AZ8:AZ11"/>
    <mergeCell ref="BA8:BA11"/>
    <mergeCell ref="BB8:BB11"/>
    <mergeCell ref="BC8:BC11"/>
    <mergeCell ref="BD8:BD11"/>
    <mergeCell ref="T15:T41"/>
    <mergeCell ref="U15:U41"/>
    <mergeCell ref="V15:V16"/>
    <mergeCell ref="W15:W16"/>
    <mergeCell ref="X15:X16"/>
    <mergeCell ref="Y15:Y16"/>
    <mergeCell ref="AZ7:BE7"/>
    <mergeCell ref="AP8:AQ10"/>
    <mergeCell ref="AR8:AS10"/>
    <mergeCell ref="AT8:AU10"/>
    <mergeCell ref="AV8:AW10"/>
    <mergeCell ref="BF10:BF11"/>
    <mergeCell ref="BG10:BG11"/>
    <mergeCell ref="BH10:BH11"/>
    <mergeCell ref="BI10:BI11"/>
    <mergeCell ref="BF7:BG9"/>
    <mergeCell ref="BH7:BI9"/>
    <mergeCell ref="AD8:AE10"/>
    <mergeCell ref="AF8:AG10"/>
    <mergeCell ref="AH8:AI10"/>
    <mergeCell ref="AJ8:AK10"/>
    <mergeCell ref="AL8:AM10"/>
    <mergeCell ref="AN8:AO10"/>
    <mergeCell ref="W7:Y9"/>
    <mergeCell ref="Z7:Z11"/>
    <mergeCell ref="AA7:AA11"/>
    <mergeCell ref="AB7:AM7"/>
    <mergeCell ref="AN7:AY7"/>
    <mergeCell ref="A1:BH4"/>
    <mergeCell ref="A5:M6"/>
    <mergeCell ref="O5:BJ5"/>
    <mergeCell ref="AB6:BJ6"/>
    <mergeCell ref="A7:A11"/>
    <mergeCell ref="B7:C11"/>
    <mergeCell ref="D7:D11"/>
    <mergeCell ref="E7:F11"/>
    <mergeCell ref="G7:G11"/>
    <mergeCell ref="H7:I11"/>
    <mergeCell ref="Q7:Q11"/>
    <mergeCell ref="R7:R11"/>
    <mergeCell ref="S7:S11"/>
    <mergeCell ref="T7:T11"/>
    <mergeCell ref="U7:U11"/>
    <mergeCell ref="V7:V11"/>
    <mergeCell ref="J7:J11"/>
    <mergeCell ref="K7:K11"/>
    <mergeCell ref="L7:L11"/>
    <mergeCell ref="M7:N9"/>
    <mergeCell ref="O7:O11"/>
    <mergeCell ref="P7:P11"/>
    <mergeCell ref="BJ7:BJ11"/>
    <mergeCell ref="AB8:AC10"/>
  </mergeCells>
  <pageMargins left="0.7" right="0.7" top="0.75" bottom="0.75" header="0.3" footer="0.3"/>
  <pageSetup paperSize="190" scale="68" orientation="landscape" verticalDpi="0" r:id="rId1"/>
  <rowBreaks count="5" manualBreakCount="5">
    <brk id="21" max="33" man="1"/>
    <brk id="57" max="16383" man="1"/>
    <brk id="78" max="16383" man="1"/>
    <brk id="100" max="16383" man="1"/>
    <brk id="123" max="38"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H55"/>
  <sheetViews>
    <sheetView showGridLines="0" zoomScale="60" zoomScaleNormal="60" workbookViewId="0">
      <selection sqref="A1:BF2"/>
    </sheetView>
  </sheetViews>
  <sheetFormatPr baseColWidth="10" defaultColWidth="11.42578125" defaultRowHeight="14.25" x14ac:dyDescent="0.2"/>
  <cols>
    <col min="1" max="1" width="11" style="744" customWidth="1"/>
    <col min="2" max="2" width="16.85546875" style="38" customWidth="1"/>
    <col min="3" max="3" width="11.5703125" style="746" bestFit="1" customWidth="1"/>
    <col min="4" max="4" width="17.140625" style="38" customWidth="1"/>
    <col min="5" max="5" width="11.42578125" style="38" hidden="1" customWidth="1"/>
    <col min="6" max="6" width="10.5703125" style="38" customWidth="1"/>
    <col min="7" max="7" width="21.140625" style="38" customWidth="1"/>
    <col min="8" max="8" width="14.42578125" style="38" customWidth="1"/>
    <col min="9" max="9" width="19" style="38" customWidth="1"/>
    <col min="10" max="10" width="14.85546875" style="38" customWidth="1"/>
    <col min="11" max="12" width="12.5703125" style="38" customWidth="1"/>
    <col min="13" max="13" width="21.42578125" style="38" customWidth="1"/>
    <col min="14" max="14" width="11.7109375" style="38" customWidth="1"/>
    <col min="15" max="15" width="21.5703125" style="38" customWidth="1"/>
    <col min="16" max="16" width="11.5703125" style="38" bestFit="1" customWidth="1"/>
    <col min="17" max="17" width="25.7109375" style="38" customWidth="1"/>
    <col min="18" max="18" width="26.85546875" style="38" customWidth="1"/>
    <col min="19" max="19" width="27.42578125" style="38" customWidth="1"/>
    <col min="20" max="20" width="25" style="38" customWidth="1"/>
    <col min="21" max="21" width="21.28515625" style="155" customWidth="1"/>
    <col min="22" max="23" width="24.42578125" style="746" customWidth="1"/>
    <col min="24" max="24" width="15.5703125" style="38" customWidth="1"/>
    <col min="25" max="25" width="16.140625" style="38" customWidth="1"/>
    <col min="26" max="26" width="8" style="746" customWidth="1"/>
    <col min="27" max="27" width="8.140625" style="38" customWidth="1"/>
    <col min="28" max="28" width="8.140625" style="746" customWidth="1"/>
    <col min="29" max="29" width="9.42578125" style="746" customWidth="1"/>
    <col min="30" max="30" width="7.85546875" style="746" customWidth="1"/>
    <col min="31" max="31" width="7" style="747" customWidth="1"/>
    <col min="32" max="32" width="9.85546875" style="746" customWidth="1"/>
    <col min="33" max="33" width="7" style="747" customWidth="1"/>
    <col min="34" max="34" width="9.7109375" style="746" customWidth="1"/>
    <col min="35" max="35" width="6.7109375" style="746" customWidth="1"/>
    <col min="36" max="36" width="8" style="38" customWidth="1"/>
    <col min="37" max="37" width="6.85546875" style="38" customWidth="1"/>
    <col min="38" max="38" width="6.7109375" style="38" customWidth="1"/>
    <col min="39" max="39" width="6.85546875" style="38" customWidth="1"/>
    <col min="40" max="40" width="7.28515625" style="38" customWidth="1"/>
    <col min="41" max="41" width="6.85546875" style="38" customWidth="1"/>
    <col min="42" max="42" width="6.42578125" style="38" customWidth="1"/>
    <col min="43" max="43" width="6.85546875" style="38" customWidth="1"/>
    <col min="44" max="44" width="7.140625" style="38" customWidth="1"/>
    <col min="45" max="45" width="7" style="38" customWidth="1"/>
    <col min="46" max="46" width="6.85546875" style="38" customWidth="1"/>
    <col min="47" max="47" width="7.42578125" style="38" customWidth="1"/>
    <col min="48" max="48" width="6.85546875" style="38" customWidth="1"/>
    <col min="49" max="49" width="6.7109375" style="38" customWidth="1"/>
    <col min="50" max="50" width="12.7109375" style="38" customWidth="1"/>
    <col min="51" max="51" width="23.42578125" style="38" customWidth="1"/>
    <col min="52" max="52" width="18.42578125" style="38" customWidth="1"/>
    <col min="53" max="53" width="16.7109375" style="38" customWidth="1"/>
    <col min="54" max="54" width="15" style="38" customWidth="1"/>
    <col min="55" max="55" width="20.42578125" style="38" customWidth="1"/>
    <col min="56" max="56" width="11" style="744" customWidth="1"/>
    <col min="57" max="57" width="12.140625" style="744" customWidth="1"/>
    <col min="58" max="58" width="13" style="744" customWidth="1"/>
    <col min="59" max="59" width="13.85546875" style="744" customWidth="1"/>
    <col min="60" max="60" width="20.85546875" style="38" customWidth="1"/>
    <col min="61" max="16384" width="11.42578125" style="38"/>
  </cols>
  <sheetData>
    <row r="1" spans="1:60" ht="15" customHeight="1" x14ac:dyDescent="0.25">
      <c r="A1" s="2471" t="s">
        <v>137</v>
      </c>
      <c r="B1" s="2471"/>
      <c r="C1" s="2471"/>
      <c r="D1" s="2471"/>
      <c r="E1" s="2471"/>
      <c r="F1" s="2471"/>
      <c r="G1" s="2471"/>
      <c r="H1" s="2471"/>
      <c r="I1" s="2471"/>
      <c r="J1" s="2471"/>
      <c r="K1" s="2471"/>
      <c r="L1" s="2471"/>
      <c r="M1" s="2471"/>
      <c r="N1" s="2471"/>
      <c r="O1" s="2471"/>
      <c r="P1" s="2471"/>
      <c r="Q1" s="2471"/>
      <c r="R1" s="2471"/>
      <c r="S1" s="2471"/>
      <c r="T1" s="2471"/>
      <c r="U1" s="2471"/>
      <c r="V1" s="2471"/>
      <c r="W1" s="2471"/>
      <c r="X1" s="2471"/>
      <c r="Y1" s="2471"/>
      <c r="Z1" s="2471"/>
      <c r="AA1" s="2471"/>
      <c r="AB1" s="2471"/>
      <c r="AC1" s="2471"/>
      <c r="AD1" s="2471"/>
      <c r="AE1" s="2471"/>
      <c r="AF1" s="2471"/>
      <c r="AG1" s="2471"/>
      <c r="AH1" s="2471"/>
      <c r="AI1" s="2471"/>
      <c r="AJ1" s="2471"/>
      <c r="AK1" s="2471"/>
      <c r="AL1" s="2471"/>
      <c r="AM1" s="2471"/>
      <c r="AN1" s="2471"/>
      <c r="AO1" s="2471"/>
      <c r="AP1" s="2471"/>
      <c r="AQ1" s="2471"/>
      <c r="AR1" s="2471"/>
      <c r="AS1" s="2471"/>
      <c r="AT1" s="2471"/>
      <c r="AU1" s="2471"/>
      <c r="AV1" s="2471"/>
      <c r="AW1" s="2471"/>
      <c r="AX1" s="2471"/>
      <c r="AY1" s="2471"/>
      <c r="AZ1" s="2471"/>
      <c r="BA1" s="2471"/>
      <c r="BB1" s="2471"/>
      <c r="BC1" s="2471"/>
      <c r="BD1" s="2471"/>
      <c r="BE1" s="2471"/>
      <c r="BF1" s="2472"/>
      <c r="BG1" s="305" t="s">
        <v>0</v>
      </c>
      <c r="BH1" s="305" t="s">
        <v>1</v>
      </c>
    </row>
    <row r="2" spans="1:60" ht="15" x14ac:dyDescent="0.25">
      <c r="A2" s="2471"/>
      <c r="B2" s="2471"/>
      <c r="C2" s="2471"/>
      <c r="D2" s="2471"/>
      <c r="E2" s="2471"/>
      <c r="F2" s="2471"/>
      <c r="G2" s="2471"/>
      <c r="H2" s="2471"/>
      <c r="I2" s="2471"/>
      <c r="J2" s="2471"/>
      <c r="K2" s="2471"/>
      <c r="L2" s="2471"/>
      <c r="M2" s="2471"/>
      <c r="N2" s="2471"/>
      <c r="O2" s="2471"/>
      <c r="P2" s="2471"/>
      <c r="Q2" s="2471"/>
      <c r="R2" s="2471"/>
      <c r="S2" s="2471"/>
      <c r="T2" s="2471"/>
      <c r="U2" s="2471"/>
      <c r="V2" s="2471"/>
      <c r="W2" s="2471"/>
      <c r="X2" s="2471"/>
      <c r="Y2" s="2471"/>
      <c r="Z2" s="2471"/>
      <c r="AA2" s="2471"/>
      <c r="AB2" s="2471"/>
      <c r="AC2" s="2471"/>
      <c r="AD2" s="2471"/>
      <c r="AE2" s="2471"/>
      <c r="AF2" s="2471"/>
      <c r="AG2" s="2471"/>
      <c r="AH2" s="2471"/>
      <c r="AI2" s="2471"/>
      <c r="AJ2" s="2471"/>
      <c r="AK2" s="2471"/>
      <c r="AL2" s="2471"/>
      <c r="AM2" s="2471"/>
      <c r="AN2" s="2471"/>
      <c r="AO2" s="2471"/>
      <c r="AP2" s="2471"/>
      <c r="AQ2" s="2471"/>
      <c r="AR2" s="2471"/>
      <c r="AS2" s="2471"/>
      <c r="AT2" s="2471"/>
      <c r="AU2" s="2471"/>
      <c r="AV2" s="2471"/>
      <c r="AW2" s="2471"/>
      <c r="AX2" s="2471"/>
      <c r="AY2" s="2471"/>
      <c r="AZ2" s="2471"/>
      <c r="BA2" s="2471"/>
      <c r="BB2" s="2471"/>
      <c r="BC2" s="2471"/>
      <c r="BD2" s="2471"/>
      <c r="BE2" s="2471"/>
      <c r="BF2" s="2472"/>
      <c r="BG2" s="649" t="s">
        <v>2</v>
      </c>
      <c r="BH2" s="306">
        <v>5</v>
      </c>
    </row>
    <row r="3" spans="1:60" ht="15" x14ac:dyDescent="0.25">
      <c r="A3" s="2471" t="s">
        <v>138</v>
      </c>
      <c r="B3" s="2471"/>
      <c r="C3" s="2471"/>
      <c r="D3" s="2471"/>
      <c r="E3" s="2471"/>
      <c r="F3" s="2471"/>
      <c r="G3" s="2471"/>
      <c r="H3" s="2471"/>
      <c r="I3" s="2471"/>
      <c r="J3" s="2471"/>
      <c r="K3" s="2471"/>
      <c r="L3" s="2471"/>
      <c r="M3" s="2471"/>
      <c r="N3" s="2471"/>
      <c r="O3" s="2471"/>
      <c r="P3" s="2471"/>
      <c r="Q3" s="2471"/>
      <c r="R3" s="2471"/>
      <c r="S3" s="2471"/>
      <c r="T3" s="2471"/>
      <c r="U3" s="2471"/>
      <c r="V3" s="2471"/>
      <c r="W3" s="2471"/>
      <c r="X3" s="2471"/>
      <c r="Y3" s="2471"/>
      <c r="Z3" s="2471"/>
      <c r="AA3" s="2471"/>
      <c r="AB3" s="2471"/>
      <c r="AC3" s="2471"/>
      <c r="AD3" s="2471"/>
      <c r="AE3" s="2471"/>
      <c r="AF3" s="2471"/>
      <c r="AG3" s="2471"/>
      <c r="AH3" s="2471"/>
      <c r="AI3" s="2471"/>
      <c r="AJ3" s="2471"/>
      <c r="AK3" s="2471"/>
      <c r="AL3" s="2471"/>
      <c r="AM3" s="2471"/>
      <c r="AN3" s="2471"/>
      <c r="AO3" s="2471"/>
      <c r="AP3" s="2471"/>
      <c r="AQ3" s="2471"/>
      <c r="AR3" s="2471"/>
      <c r="AS3" s="2471"/>
      <c r="AT3" s="2471"/>
      <c r="AU3" s="2471"/>
      <c r="AV3" s="2471"/>
      <c r="AW3" s="2471"/>
      <c r="AX3" s="2471"/>
      <c r="AY3" s="2471"/>
      <c r="AZ3" s="2471"/>
      <c r="BA3" s="2471"/>
      <c r="BB3" s="2471"/>
      <c r="BC3" s="2471"/>
      <c r="BD3" s="2471"/>
      <c r="BE3" s="2471"/>
      <c r="BF3" s="2472"/>
      <c r="BG3" s="305" t="s">
        <v>3</v>
      </c>
      <c r="BH3" s="307" t="s">
        <v>4</v>
      </c>
    </row>
    <row r="4" spans="1:60" s="40" customFormat="1" ht="11.25" customHeight="1" x14ac:dyDescent="0.2">
      <c r="A4" s="2474" t="s">
        <v>139</v>
      </c>
      <c r="B4" s="2474"/>
      <c r="C4" s="2474"/>
      <c r="D4" s="2474"/>
      <c r="E4" s="2474"/>
      <c r="F4" s="2474"/>
      <c r="G4" s="2474"/>
      <c r="H4" s="2474"/>
      <c r="I4" s="2474"/>
      <c r="J4" s="2474"/>
      <c r="K4" s="2474"/>
      <c r="L4" s="2474"/>
      <c r="M4" s="2474"/>
      <c r="N4" s="2474"/>
      <c r="O4" s="2474"/>
      <c r="P4" s="2474"/>
      <c r="Q4" s="2474"/>
      <c r="R4" s="2474"/>
      <c r="S4" s="2474"/>
      <c r="T4" s="2474"/>
      <c r="U4" s="2474"/>
      <c r="V4" s="2474"/>
      <c r="W4" s="2474"/>
      <c r="X4" s="2474"/>
      <c r="Y4" s="2474"/>
      <c r="Z4" s="2474"/>
      <c r="AA4" s="2474"/>
      <c r="AB4" s="2474"/>
      <c r="AC4" s="2474"/>
      <c r="AD4" s="2474"/>
      <c r="AE4" s="2474"/>
      <c r="AF4" s="2474"/>
      <c r="AG4" s="2474"/>
      <c r="AH4" s="2474"/>
      <c r="AI4" s="2474"/>
      <c r="AJ4" s="2474"/>
      <c r="AK4" s="2474"/>
      <c r="AL4" s="2474"/>
      <c r="AM4" s="2474"/>
      <c r="AN4" s="2474"/>
      <c r="AO4" s="2474"/>
      <c r="AP4" s="2474"/>
      <c r="AQ4" s="2474"/>
      <c r="AR4" s="2474"/>
      <c r="AS4" s="2474"/>
      <c r="AT4" s="2474"/>
      <c r="AU4" s="2474"/>
      <c r="AV4" s="2474"/>
      <c r="AW4" s="2474"/>
      <c r="AX4" s="2474"/>
      <c r="AY4" s="2474"/>
      <c r="AZ4" s="2474"/>
      <c r="BA4" s="2474"/>
      <c r="BB4" s="2474"/>
      <c r="BC4" s="2474"/>
      <c r="BD4" s="2474"/>
      <c r="BE4" s="2474"/>
      <c r="BF4" s="2475"/>
      <c r="BG4" s="652" t="s">
        <v>5</v>
      </c>
      <c r="BH4" s="308" t="s">
        <v>6</v>
      </c>
    </row>
    <row r="5" spans="1:60" ht="15" customHeight="1" x14ac:dyDescent="0.2">
      <c r="A5" s="2476" t="s">
        <v>7</v>
      </c>
      <c r="B5" s="2477"/>
      <c r="C5" s="2477"/>
      <c r="D5" s="2477"/>
      <c r="E5" s="2477"/>
      <c r="F5" s="2477"/>
      <c r="G5" s="2477"/>
      <c r="H5" s="2477"/>
      <c r="I5" s="2477"/>
      <c r="J5" s="2477"/>
      <c r="K5" s="2477"/>
      <c r="L5" s="2480"/>
      <c r="M5" s="2476" t="s">
        <v>8</v>
      </c>
      <c r="N5" s="2477"/>
      <c r="O5" s="2477"/>
      <c r="P5" s="2477"/>
      <c r="Q5" s="2477"/>
      <c r="R5" s="2477"/>
      <c r="S5" s="2477"/>
      <c r="T5" s="2477"/>
      <c r="U5" s="2477"/>
      <c r="V5" s="2477"/>
      <c r="W5" s="2477"/>
      <c r="X5" s="2477"/>
      <c r="Y5" s="2480"/>
      <c r="Z5" s="2476" t="s">
        <v>9</v>
      </c>
      <c r="AA5" s="2477"/>
      <c r="AB5" s="2477"/>
      <c r="AC5" s="2477"/>
      <c r="AD5" s="2477"/>
      <c r="AE5" s="2477"/>
      <c r="AF5" s="2477"/>
      <c r="AG5" s="2477"/>
      <c r="AH5" s="2477"/>
      <c r="AI5" s="2477"/>
      <c r="AJ5" s="2477"/>
      <c r="AK5" s="2477"/>
      <c r="AL5" s="2477"/>
      <c r="AM5" s="2477"/>
      <c r="AN5" s="2477"/>
      <c r="AO5" s="2477"/>
      <c r="AP5" s="2477"/>
      <c r="AQ5" s="2477"/>
      <c r="AR5" s="2477"/>
      <c r="AS5" s="2477"/>
      <c r="AT5" s="2477"/>
      <c r="AU5" s="2477"/>
      <c r="AV5" s="2477"/>
      <c r="AW5" s="2480"/>
      <c r="AX5" s="2476"/>
      <c r="AY5" s="2477"/>
      <c r="AZ5" s="2477"/>
      <c r="BA5" s="2477"/>
      <c r="BB5" s="2477"/>
      <c r="BC5" s="2477"/>
      <c r="BD5" s="2477"/>
      <c r="BE5" s="2477"/>
      <c r="BF5" s="2477"/>
      <c r="BG5" s="2477"/>
      <c r="BH5" s="2480"/>
    </row>
    <row r="6" spans="1:60" ht="14.25" customHeight="1" thickBot="1" x14ac:dyDescent="0.25">
      <c r="A6" s="2478"/>
      <c r="B6" s="2479"/>
      <c r="C6" s="2479"/>
      <c r="D6" s="2479"/>
      <c r="E6" s="2479"/>
      <c r="F6" s="2479"/>
      <c r="G6" s="2479"/>
      <c r="H6" s="2479"/>
      <c r="I6" s="2479"/>
      <c r="J6" s="2479"/>
      <c r="K6" s="2479"/>
      <c r="L6" s="2481"/>
      <c r="M6" s="2478"/>
      <c r="N6" s="2479"/>
      <c r="O6" s="2479"/>
      <c r="P6" s="2479"/>
      <c r="Q6" s="2479"/>
      <c r="R6" s="2479"/>
      <c r="S6" s="2479"/>
      <c r="T6" s="2479"/>
      <c r="U6" s="2479"/>
      <c r="V6" s="2479"/>
      <c r="W6" s="2479"/>
      <c r="X6" s="2479"/>
      <c r="Y6" s="2481"/>
      <c r="Z6" s="2478"/>
      <c r="AA6" s="2479"/>
      <c r="AB6" s="2479"/>
      <c r="AC6" s="2479"/>
      <c r="AD6" s="2479"/>
      <c r="AE6" s="2479"/>
      <c r="AF6" s="2479"/>
      <c r="AG6" s="2479"/>
      <c r="AH6" s="2479"/>
      <c r="AI6" s="2479"/>
      <c r="AJ6" s="2479"/>
      <c r="AK6" s="2479"/>
      <c r="AL6" s="2479"/>
      <c r="AM6" s="2479"/>
      <c r="AN6" s="2479"/>
      <c r="AO6" s="2479"/>
      <c r="AP6" s="2479"/>
      <c r="AQ6" s="2479"/>
      <c r="AR6" s="2479"/>
      <c r="AS6" s="2479"/>
      <c r="AT6" s="2479"/>
      <c r="AU6" s="2479"/>
      <c r="AV6" s="2479"/>
      <c r="AW6" s="2481"/>
      <c r="AX6" s="2493"/>
      <c r="AY6" s="2494"/>
      <c r="AZ6" s="2494"/>
      <c r="BA6" s="2494"/>
      <c r="BB6" s="2494"/>
      <c r="BC6" s="2494"/>
      <c r="BD6" s="2494"/>
      <c r="BE6" s="2494"/>
      <c r="BF6" s="2494"/>
      <c r="BG6" s="2494"/>
      <c r="BH6" s="2495"/>
    </row>
    <row r="7" spans="1:60" ht="22.5" customHeight="1" x14ac:dyDescent="0.2">
      <c r="A7" s="2448" t="s">
        <v>10</v>
      </c>
      <c r="B7" s="2448" t="s">
        <v>11</v>
      </c>
      <c r="C7" s="2450" t="s">
        <v>10</v>
      </c>
      <c r="D7" s="2450" t="s">
        <v>12</v>
      </c>
      <c r="E7" s="2450"/>
      <c r="F7" s="2450" t="s">
        <v>10</v>
      </c>
      <c r="G7" s="2450" t="s">
        <v>13</v>
      </c>
      <c r="H7" s="2450" t="s">
        <v>10</v>
      </c>
      <c r="I7" s="2450" t="s">
        <v>14</v>
      </c>
      <c r="J7" s="2450" t="s">
        <v>15</v>
      </c>
      <c r="K7" s="2442" t="s">
        <v>16</v>
      </c>
      <c r="L7" s="2444"/>
      <c r="M7" s="2450" t="s">
        <v>17</v>
      </c>
      <c r="N7" s="2448" t="s">
        <v>18</v>
      </c>
      <c r="O7" s="2450" t="s">
        <v>8</v>
      </c>
      <c r="P7" s="2450" t="s">
        <v>19</v>
      </c>
      <c r="Q7" s="2450" t="s">
        <v>20</v>
      </c>
      <c r="R7" s="2450" t="s">
        <v>21</v>
      </c>
      <c r="S7" s="2450" t="s">
        <v>22</v>
      </c>
      <c r="T7" s="2450" t="s">
        <v>23</v>
      </c>
      <c r="U7" s="2442" t="s">
        <v>20</v>
      </c>
      <c r="V7" s="2443"/>
      <c r="W7" s="2444"/>
      <c r="X7" s="2448" t="s">
        <v>10</v>
      </c>
      <c r="Y7" s="2450" t="s">
        <v>24</v>
      </c>
      <c r="Z7" s="2453" t="s">
        <v>25</v>
      </c>
      <c r="AA7" s="2454"/>
      <c r="AB7" s="2454"/>
      <c r="AC7" s="2454"/>
      <c r="AD7" s="2454"/>
      <c r="AE7" s="2454"/>
      <c r="AF7" s="2454"/>
      <c r="AG7" s="2454"/>
      <c r="AH7" s="2454"/>
      <c r="AI7" s="2454"/>
      <c r="AJ7" s="2454"/>
      <c r="AK7" s="2455"/>
      <c r="AL7" s="2453" t="s">
        <v>26</v>
      </c>
      <c r="AM7" s="2454"/>
      <c r="AN7" s="2454"/>
      <c r="AO7" s="2454"/>
      <c r="AP7" s="2454"/>
      <c r="AQ7" s="2454"/>
      <c r="AR7" s="2454"/>
      <c r="AS7" s="2454"/>
      <c r="AT7" s="2454"/>
      <c r="AU7" s="2454"/>
      <c r="AV7" s="2454"/>
      <c r="AW7" s="2455"/>
      <c r="AX7" s="2458" t="s">
        <v>27</v>
      </c>
      <c r="AY7" s="2459"/>
      <c r="AZ7" s="2459"/>
      <c r="BA7" s="2459"/>
      <c r="BB7" s="2459"/>
      <c r="BC7" s="2460"/>
      <c r="BD7" s="2486" t="s">
        <v>28</v>
      </c>
      <c r="BE7" s="2487"/>
      <c r="BF7" s="2486" t="s">
        <v>29</v>
      </c>
      <c r="BG7" s="2487"/>
      <c r="BH7" s="2490" t="s">
        <v>30</v>
      </c>
    </row>
    <row r="8" spans="1:60" ht="31.5" customHeight="1" x14ac:dyDescent="0.2">
      <c r="A8" s="2449"/>
      <c r="B8" s="2449"/>
      <c r="C8" s="2450"/>
      <c r="D8" s="2450"/>
      <c r="E8" s="2450"/>
      <c r="F8" s="2450"/>
      <c r="G8" s="2450"/>
      <c r="H8" s="2450"/>
      <c r="I8" s="2450"/>
      <c r="J8" s="2450"/>
      <c r="K8" s="2482"/>
      <c r="L8" s="2483"/>
      <c r="M8" s="2450"/>
      <c r="N8" s="2449"/>
      <c r="O8" s="2450"/>
      <c r="P8" s="2450"/>
      <c r="Q8" s="2450"/>
      <c r="R8" s="2450"/>
      <c r="S8" s="2450"/>
      <c r="T8" s="2450"/>
      <c r="U8" s="2445"/>
      <c r="V8" s="2446"/>
      <c r="W8" s="2447"/>
      <c r="X8" s="2449"/>
      <c r="Y8" s="2450"/>
      <c r="Z8" s="2451" t="s">
        <v>31</v>
      </c>
      <c r="AA8" s="2452"/>
      <c r="AB8" s="2451" t="s">
        <v>32</v>
      </c>
      <c r="AC8" s="2452"/>
      <c r="AD8" s="2451" t="s">
        <v>33</v>
      </c>
      <c r="AE8" s="2452"/>
      <c r="AF8" s="2451" t="s">
        <v>34</v>
      </c>
      <c r="AG8" s="2452"/>
      <c r="AH8" s="2451" t="s">
        <v>35</v>
      </c>
      <c r="AI8" s="2452"/>
      <c r="AJ8" s="2451" t="s">
        <v>36</v>
      </c>
      <c r="AK8" s="2452"/>
      <c r="AL8" s="2451" t="s">
        <v>37</v>
      </c>
      <c r="AM8" s="2452"/>
      <c r="AN8" s="2451" t="s">
        <v>38</v>
      </c>
      <c r="AO8" s="2452"/>
      <c r="AP8" s="2451" t="s">
        <v>39</v>
      </c>
      <c r="AQ8" s="2452"/>
      <c r="AR8" s="2451" t="s">
        <v>40</v>
      </c>
      <c r="AS8" s="2452"/>
      <c r="AT8" s="2451" t="s">
        <v>41</v>
      </c>
      <c r="AU8" s="2452"/>
      <c r="AV8" s="2451" t="s">
        <v>42</v>
      </c>
      <c r="AW8" s="2452"/>
      <c r="AX8" s="2463" t="s">
        <v>43</v>
      </c>
      <c r="AY8" s="3166" t="s">
        <v>44</v>
      </c>
      <c r="AZ8" s="2463" t="s">
        <v>45</v>
      </c>
      <c r="BA8" s="2468" t="s">
        <v>46</v>
      </c>
      <c r="BB8" s="2463" t="s">
        <v>47</v>
      </c>
      <c r="BC8" s="2461" t="s">
        <v>48</v>
      </c>
      <c r="BD8" s="2488"/>
      <c r="BE8" s="2489"/>
      <c r="BF8" s="2488"/>
      <c r="BG8" s="2489"/>
      <c r="BH8" s="2490"/>
    </row>
    <row r="9" spans="1:60" ht="15" x14ac:dyDescent="0.25">
      <c r="A9" s="2648"/>
      <c r="B9" s="2648"/>
      <c r="C9" s="2450"/>
      <c r="D9" s="2450"/>
      <c r="E9" s="2450"/>
      <c r="F9" s="2450"/>
      <c r="G9" s="2450"/>
      <c r="H9" s="2450"/>
      <c r="I9" s="2450"/>
      <c r="J9" s="2450"/>
      <c r="K9" s="752" t="s">
        <v>49</v>
      </c>
      <c r="L9" s="752" t="s">
        <v>50</v>
      </c>
      <c r="M9" s="2450"/>
      <c r="N9" s="2648"/>
      <c r="O9" s="2450"/>
      <c r="P9" s="2450"/>
      <c r="Q9" s="2450"/>
      <c r="R9" s="2450"/>
      <c r="S9" s="2450"/>
      <c r="T9" s="2450"/>
      <c r="U9" s="752" t="s">
        <v>51</v>
      </c>
      <c r="V9" s="187" t="s">
        <v>52</v>
      </c>
      <c r="W9" s="187" t="s">
        <v>53</v>
      </c>
      <c r="X9" s="2648"/>
      <c r="Y9" s="2450"/>
      <c r="Z9" s="752" t="s">
        <v>49</v>
      </c>
      <c r="AA9" s="1095" t="s">
        <v>50</v>
      </c>
      <c r="AB9" s="752" t="s">
        <v>49</v>
      </c>
      <c r="AC9" s="1095" t="s">
        <v>50</v>
      </c>
      <c r="AD9" s="752" t="s">
        <v>49</v>
      </c>
      <c r="AE9" s="1096" t="s">
        <v>50</v>
      </c>
      <c r="AF9" s="752" t="s">
        <v>49</v>
      </c>
      <c r="AG9" s="1096" t="s">
        <v>50</v>
      </c>
      <c r="AH9" s="752" t="s">
        <v>49</v>
      </c>
      <c r="AI9" s="1095" t="s">
        <v>50</v>
      </c>
      <c r="AJ9" s="752" t="s">
        <v>49</v>
      </c>
      <c r="AK9" s="1095" t="s">
        <v>50</v>
      </c>
      <c r="AL9" s="752" t="s">
        <v>49</v>
      </c>
      <c r="AM9" s="1095" t="s">
        <v>50</v>
      </c>
      <c r="AN9" s="752" t="s">
        <v>49</v>
      </c>
      <c r="AO9" s="1095" t="s">
        <v>50</v>
      </c>
      <c r="AP9" s="752" t="s">
        <v>49</v>
      </c>
      <c r="AQ9" s="1095" t="s">
        <v>50</v>
      </c>
      <c r="AR9" s="752" t="s">
        <v>49</v>
      </c>
      <c r="AS9" s="1095" t="s">
        <v>50</v>
      </c>
      <c r="AT9" s="752" t="s">
        <v>49</v>
      </c>
      <c r="AU9" s="1095" t="s">
        <v>50</v>
      </c>
      <c r="AV9" s="752" t="s">
        <v>49</v>
      </c>
      <c r="AW9" s="1095" t="s">
        <v>50</v>
      </c>
      <c r="AX9" s="2463"/>
      <c r="AY9" s="3166"/>
      <c r="AZ9" s="2463"/>
      <c r="BA9" s="2468"/>
      <c r="BB9" s="2463"/>
      <c r="BC9" s="2645"/>
      <c r="BD9" s="906" t="s">
        <v>49</v>
      </c>
      <c r="BE9" s="906" t="s">
        <v>50</v>
      </c>
      <c r="BF9" s="906" t="s">
        <v>49</v>
      </c>
      <c r="BG9" s="906" t="s">
        <v>50</v>
      </c>
      <c r="BH9" s="2490"/>
    </row>
    <row r="10" spans="1:60" s="51" customFormat="1" ht="21.75" customHeight="1" x14ac:dyDescent="0.25">
      <c r="A10" s="45">
        <v>3</v>
      </c>
      <c r="B10" s="1097" t="s">
        <v>54</v>
      </c>
      <c r="C10" s="1098"/>
      <c r="D10" s="1099"/>
      <c r="E10" s="1100"/>
      <c r="F10" s="1098"/>
      <c r="G10" s="1098"/>
      <c r="H10" s="1100"/>
      <c r="I10" s="1100"/>
      <c r="J10" s="1100"/>
      <c r="K10" s="1100"/>
      <c r="L10" s="1100"/>
      <c r="M10" s="1100"/>
      <c r="N10" s="1100"/>
      <c r="O10" s="1100"/>
      <c r="P10" s="1100"/>
      <c r="Q10" s="1100"/>
      <c r="R10" s="1100"/>
      <c r="S10" s="1100"/>
      <c r="T10" s="1100"/>
      <c r="U10" s="1100"/>
      <c r="V10" s="1101"/>
      <c r="W10" s="1101"/>
      <c r="X10" s="1100"/>
      <c r="Y10" s="1100"/>
      <c r="Z10" s="1100"/>
      <c r="AA10" s="1100"/>
      <c r="AB10" s="1100"/>
      <c r="AC10" s="1100"/>
      <c r="AD10" s="1100"/>
      <c r="AE10" s="1102"/>
      <c r="AF10" s="1100"/>
      <c r="AG10" s="1102"/>
      <c r="AH10" s="1100"/>
      <c r="AI10" s="1100"/>
      <c r="AJ10" s="1100"/>
      <c r="AK10" s="1100"/>
      <c r="AL10" s="1100"/>
      <c r="AM10" s="1100"/>
      <c r="AN10" s="1100"/>
      <c r="AO10" s="1100"/>
      <c r="AP10" s="1100"/>
      <c r="AQ10" s="1100"/>
      <c r="AR10" s="1100"/>
      <c r="AS10" s="1100"/>
      <c r="AT10" s="1100"/>
      <c r="AU10" s="1100"/>
      <c r="AV10" s="1100"/>
      <c r="AW10" s="1100"/>
      <c r="AX10" s="1100"/>
      <c r="AY10" s="1103"/>
      <c r="AZ10" s="1100"/>
      <c r="BA10" s="1104"/>
      <c r="BB10" s="1100"/>
      <c r="BC10" s="1100"/>
      <c r="BD10" s="1105"/>
      <c r="BE10" s="1105"/>
      <c r="BF10" s="1105"/>
      <c r="BG10" s="1105"/>
      <c r="BH10" s="1106"/>
    </row>
    <row r="11" spans="1:60" s="51" customFormat="1" ht="21.75" customHeight="1" x14ac:dyDescent="0.25">
      <c r="A11" s="1107"/>
      <c r="B11" s="1108"/>
      <c r="C11" s="1109">
        <v>9</v>
      </c>
      <c r="D11" s="1110" t="s">
        <v>123</v>
      </c>
      <c r="E11" s="1111"/>
      <c r="F11" s="1111"/>
      <c r="G11" s="1111"/>
      <c r="H11" s="1111"/>
      <c r="I11" s="1111"/>
      <c r="J11" s="1111"/>
      <c r="K11" s="1111"/>
      <c r="L11" s="1111"/>
      <c r="M11" s="1111"/>
      <c r="N11" s="1111"/>
      <c r="O11" s="1111"/>
      <c r="P11" s="1111"/>
      <c r="Q11" s="1111"/>
      <c r="R11" s="1111"/>
      <c r="S11" s="1111"/>
      <c r="T11" s="1111"/>
      <c r="U11" s="1111"/>
      <c r="V11" s="1112"/>
      <c r="W11" s="1112"/>
      <c r="X11" s="1111"/>
      <c r="Y11" s="1111"/>
      <c r="Z11" s="1111"/>
      <c r="AA11" s="1111"/>
      <c r="AB11" s="1111"/>
      <c r="AC11" s="1111"/>
      <c r="AD11" s="1111"/>
      <c r="AE11" s="1113"/>
      <c r="AF11" s="1111"/>
      <c r="AG11" s="1113"/>
      <c r="AH11" s="1111"/>
      <c r="AI11" s="1111"/>
      <c r="AJ11" s="1111"/>
      <c r="AK11" s="1111"/>
      <c r="AL11" s="1111"/>
      <c r="AM11" s="1111"/>
      <c r="AN11" s="1111"/>
      <c r="AO11" s="1111"/>
      <c r="AP11" s="1111"/>
      <c r="AQ11" s="1111"/>
      <c r="AR11" s="1111"/>
      <c r="AS11" s="1111"/>
      <c r="AT11" s="1111"/>
      <c r="AU11" s="1111"/>
      <c r="AV11" s="1111"/>
      <c r="AW11" s="1111"/>
      <c r="AX11" s="1111"/>
      <c r="AY11" s="1114"/>
      <c r="AZ11" s="1111"/>
      <c r="BA11" s="1115"/>
      <c r="BB11" s="1111"/>
      <c r="BC11" s="1111"/>
      <c r="BD11" s="1116"/>
      <c r="BE11" s="1116"/>
      <c r="BF11" s="1116"/>
      <c r="BG11" s="1116"/>
      <c r="BH11" s="1117"/>
    </row>
    <row r="12" spans="1:60" s="51" customFormat="1" ht="21.75" customHeight="1" x14ac:dyDescent="0.25">
      <c r="A12" s="1118"/>
      <c r="B12" s="1119"/>
      <c r="C12" s="1107"/>
      <c r="D12" s="1108"/>
      <c r="E12" s="1120"/>
      <c r="F12" s="58">
        <v>29</v>
      </c>
      <c r="G12" s="1121" t="s">
        <v>55</v>
      </c>
      <c r="H12" s="1121"/>
      <c r="I12" s="1121"/>
      <c r="J12" s="1121"/>
      <c r="K12" s="1121"/>
      <c r="L12" s="1121"/>
      <c r="M12" s="1121"/>
      <c r="N12" s="1121"/>
      <c r="O12" s="1121"/>
      <c r="P12" s="1121"/>
      <c r="Q12" s="1121"/>
      <c r="R12" s="1121"/>
      <c r="S12" s="1121"/>
      <c r="T12" s="1121"/>
      <c r="U12" s="1121"/>
      <c r="V12" s="1122"/>
      <c r="W12" s="1122"/>
      <c r="X12" s="1121"/>
      <c r="Y12" s="1121"/>
      <c r="Z12" s="1121"/>
      <c r="AA12" s="1121"/>
      <c r="AB12" s="1121"/>
      <c r="AC12" s="1121"/>
      <c r="AD12" s="1121"/>
      <c r="AE12" s="1123"/>
      <c r="AF12" s="1121"/>
      <c r="AG12" s="1123"/>
      <c r="AH12" s="1121"/>
      <c r="AI12" s="1121"/>
      <c r="AJ12" s="1121"/>
      <c r="AK12" s="1121"/>
      <c r="AL12" s="1121"/>
      <c r="AM12" s="1121"/>
      <c r="AN12" s="1121"/>
      <c r="AO12" s="1121"/>
      <c r="AP12" s="1121"/>
      <c r="AQ12" s="1121"/>
      <c r="AR12" s="1121"/>
      <c r="AS12" s="1121"/>
      <c r="AT12" s="1121"/>
      <c r="AU12" s="1121"/>
      <c r="AV12" s="1121"/>
      <c r="AW12" s="1121"/>
      <c r="AX12" s="1121"/>
      <c r="AY12" s="1124"/>
      <c r="AZ12" s="1121"/>
      <c r="BA12" s="1125"/>
      <c r="BB12" s="1121"/>
      <c r="BC12" s="1121"/>
      <c r="BD12" s="684"/>
      <c r="BE12" s="684"/>
      <c r="BF12" s="684"/>
      <c r="BG12" s="684"/>
      <c r="BH12" s="685"/>
    </row>
    <row r="13" spans="1:60" ht="119.25" customHeight="1" x14ac:dyDescent="0.2">
      <c r="A13" s="3157"/>
      <c r="B13" s="3158"/>
      <c r="C13" s="3159"/>
      <c r="D13" s="3160"/>
      <c r="E13" s="687"/>
      <c r="F13" s="3161"/>
      <c r="G13" s="3163"/>
      <c r="H13" s="577">
        <v>114</v>
      </c>
      <c r="I13" s="1126" t="s">
        <v>56</v>
      </c>
      <c r="J13" s="1126" t="s">
        <v>57</v>
      </c>
      <c r="K13" s="722">
        <v>30</v>
      </c>
      <c r="L13" s="577"/>
      <c r="M13" s="954" t="s">
        <v>58</v>
      </c>
      <c r="N13" s="577">
        <v>45</v>
      </c>
      <c r="O13" s="601" t="s">
        <v>59</v>
      </c>
      <c r="P13" s="1127">
        <v>1</v>
      </c>
      <c r="Q13" s="1128">
        <v>896158491</v>
      </c>
      <c r="R13" s="62" t="s">
        <v>60</v>
      </c>
      <c r="S13" s="62" t="s">
        <v>60</v>
      </c>
      <c r="T13" s="62" t="s">
        <v>61</v>
      </c>
      <c r="U13" s="1129">
        <v>896158491</v>
      </c>
      <c r="V13" s="864"/>
      <c r="W13" s="864"/>
      <c r="X13" s="706" t="s">
        <v>119</v>
      </c>
      <c r="Y13" s="722" t="s">
        <v>122</v>
      </c>
      <c r="Z13" s="1130">
        <v>0</v>
      </c>
      <c r="AA13" s="1130">
        <v>0</v>
      </c>
      <c r="AB13" s="1130">
        <v>0</v>
      </c>
      <c r="AC13" s="1130">
        <v>0</v>
      </c>
      <c r="AD13" s="1130">
        <v>0</v>
      </c>
      <c r="AE13" s="1130">
        <v>0</v>
      </c>
      <c r="AF13" s="1130">
        <v>0</v>
      </c>
      <c r="AG13" s="1130">
        <v>0</v>
      </c>
      <c r="AH13" s="1130">
        <v>52</v>
      </c>
      <c r="AI13" s="1130">
        <v>0</v>
      </c>
      <c r="AJ13" s="1130">
        <v>0</v>
      </c>
      <c r="AK13" s="1130">
        <v>0</v>
      </c>
      <c r="AL13" s="1130">
        <v>0</v>
      </c>
      <c r="AM13" s="1130">
        <v>0</v>
      </c>
      <c r="AN13" s="1130">
        <v>0</v>
      </c>
      <c r="AO13" s="1130">
        <v>0</v>
      </c>
      <c r="AP13" s="1130">
        <v>0</v>
      </c>
      <c r="AQ13" s="1130">
        <v>0</v>
      </c>
      <c r="AR13" s="1130">
        <v>0</v>
      </c>
      <c r="AS13" s="1130">
        <v>0</v>
      </c>
      <c r="AT13" s="1130">
        <v>0</v>
      </c>
      <c r="AU13" s="1130">
        <v>0</v>
      </c>
      <c r="AV13" s="1130">
        <v>0</v>
      </c>
      <c r="AW13" s="1130">
        <v>0</v>
      </c>
      <c r="AX13" s="969"/>
      <c r="AY13" s="969"/>
      <c r="AZ13" s="1131"/>
      <c r="BA13" s="710">
        <f>AY13/Q13</f>
        <v>0</v>
      </c>
      <c r="BB13" s="969"/>
      <c r="BC13" s="969"/>
      <c r="BD13" s="577"/>
      <c r="BE13" s="577"/>
      <c r="BF13" s="577"/>
      <c r="BG13" s="577"/>
      <c r="BH13" s="2712" t="s">
        <v>62</v>
      </c>
    </row>
    <row r="14" spans="1:60" ht="115.5" customHeight="1" x14ac:dyDescent="0.2">
      <c r="A14" s="3157"/>
      <c r="B14" s="3158"/>
      <c r="C14" s="3159"/>
      <c r="D14" s="3160"/>
      <c r="E14" s="688"/>
      <c r="F14" s="3157"/>
      <c r="G14" s="3164"/>
      <c r="H14" s="577">
        <v>114</v>
      </c>
      <c r="I14" s="1126" t="s">
        <v>63</v>
      </c>
      <c r="J14" s="601" t="s">
        <v>64</v>
      </c>
      <c r="K14" s="577">
        <v>30</v>
      </c>
      <c r="L14" s="577">
        <v>7</v>
      </c>
      <c r="M14" s="954" t="s">
        <v>65</v>
      </c>
      <c r="N14" s="2415">
        <v>46</v>
      </c>
      <c r="O14" s="2712" t="s">
        <v>66</v>
      </c>
      <c r="P14" s="1132">
        <f>U14/Q14</f>
        <v>0.40999212423463044</v>
      </c>
      <c r="Q14" s="3154">
        <v>2841761905</v>
      </c>
      <c r="R14" s="2712" t="s">
        <v>67</v>
      </c>
      <c r="S14" s="601" t="s">
        <v>68</v>
      </c>
      <c r="T14" s="601" t="s">
        <v>69</v>
      </c>
      <c r="U14" s="1133">
        <v>1165100000</v>
      </c>
      <c r="V14" s="1134">
        <v>167940000</v>
      </c>
      <c r="W14" s="1134">
        <v>22180000</v>
      </c>
      <c r="X14" s="577" t="s">
        <v>120</v>
      </c>
      <c r="Y14" s="722" t="s">
        <v>121</v>
      </c>
      <c r="Z14" s="3151">
        <v>5.1159999999999997</v>
      </c>
      <c r="AA14" s="3151">
        <v>0</v>
      </c>
      <c r="AB14" s="3151">
        <v>20.466000000000001</v>
      </c>
      <c r="AC14" s="3151">
        <v>1.6870000000000001</v>
      </c>
      <c r="AD14" s="3151">
        <v>42.637999999999998</v>
      </c>
      <c r="AE14" s="3151">
        <v>0</v>
      </c>
      <c r="AF14" s="3151">
        <v>42.637999999999998</v>
      </c>
      <c r="AG14" s="3151">
        <v>0</v>
      </c>
      <c r="AH14" s="3151">
        <v>25.582000000000001</v>
      </c>
      <c r="AI14" s="3151">
        <v>0</v>
      </c>
      <c r="AJ14" s="3151">
        <v>17.055</v>
      </c>
      <c r="AK14" s="3151">
        <v>0</v>
      </c>
      <c r="AL14" s="3151">
        <v>8.5280000000000005</v>
      </c>
      <c r="AM14" s="3151">
        <v>0</v>
      </c>
      <c r="AN14" s="3151">
        <v>8.5280000000000005</v>
      </c>
      <c r="AO14" s="3151">
        <v>0</v>
      </c>
      <c r="AP14" s="3151">
        <v>0</v>
      </c>
      <c r="AQ14" s="3151">
        <v>0</v>
      </c>
      <c r="AR14" s="3151">
        <v>0</v>
      </c>
      <c r="AS14" s="3151">
        <v>0</v>
      </c>
      <c r="AT14" s="3151">
        <v>0</v>
      </c>
      <c r="AU14" s="3151">
        <v>0</v>
      </c>
      <c r="AV14" s="3151">
        <v>0</v>
      </c>
      <c r="AW14" s="3151">
        <v>0</v>
      </c>
      <c r="AX14" s="577">
        <v>12</v>
      </c>
      <c r="AY14" s="1135">
        <v>167940000</v>
      </c>
      <c r="AZ14" s="1136">
        <v>22180000</v>
      </c>
      <c r="BA14" s="1132">
        <f>AZ14/AY14</f>
        <v>0.13207097773014173</v>
      </c>
      <c r="BB14" s="577" t="s">
        <v>70</v>
      </c>
      <c r="BC14" s="601" t="s">
        <v>71</v>
      </c>
      <c r="BD14" s="567">
        <v>42736</v>
      </c>
      <c r="BE14" s="567">
        <v>42760</v>
      </c>
      <c r="BF14" s="567">
        <v>43100</v>
      </c>
      <c r="BG14" s="567">
        <v>43034</v>
      </c>
      <c r="BH14" s="3150"/>
    </row>
    <row r="15" spans="1:60" ht="90" customHeight="1" x14ac:dyDescent="0.2">
      <c r="A15" s="3157"/>
      <c r="B15" s="3158"/>
      <c r="C15" s="3159"/>
      <c r="D15" s="3160"/>
      <c r="E15" s="688"/>
      <c r="F15" s="3157"/>
      <c r="G15" s="3164"/>
      <c r="H15" s="577">
        <v>115</v>
      </c>
      <c r="I15" s="647" t="s">
        <v>72</v>
      </c>
      <c r="J15" s="1126" t="s">
        <v>73</v>
      </c>
      <c r="K15" s="577">
        <v>35</v>
      </c>
      <c r="L15" s="577">
        <v>0</v>
      </c>
      <c r="M15" s="954" t="s">
        <v>74</v>
      </c>
      <c r="N15" s="2416"/>
      <c r="O15" s="3150"/>
      <c r="P15" s="1132">
        <f>U15/Q14</f>
        <v>0.47851682000783241</v>
      </c>
      <c r="Q15" s="3155"/>
      <c r="R15" s="3150"/>
      <c r="S15" s="601" t="s">
        <v>75</v>
      </c>
      <c r="T15" s="601" t="s">
        <v>76</v>
      </c>
      <c r="U15" s="1133">
        <v>1359830870</v>
      </c>
      <c r="V15" s="1134">
        <v>36120000</v>
      </c>
      <c r="W15" s="1134">
        <v>8660000</v>
      </c>
      <c r="X15" s="577" t="s">
        <v>124</v>
      </c>
      <c r="Y15" s="722" t="s">
        <v>122</v>
      </c>
      <c r="Z15" s="3152"/>
      <c r="AA15" s="3152"/>
      <c r="AB15" s="3152"/>
      <c r="AC15" s="3152"/>
      <c r="AD15" s="3152"/>
      <c r="AE15" s="3152"/>
      <c r="AF15" s="3152"/>
      <c r="AG15" s="3152"/>
      <c r="AH15" s="3152"/>
      <c r="AI15" s="3152"/>
      <c r="AJ15" s="3152"/>
      <c r="AK15" s="3152"/>
      <c r="AL15" s="3152"/>
      <c r="AM15" s="3152"/>
      <c r="AN15" s="3152"/>
      <c r="AO15" s="3152"/>
      <c r="AP15" s="3152"/>
      <c r="AQ15" s="3152"/>
      <c r="AR15" s="3152"/>
      <c r="AS15" s="3152"/>
      <c r="AT15" s="3152"/>
      <c r="AU15" s="3152"/>
      <c r="AV15" s="3152"/>
      <c r="AW15" s="3152"/>
      <c r="AX15" s="577">
        <v>2</v>
      </c>
      <c r="AY15" s="1135">
        <v>36120000</v>
      </c>
      <c r="AZ15" s="1136">
        <v>8660000</v>
      </c>
      <c r="BA15" s="1132">
        <f>AZ15/AY15</f>
        <v>0.23975636766334441</v>
      </c>
      <c r="BB15" s="577" t="s">
        <v>77</v>
      </c>
      <c r="BC15" s="601" t="s">
        <v>78</v>
      </c>
      <c r="BD15" s="567">
        <v>42736</v>
      </c>
      <c r="BE15" s="567">
        <v>42758</v>
      </c>
      <c r="BF15" s="567">
        <v>43100</v>
      </c>
      <c r="BG15" s="567">
        <v>42947</v>
      </c>
      <c r="BH15" s="3150"/>
    </row>
    <row r="16" spans="1:60" ht="105" customHeight="1" x14ac:dyDescent="0.2">
      <c r="A16" s="3157"/>
      <c r="B16" s="3158"/>
      <c r="C16" s="3159"/>
      <c r="D16" s="3160"/>
      <c r="E16" s="728"/>
      <c r="F16" s="3162"/>
      <c r="G16" s="3165"/>
      <c r="H16" s="577">
        <v>116</v>
      </c>
      <c r="I16" s="647" t="s">
        <v>79</v>
      </c>
      <c r="J16" s="1126" t="s">
        <v>73</v>
      </c>
      <c r="K16" s="577">
        <v>11</v>
      </c>
      <c r="L16" s="577">
        <v>0</v>
      </c>
      <c r="M16" s="954" t="s">
        <v>80</v>
      </c>
      <c r="N16" s="2417"/>
      <c r="O16" s="2713"/>
      <c r="P16" s="1132">
        <f>U16/Q14</f>
        <v>0.11149105575753715</v>
      </c>
      <c r="Q16" s="3156"/>
      <c r="R16" s="2713"/>
      <c r="S16" s="601" t="s">
        <v>81</v>
      </c>
      <c r="T16" s="601" t="s">
        <v>82</v>
      </c>
      <c r="U16" s="1133">
        <v>316831035</v>
      </c>
      <c r="V16" s="1134"/>
      <c r="W16" s="1134"/>
      <c r="X16" s="577" t="s">
        <v>125</v>
      </c>
      <c r="Y16" s="722" t="s">
        <v>122</v>
      </c>
      <c r="Z16" s="3153"/>
      <c r="AA16" s="3153"/>
      <c r="AB16" s="3153"/>
      <c r="AC16" s="3153"/>
      <c r="AD16" s="3153"/>
      <c r="AE16" s="3153"/>
      <c r="AF16" s="3153"/>
      <c r="AG16" s="3153"/>
      <c r="AH16" s="3153"/>
      <c r="AI16" s="3153"/>
      <c r="AJ16" s="3153"/>
      <c r="AK16" s="3153"/>
      <c r="AL16" s="3153"/>
      <c r="AM16" s="3153"/>
      <c r="AN16" s="3153"/>
      <c r="AO16" s="3153"/>
      <c r="AP16" s="3153"/>
      <c r="AQ16" s="3153"/>
      <c r="AR16" s="3153"/>
      <c r="AS16" s="3153"/>
      <c r="AT16" s="3153"/>
      <c r="AU16" s="3153"/>
      <c r="AV16" s="3153"/>
      <c r="AW16" s="3153"/>
      <c r="AX16" s="969"/>
      <c r="AY16" s="1137"/>
      <c r="AZ16" s="1137"/>
      <c r="BA16" s="710">
        <f>AY16/Q14</f>
        <v>0</v>
      </c>
      <c r="BB16" s="969"/>
      <c r="BC16" s="969"/>
      <c r="BD16" s="577"/>
      <c r="BE16" s="577"/>
      <c r="BF16" s="577"/>
      <c r="BG16" s="969"/>
      <c r="BH16" s="2713"/>
    </row>
    <row r="17" spans="1:60" ht="8.25" customHeight="1" x14ac:dyDescent="0.2">
      <c r="A17" s="162"/>
      <c r="B17" s="163"/>
      <c r="C17" s="162"/>
      <c r="D17" s="142"/>
      <c r="E17" s="1138"/>
      <c r="F17" s="1138"/>
      <c r="G17" s="1138"/>
      <c r="H17" s="1139"/>
      <c r="I17" s="1139"/>
      <c r="J17" s="1139"/>
      <c r="K17" s="1139"/>
      <c r="L17" s="1139"/>
      <c r="M17" s="1139"/>
      <c r="N17" s="1139"/>
      <c r="O17" s="1139"/>
      <c r="P17" s="1139"/>
      <c r="Q17" s="1139"/>
      <c r="R17" s="1139"/>
      <c r="S17" s="1139"/>
      <c r="T17" s="1139"/>
      <c r="U17" s="1139"/>
      <c r="V17" s="1139"/>
      <c r="W17" s="1139"/>
      <c r="X17" s="1139"/>
      <c r="Y17" s="1139"/>
      <c r="Z17" s="1139"/>
      <c r="AA17" s="1139"/>
      <c r="AB17" s="1139"/>
      <c r="AC17" s="1139"/>
      <c r="AD17" s="1139"/>
      <c r="AE17" s="1139"/>
      <c r="AF17" s="1139"/>
      <c r="AG17" s="1139"/>
      <c r="AH17" s="1139"/>
      <c r="AI17" s="1139"/>
      <c r="AJ17" s="1139"/>
      <c r="AK17" s="1139"/>
      <c r="AL17" s="1139"/>
      <c r="AM17" s="1139"/>
      <c r="AN17" s="1139"/>
      <c r="AO17" s="1139"/>
      <c r="AP17" s="1139"/>
      <c r="AQ17" s="1139"/>
      <c r="AR17" s="1139"/>
      <c r="AS17" s="1139"/>
      <c r="AT17" s="1139"/>
      <c r="AU17" s="1139"/>
      <c r="AV17" s="1139"/>
      <c r="AW17" s="1139"/>
      <c r="AX17" s="1139"/>
      <c r="AY17" s="1139"/>
      <c r="AZ17" s="1139"/>
      <c r="BA17" s="1139"/>
      <c r="BB17" s="1139"/>
      <c r="BC17" s="1139"/>
      <c r="BD17" s="1139"/>
      <c r="BE17" s="1139"/>
      <c r="BF17" s="1139"/>
      <c r="BG17" s="1139"/>
      <c r="BH17" s="1140"/>
    </row>
    <row r="18" spans="1:60" ht="21.75" customHeight="1" x14ac:dyDescent="0.25">
      <c r="A18" s="1141"/>
      <c r="B18" s="1142"/>
      <c r="C18" s="1141"/>
      <c r="D18" s="143"/>
      <c r="E18" s="1143"/>
      <c r="F18" s="58">
        <v>30</v>
      </c>
      <c r="G18" s="501" t="s">
        <v>83</v>
      </c>
      <c r="H18" s="1121"/>
      <c r="I18" s="1121"/>
      <c r="J18" s="1121"/>
      <c r="K18" s="1121"/>
      <c r="L18" s="1121"/>
      <c r="M18" s="1121"/>
      <c r="N18" s="1121"/>
      <c r="O18" s="1121"/>
      <c r="P18" s="1121"/>
      <c r="Q18" s="1121"/>
      <c r="R18" s="1121"/>
      <c r="S18" s="1121"/>
      <c r="T18" s="1121"/>
      <c r="U18" s="1121"/>
      <c r="V18" s="1122"/>
      <c r="W18" s="1122"/>
      <c r="X18" s="1121"/>
      <c r="Y18" s="1121"/>
      <c r="Z18" s="1121"/>
      <c r="AA18" s="1121"/>
      <c r="AB18" s="1121"/>
      <c r="AC18" s="1121"/>
      <c r="AD18" s="1121"/>
      <c r="AE18" s="1123"/>
      <c r="AF18" s="1121"/>
      <c r="AG18" s="1123"/>
      <c r="AH18" s="1121"/>
      <c r="AI18" s="1121"/>
      <c r="AJ18" s="1121"/>
      <c r="AK18" s="1121"/>
      <c r="AL18" s="1121"/>
      <c r="AM18" s="1121"/>
      <c r="AN18" s="1121"/>
      <c r="AO18" s="1121"/>
      <c r="AP18" s="1121"/>
      <c r="AQ18" s="1121"/>
      <c r="AR18" s="1121"/>
      <c r="AS18" s="1121"/>
      <c r="AT18" s="1121"/>
      <c r="AU18" s="1121"/>
      <c r="AV18" s="1121"/>
      <c r="AW18" s="1121"/>
      <c r="AX18" s="1121"/>
      <c r="AY18" s="1124"/>
      <c r="AZ18" s="1121"/>
      <c r="BA18" s="1125"/>
      <c r="BB18" s="1121"/>
      <c r="BC18" s="1121"/>
      <c r="BD18" s="684"/>
      <c r="BE18" s="684"/>
      <c r="BF18" s="684"/>
      <c r="BG18" s="684"/>
      <c r="BH18" s="685"/>
    </row>
    <row r="19" spans="1:60" ht="102" customHeight="1" x14ac:dyDescent="0.2">
      <c r="A19" s="3159"/>
      <c r="B19" s="3158"/>
      <c r="C19" s="3159"/>
      <c r="D19" s="3181"/>
      <c r="E19" s="1144"/>
      <c r="F19" s="3179"/>
      <c r="G19" s="3176"/>
      <c r="H19" s="2415">
        <v>117</v>
      </c>
      <c r="I19" s="2712" t="s">
        <v>84</v>
      </c>
      <c r="J19" s="2712" t="s">
        <v>64</v>
      </c>
      <c r="K19" s="2415">
        <v>1</v>
      </c>
      <c r="L19" s="2415">
        <v>0</v>
      </c>
      <c r="M19" s="3173" t="s">
        <v>132</v>
      </c>
      <c r="N19" s="3167">
        <v>47</v>
      </c>
      <c r="O19" s="3167" t="s">
        <v>85</v>
      </c>
      <c r="P19" s="3192">
        <f>U19/Q19</f>
        <v>1</v>
      </c>
      <c r="Q19" s="3170">
        <v>111943025</v>
      </c>
      <c r="R19" s="3167" t="s">
        <v>86</v>
      </c>
      <c r="S19" s="578" t="s">
        <v>127</v>
      </c>
      <c r="T19" s="579" t="s">
        <v>87</v>
      </c>
      <c r="U19" s="1133">
        <v>111943025</v>
      </c>
      <c r="V19" s="1134"/>
      <c r="W19" s="1134"/>
      <c r="X19" s="2415" t="s">
        <v>120</v>
      </c>
      <c r="Y19" s="3167" t="s">
        <v>121</v>
      </c>
      <c r="Z19" s="2415">
        <v>0</v>
      </c>
      <c r="AA19" s="2415">
        <v>0</v>
      </c>
      <c r="AB19" s="2415">
        <v>0</v>
      </c>
      <c r="AC19" s="2415">
        <v>0</v>
      </c>
      <c r="AD19" s="2415">
        <v>0</v>
      </c>
      <c r="AE19" s="2415">
        <v>0</v>
      </c>
      <c r="AF19" s="2415">
        <v>105</v>
      </c>
      <c r="AG19" s="2415">
        <v>0</v>
      </c>
      <c r="AH19" s="2415">
        <v>45</v>
      </c>
      <c r="AI19" s="2415">
        <v>0</v>
      </c>
      <c r="AJ19" s="2415">
        <v>0</v>
      </c>
      <c r="AK19" s="2415">
        <v>0</v>
      </c>
      <c r="AL19" s="2415">
        <v>0</v>
      </c>
      <c r="AM19" s="2415">
        <v>0</v>
      </c>
      <c r="AN19" s="2415">
        <v>0</v>
      </c>
      <c r="AO19" s="2415">
        <v>0</v>
      </c>
      <c r="AP19" s="2415">
        <v>0</v>
      </c>
      <c r="AQ19" s="2415">
        <v>0</v>
      </c>
      <c r="AR19" s="2415">
        <v>0</v>
      </c>
      <c r="AS19" s="2415">
        <v>0</v>
      </c>
      <c r="AT19" s="2415">
        <v>0</v>
      </c>
      <c r="AU19" s="2415">
        <v>0</v>
      </c>
      <c r="AV19" s="2415">
        <v>0</v>
      </c>
      <c r="AW19" s="2415">
        <v>0</v>
      </c>
      <c r="AX19" s="577">
        <v>0</v>
      </c>
      <c r="AY19" s="577">
        <v>0</v>
      </c>
      <c r="AZ19" s="577">
        <v>0</v>
      </c>
      <c r="BA19" s="710">
        <f>AY19/Q19</f>
        <v>0</v>
      </c>
      <c r="BB19" s="577" t="s">
        <v>70</v>
      </c>
      <c r="BC19" s="969"/>
      <c r="BD19" s="567">
        <v>42736</v>
      </c>
      <c r="BE19" s="577"/>
      <c r="BF19" s="567">
        <v>43100</v>
      </c>
      <c r="BG19" s="969"/>
      <c r="BH19" s="2712" t="s">
        <v>62</v>
      </c>
    </row>
    <row r="20" spans="1:60" ht="71.25" x14ac:dyDescent="0.2">
      <c r="A20" s="3159"/>
      <c r="B20" s="3158"/>
      <c r="C20" s="3159"/>
      <c r="D20" s="3181"/>
      <c r="E20" s="1144"/>
      <c r="F20" s="3159"/>
      <c r="G20" s="3177"/>
      <c r="H20" s="2416"/>
      <c r="I20" s="3150"/>
      <c r="J20" s="3150"/>
      <c r="K20" s="2416"/>
      <c r="L20" s="2416"/>
      <c r="M20" s="3174"/>
      <c r="N20" s="3168"/>
      <c r="O20" s="3168"/>
      <c r="P20" s="3193"/>
      <c r="Q20" s="3171"/>
      <c r="R20" s="3168"/>
      <c r="S20" s="595" t="s">
        <v>128</v>
      </c>
      <c r="T20" s="579" t="s">
        <v>130</v>
      </c>
      <c r="U20" s="1133">
        <v>0</v>
      </c>
      <c r="V20" s="1134"/>
      <c r="W20" s="1134"/>
      <c r="X20" s="2416"/>
      <c r="Y20" s="3168"/>
      <c r="Z20" s="2416"/>
      <c r="AA20" s="2416"/>
      <c r="AB20" s="2416"/>
      <c r="AC20" s="2416"/>
      <c r="AD20" s="2416"/>
      <c r="AE20" s="2416"/>
      <c r="AF20" s="2416"/>
      <c r="AG20" s="2416"/>
      <c r="AH20" s="2416"/>
      <c r="AI20" s="2416"/>
      <c r="AJ20" s="2416"/>
      <c r="AK20" s="2416"/>
      <c r="AL20" s="2416"/>
      <c r="AM20" s="2416"/>
      <c r="AN20" s="2416"/>
      <c r="AO20" s="2416"/>
      <c r="AP20" s="2416"/>
      <c r="AQ20" s="2416"/>
      <c r="AR20" s="2416"/>
      <c r="AS20" s="2416"/>
      <c r="AT20" s="2416"/>
      <c r="AU20" s="2416"/>
      <c r="AV20" s="2416"/>
      <c r="AW20" s="2416"/>
      <c r="AX20" s="577">
        <v>0</v>
      </c>
      <c r="AY20" s="577">
        <v>0</v>
      </c>
      <c r="AZ20" s="577">
        <v>0</v>
      </c>
      <c r="BA20" s="710">
        <f>AY20/Q19</f>
        <v>0</v>
      </c>
      <c r="BB20" s="969"/>
      <c r="BC20" s="969"/>
      <c r="BD20" s="577"/>
      <c r="BE20" s="577"/>
      <c r="BF20" s="577"/>
      <c r="BG20" s="969"/>
      <c r="BH20" s="3150"/>
    </row>
    <row r="21" spans="1:60" ht="78.75" customHeight="1" x14ac:dyDescent="0.2">
      <c r="A21" s="3159"/>
      <c r="B21" s="3158"/>
      <c r="C21" s="3159"/>
      <c r="D21" s="3181"/>
      <c r="E21" s="1144"/>
      <c r="F21" s="3180"/>
      <c r="G21" s="3178"/>
      <c r="H21" s="2417"/>
      <c r="I21" s="2713"/>
      <c r="J21" s="2713"/>
      <c r="K21" s="2417"/>
      <c r="L21" s="2417"/>
      <c r="M21" s="3175"/>
      <c r="N21" s="3169"/>
      <c r="O21" s="3169"/>
      <c r="P21" s="3194"/>
      <c r="Q21" s="3172"/>
      <c r="R21" s="3169"/>
      <c r="S21" s="579" t="s">
        <v>129</v>
      </c>
      <c r="T21" s="579" t="s">
        <v>131</v>
      </c>
      <c r="U21" s="1136">
        <v>0</v>
      </c>
      <c r="V21" s="1134"/>
      <c r="W21" s="1134"/>
      <c r="X21" s="2417"/>
      <c r="Y21" s="3169"/>
      <c r="Z21" s="2417"/>
      <c r="AA21" s="2417"/>
      <c r="AB21" s="2417"/>
      <c r="AC21" s="2417"/>
      <c r="AD21" s="2417"/>
      <c r="AE21" s="2417"/>
      <c r="AF21" s="2417"/>
      <c r="AG21" s="2417"/>
      <c r="AH21" s="2417"/>
      <c r="AI21" s="2417"/>
      <c r="AJ21" s="2417"/>
      <c r="AK21" s="2417"/>
      <c r="AL21" s="2417"/>
      <c r="AM21" s="2417"/>
      <c r="AN21" s="2417"/>
      <c r="AO21" s="2417"/>
      <c r="AP21" s="2417"/>
      <c r="AQ21" s="2417"/>
      <c r="AR21" s="2417"/>
      <c r="AS21" s="2417"/>
      <c r="AT21" s="2417"/>
      <c r="AU21" s="2417"/>
      <c r="AV21" s="2417"/>
      <c r="AW21" s="2417"/>
      <c r="AX21" s="577">
        <v>0</v>
      </c>
      <c r="AY21" s="577">
        <v>0</v>
      </c>
      <c r="AZ21" s="577">
        <v>0</v>
      </c>
      <c r="BA21" s="710">
        <f>AY21/Q19</f>
        <v>0</v>
      </c>
      <c r="BB21" s="969"/>
      <c r="BC21" s="969"/>
      <c r="BD21" s="577"/>
      <c r="BE21" s="577"/>
      <c r="BF21" s="577"/>
      <c r="BG21" s="969"/>
      <c r="BH21" s="2713"/>
    </row>
    <row r="22" spans="1:60" ht="6" customHeight="1" x14ac:dyDescent="0.2">
      <c r="A22" s="1145"/>
      <c r="B22" s="1146"/>
      <c r="C22" s="1145"/>
      <c r="D22" s="1147"/>
      <c r="E22" s="1148"/>
      <c r="F22" s="1148"/>
      <c r="G22" s="1148"/>
      <c r="H22" s="1148"/>
      <c r="I22" s="1148"/>
      <c r="J22" s="1148"/>
      <c r="K22" s="1148"/>
      <c r="L22" s="1148"/>
      <c r="M22" s="1148"/>
      <c r="N22" s="1148"/>
      <c r="O22" s="1148"/>
      <c r="P22" s="1148"/>
      <c r="Q22" s="1148"/>
      <c r="R22" s="1148"/>
      <c r="S22" s="1148"/>
      <c r="T22" s="1148"/>
      <c r="U22" s="1148"/>
      <c r="V22" s="1148"/>
      <c r="W22" s="1148"/>
      <c r="X22" s="1148"/>
      <c r="Y22" s="1148"/>
      <c r="Z22" s="1148"/>
      <c r="AA22" s="1148"/>
      <c r="AB22" s="1148"/>
      <c r="AC22" s="1148"/>
      <c r="AD22" s="1148"/>
      <c r="AE22" s="1148"/>
      <c r="AF22" s="1148"/>
      <c r="AG22" s="1148"/>
      <c r="AH22" s="1148"/>
      <c r="AI22" s="1148"/>
      <c r="AJ22" s="1148"/>
      <c r="AK22" s="1148"/>
      <c r="AL22" s="1148"/>
      <c r="AM22" s="1148"/>
      <c r="AN22" s="1148"/>
      <c r="AO22" s="1148"/>
      <c r="AP22" s="1148"/>
      <c r="AQ22" s="1148"/>
      <c r="AR22" s="1148"/>
      <c r="AS22" s="1148"/>
      <c r="AT22" s="1148"/>
      <c r="AU22" s="1148"/>
      <c r="AV22" s="1148"/>
      <c r="AW22" s="1148"/>
      <c r="AX22" s="1148"/>
      <c r="AY22" s="1148"/>
      <c r="AZ22" s="1148"/>
      <c r="BA22" s="1148"/>
      <c r="BB22" s="1148"/>
      <c r="BC22" s="1148"/>
      <c r="BD22" s="1148"/>
      <c r="BE22" s="1148"/>
      <c r="BF22" s="1148"/>
      <c r="BG22" s="1148"/>
      <c r="BH22" s="1149"/>
    </row>
    <row r="23" spans="1:60" ht="21" customHeight="1" x14ac:dyDescent="0.25">
      <c r="A23" s="1150"/>
      <c r="B23" s="1151"/>
      <c r="C23" s="1150"/>
      <c r="D23" s="999"/>
      <c r="E23" s="1152"/>
      <c r="F23" s="58">
        <v>31</v>
      </c>
      <c r="G23" s="501" t="s">
        <v>88</v>
      </c>
      <c r="H23" s="501"/>
      <c r="I23" s="501"/>
      <c r="J23" s="1121"/>
      <c r="K23" s="1121"/>
      <c r="L23" s="1121"/>
      <c r="M23" s="1121"/>
      <c r="N23" s="1121"/>
      <c r="O23" s="1121"/>
      <c r="P23" s="1121"/>
      <c r="Q23" s="1121"/>
      <c r="R23" s="1121"/>
      <c r="S23" s="1121"/>
      <c r="T23" s="1121"/>
      <c r="U23" s="1121"/>
      <c r="V23" s="1122"/>
      <c r="W23" s="1122"/>
      <c r="X23" s="1121"/>
      <c r="Y23" s="1121"/>
      <c r="Z23" s="1121"/>
      <c r="AA23" s="1121"/>
      <c r="AB23" s="1121"/>
      <c r="AC23" s="1121"/>
      <c r="AD23" s="1121"/>
      <c r="AE23" s="1123"/>
      <c r="AF23" s="1121"/>
      <c r="AG23" s="1123"/>
      <c r="AH23" s="1121"/>
      <c r="AI23" s="1121"/>
      <c r="AJ23" s="1121"/>
      <c r="AK23" s="1121"/>
      <c r="AL23" s="1121"/>
      <c r="AM23" s="1121"/>
      <c r="AN23" s="1121"/>
      <c r="AO23" s="1121"/>
      <c r="AP23" s="1121"/>
      <c r="AQ23" s="1121"/>
      <c r="AR23" s="1121"/>
      <c r="AS23" s="1121"/>
      <c r="AT23" s="1121"/>
      <c r="AU23" s="1121"/>
      <c r="AV23" s="1121"/>
      <c r="AW23" s="1121"/>
      <c r="AX23" s="1121"/>
      <c r="AY23" s="1124"/>
      <c r="AZ23" s="1121"/>
      <c r="BA23" s="1125"/>
      <c r="BB23" s="1121"/>
      <c r="BC23" s="1121"/>
      <c r="BD23" s="684"/>
      <c r="BE23" s="684"/>
      <c r="BF23" s="684"/>
      <c r="BG23" s="684"/>
      <c r="BH23" s="685"/>
    </row>
    <row r="24" spans="1:60" ht="155.25" customHeight="1" x14ac:dyDescent="0.2">
      <c r="A24" s="3159"/>
      <c r="B24" s="3158"/>
      <c r="C24" s="3159"/>
      <c r="D24" s="3181"/>
      <c r="E24" s="1144"/>
      <c r="F24" s="3179"/>
      <c r="G24" s="3176"/>
      <c r="H24" s="2415">
        <v>118</v>
      </c>
      <c r="I24" s="2712" t="s">
        <v>89</v>
      </c>
      <c r="J24" s="2712" t="s">
        <v>64</v>
      </c>
      <c r="K24" s="2415">
        <v>6</v>
      </c>
      <c r="L24" s="2415">
        <v>2</v>
      </c>
      <c r="M24" s="3167" t="s">
        <v>90</v>
      </c>
      <c r="N24" s="2415">
        <v>48</v>
      </c>
      <c r="O24" s="2712" t="s">
        <v>91</v>
      </c>
      <c r="P24" s="1132">
        <f>U24/Q24</f>
        <v>0.12996268524377549</v>
      </c>
      <c r="Q24" s="3186">
        <v>230835489</v>
      </c>
      <c r="R24" s="2424" t="s">
        <v>133</v>
      </c>
      <c r="S24" s="573" t="s">
        <v>92</v>
      </c>
      <c r="T24" s="579" t="s">
        <v>93</v>
      </c>
      <c r="U24" s="1136">
        <v>30000000</v>
      </c>
      <c r="V24" s="1135"/>
      <c r="W24" s="1135"/>
      <c r="X24" s="2415" t="s">
        <v>134</v>
      </c>
      <c r="Y24" s="3167" t="s">
        <v>122</v>
      </c>
      <c r="Z24" s="3182">
        <v>2019.04</v>
      </c>
      <c r="AA24" s="2415">
        <v>0</v>
      </c>
      <c r="AB24" s="3182">
        <v>40380.800000000003</v>
      </c>
      <c r="AC24" s="2415">
        <v>0</v>
      </c>
      <c r="AD24" s="3182">
        <v>30285.599999999999</v>
      </c>
      <c r="AE24" s="2415">
        <v>0</v>
      </c>
      <c r="AF24" s="3182">
        <v>10095.200000000001</v>
      </c>
      <c r="AG24" s="2415">
        <v>0</v>
      </c>
      <c r="AH24" s="3182">
        <v>10095.200000000001</v>
      </c>
      <c r="AI24" s="2415">
        <v>0</v>
      </c>
      <c r="AJ24" s="3182">
        <v>8076.16</v>
      </c>
      <c r="AK24" s="2415">
        <v>0</v>
      </c>
      <c r="AL24" s="2415">
        <v>0</v>
      </c>
      <c r="AM24" s="2415">
        <v>0</v>
      </c>
      <c r="AN24" s="2415">
        <v>0</v>
      </c>
      <c r="AO24" s="2415">
        <v>0</v>
      </c>
      <c r="AP24" s="2415">
        <v>0</v>
      </c>
      <c r="AQ24" s="2415">
        <v>0</v>
      </c>
      <c r="AR24" s="2415">
        <v>0</v>
      </c>
      <c r="AS24" s="2415">
        <v>0</v>
      </c>
      <c r="AT24" s="2415">
        <v>0</v>
      </c>
      <c r="AU24" s="2415">
        <v>0</v>
      </c>
      <c r="AV24" s="2415">
        <v>0</v>
      </c>
      <c r="AW24" s="2415">
        <v>0</v>
      </c>
      <c r="AX24" s="969"/>
      <c r="AY24" s="969"/>
      <c r="AZ24" s="969"/>
      <c r="BA24" s="710">
        <f>AY24/Q24</f>
        <v>0</v>
      </c>
      <c r="BB24" s="969"/>
      <c r="BC24" s="969"/>
      <c r="BD24" s="577"/>
      <c r="BE24" s="577"/>
      <c r="BF24" s="577"/>
      <c r="BG24" s="969"/>
      <c r="BH24" s="2712" t="s">
        <v>62</v>
      </c>
    </row>
    <row r="25" spans="1:60" ht="73.5" customHeight="1" x14ac:dyDescent="0.2">
      <c r="A25" s="3159"/>
      <c r="B25" s="3158"/>
      <c r="C25" s="3159"/>
      <c r="D25" s="3181"/>
      <c r="E25" s="1144"/>
      <c r="F25" s="3159"/>
      <c r="G25" s="3177"/>
      <c r="H25" s="2416"/>
      <c r="I25" s="3150"/>
      <c r="J25" s="3150"/>
      <c r="K25" s="2416"/>
      <c r="L25" s="2416"/>
      <c r="M25" s="3168"/>
      <c r="N25" s="2416"/>
      <c r="O25" s="3150"/>
      <c r="P25" s="1132">
        <f>U25/Q24</f>
        <v>0.57907040455118231</v>
      </c>
      <c r="Q25" s="3187"/>
      <c r="R25" s="2428"/>
      <c r="S25" s="601" t="s">
        <v>94</v>
      </c>
      <c r="T25" s="1153" t="s">
        <v>126</v>
      </c>
      <c r="U25" s="1136">
        <v>133670000</v>
      </c>
      <c r="V25" s="1135">
        <v>41820000</v>
      </c>
      <c r="W25" s="1135">
        <v>8660000</v>
      </c>
      <c r="X25" s="2416"/>
      <c r="Y25" s="3168"/>
      <c r="Z25" s="3183"/>
      <c r="AA25" s="2416"/>
      <c r="AB25" s="3183"/>
      <c r="AC25" s="2416"/>
      <c r="AD25" s="3183"/>
      <c r="AE25" s="2416"/>
      <c r="AF25" s="3183"/>
      <c r="AG25" s="2416"/>
      <c r="AH25" s="3183"/>
      <c r="AI25" s="2416"/>
      <c r="AJ25" s="3183"/>
      <c r="AK25" s="2416"/>
      <c r="AL25" s="2416"/>
      <c r="AM25" s="2416"/>
      <c r="AN25" s="2416"/>
      <c r="AO25" s="2416"/>
      <c r="AP25" s="2416"/>
      <c r="AQ25" s="2416"/>
      <c r="AR25" s="2416"/>
      <c r="AS25" s="2416"/>
      <c r="AT25" s="2416"/>
      <c r="AU25" s="2416"/>
      <c r="AV25" s="2416"/>
      <c r="AW25" s="2416"/>
      <c r="AX25" s="577">
        <v>3</v>
      </c>
      <c r="AY25" s="1154">
        <v>41820000</v>
      </c>
      <c r="AZ25" s="1135">
        <v>8660000</v>
      </c>
      <c r="BA25" s="710">
        <f>AZ25/AY25</f>
        <v>0.20707795313247251</v>
      </c>
      <c r="BB25" s="577" t="s">
        <v>77</v>
      </c>
      <c r="BC25" s="972" t="s">
        <v>95</v>
      </c>
      <c r="BD25" s="567">
        <v>42736</v>
      </c>
      <c r="BE25" s="567">
        <v>42760</v>
      </c>
      <c r="BF25" s="567">
        <v>43100</v>
      </c>
      <c r="BG25" s="567">
        <v>42947</v>
      </c>
      <c r="BH25" s="3150"/>
    </row>
    <row r="26" spans="1:60" ht="67.5" customHeight="1" x14ac:dyDescent="0.2">
      <c r="A26" s="3159"/>
      <c r="B26" s="3158"/>
      <c r="C26" s="3180"/>
      <c r="D26" s="3185"/>
      <c r="E26" s="1144"/>
      <c r="F26" s="3180"/>
      <c r="G26" s="3178"/>
      <c r="H26" s="2417"/>
      <c r="I26" s="2713"/>
      <c r="J26" s="2713"/>
      <c r="K26" s="2417"/>
      <c r="L26" s="2417"/>
      <c r="M26" s="3169"/>
      <c r="N26" s="2417"/>
      <c r="O26" s="2713"/>
      <c r="P26" s="1132">
        <f>U26/Q24</f>
        <v>0.29096691020504217</v>
      </c>
      <c r="Q26" s="3188"/>
      <c r="R26" s="2429"/>
      <c r="S26" s="584" t="s">
        <v>96</v>
      </c>
      <c r="T26" s="579" t="s">
        <v>97</v>
      </c>
      <c r="U26" s="1136">
        <v>67165489</v>
      </c>
      <c r="V26" s="1135"/>
      <c r="W26" s="1135"/>
      <c r="X26" s="2417"/>
      <c r="Y26" s="3169"/>
      <c r="Z26" s="3184"/>
      <c r="AA26" s="2417"/>
      <c r="AB26" s="3184"/>
      <c r="AC26" s="2417"/>
      <c r="AD26" s="3184"/>
      <c r="AE26" s="2417"/>
      <c r="AF26" s="3184"/>
      <c r="AG26" s="2417"/>
      <c r="AH26" s="3184"/>
      <c r="AI26" s="2417"/>
      <c r="AJ26" s="3184"/>
      <c r="AK26" s="2417"/>
      <c r="AL26" s="2417"/>
      <c r="AM26" s="2417"/>
      <c r="AN26" s="2417"/>
      <c r="AO26" s="2417"/>
      <c r="AP26" s="2417"/>
      <c r="AQ26" s="2417"/>
      <c r="AR26" s="2417"/>
      <c r="AS26" s="2417"/>
      <c r="AT26" s="2417"/>
      <c r="AU26" s="2417"/>
      <c r="AV26" s="2417"/>
      <c r="AW26" s="2417"/>
      <c r="AX26" s="969"/>
      <c r="AY26" s="969"/>
      <c r="AZ26" s="969"/>
      <c r="BA26" s="710">
        <f>AY26/Q24</f>
        <v>0</v>
      </c>
      <c r="BB26" s="969"/>
      <c r="BC26" s="969"/>
      <c r="BD26" s="577"/>
      <c r="BE26" s="577"/>
      <c r="BF26" s="577"/>
      <c r="BG26" s="969"/>
      <c r="BH26" s="2713"/>
    </row>
    <row r="27" spans="1:60" ht="7.5" customHeight="1" x14ac:dyDescent="0.2">
      <c r="A27" s="1155"/>
      <c r="B27" s="1156"/>
      <c r="C27" s="983"/>
      <c r="D27" s="984"/>
      <c r="E27" s="984"/>
      <c r="F27" s="984"/>
      <c r="G27" s="984"/>
      <c r="H27" s="984"/>
      <c r="I27" s="984"/>
      <c r="J27" s="984"/>
      <c r="K27" s="984"/>
      <c r="L27" s="984"/>
      <c r="M27" s="984"/>
      <c r="N27" s="984"/>
      <c r="O27" s="984"/>
      <c r="P27" s="984"/>
      <c r="Q27" s="984"/>
      <c r="R27" s="984"/>
      <c r="S27" s="984"/>
      <c r="T27" s="984"/>
      <c r="U27" s="984"/>
      <c r="V27" s="984"/>
      <c r="W27" s="984"/>
      <c r="X27" s="984"/>
      <c r="Y27" s="984"/>
      <c r="Z27" s="984"/>
      <c r="AA27" s="984"/>
      <c r="AB27" s="984"/>
      <c r="AC27" s="984"/>
      <c r="AD27" s="984"/>
      <c r="AE27" s="984"/>
      <c r="AF27" s="984"/>
      <c r="AG27" s="984"/>
      <c r="AH27" s="984"/>
      <c r="AI27" s="984"/>
      <c r="AJ27" s="984"/>
      <c r="AK27" s="984"/>
      <c r="AL27" s="984"/>
      <c r="AM27" s="984"/>
      <c r="AN27" s="984"/>
      <c r="AO27" s="984"/>
      <c r="AP27" s="984"/>
      <c r="AQ27" s="984"/>
      <c r="AR27" s="984"/>
      <c r="AS27" s="984"/>
      <c r="AT27" s="984"/>
      <c r="AU27" s="984"/>
      <c r="AV27" s="984"/>
      <c r="AW27" s="984"/>
      <c r="AX27" s="984"/>
      <c r="AY27" s="984"/>
      <c r="AZ27" s="984"/>
      <c r="BA27" s="984"/>
      <c r="BB27" s="984"/>
      <c r="BC27" s="984"/>
      <c r="BD27" s="984"/>
      <c r="BE27" s="984"/>
      <c r="BF27" s="984"/>
      <c r="BG27" s="984"/>
      <c r="BH27" s="990"/>
    </row>
    <row r="28" spans="1:60" ht="25.5" customHeight="1" x14ac:dyDescent="0.25">
      <c r="A28" s="1145"/>
      <c r="B28" s="1146"/>
      <c r="C28" s="1157">
        <v>10</v>
      </c>
      <c r="D28" s="1158" t="s">
        <v>98</v>
      </c>
      <c r="E28" s="1111"/>
      <c r="F28" s="1111"/>
      <c r="G28" s="1111"/>
      <c r="H28" s="1111"/>
      <c r="I28" s="1111"/>
      <c r="J28" s="1111"/>
      <c r="K28" s="1111"/>
      <c r="L28" s="1111"/>
      <c r="M28" s="1111"/>
      <c r="N28" s="1111"/>
      <c r="O28" s="1111"/>
      <c r="P28" s="1111"/>
      <c r="Q28" s="1111"/>
      <c r="R28" s="1111"/>
      <c r="S28" s="1111"/>
      <c r="T28" s="1111"/>
      <c r="U28" s="1111"/>
      <c r="V28" s="1112"/>
      <c r="W28" s="1112"/>
      <c r="X28" s="1111"/>
      <c r="Y28" s="1111"/>
      <c r="Z28" s="1111"/>
      <c r="AA28" s="1111"/>
      <c r="AB28" s="1111"/>
      <c r="AC28" s="1111"/>
      <c r="AD28" s="1111"/>
      <c r="AE28" s="1113"/>
      <c r="AF28" s="1111"/>
      <c r="AG28" s="1113"/>
      <c r="AH28" s="1111"/>
      <c r="AI28" s="1111"/>
      <c r="AJ28" s="1111"/>
      <c r="AK28" s="1111"/>
      <c r="AL28" s="1111"/>
      <c r="AM28" s="1111"/>
      <c r="AN28" s="1111"/>
      <c r="AO28" s="1111"/>
      <c r="AP28" s="1111"/>
      <c r="AQ28" s="1111"/>
      <c r="AR28" s="1111"/>
      <c r="AS28" s="1111"/>
      <c r="AT28" s="1111"/>
      <c r="AU28" s="1111"/>
      <c r="AV28" s="1111"/>
      <c r="AW28" s="1111"/>
      <c r="AX28" s="1111"/>
      <c r="AY28" s="1114"/>
      <c r="AZ28" s="1111"/>
      <c r="BA28" s="1115"/>
      <c r="BB28" s="1111"/>
      <c r="BC28" s="1111"/>
      <c r="BD28" s="1116"/>
      <c r="BE28" s="1116"/>
      <c r="BF28" s="1116"/>
      <c r="BG28" s="1116"/>
      <c r="BH28" s="1117"/>
    </row>
    <row r="29" spans="1:60" ht="21" customHeight="1" x14ac:dyDescent="0.25">
      <c r="A29" s="1150"/>
      <c r="B29" s="1151"/>
      <c r="C29" s="1150"/>
      <c r="D29" s="999"/>
      <c r="E29" s="1152"/>
      <c r="F29" s="58">
        <v>32</v>
      </c>
      <c r="G29" s="501" t="s">
        <v>99</v>
      </c>
      <c r="H29" s="501"/>
      <c r="I29" s="501"/>
      <c r="J29" s="1121"/>
      <c r="K29" s="1121"/>
      <c r="L29" s="1121"/>
      <c r="M29" s="1121"/>
      <c r="N29" s="1121"/>
      <c r="O29" s="1121"/>
      <c r="P29" s="1121"/>
      <c r="Q29" s="1121"/>
      <c r="R29" s="1121"/>
      <c r="S29" s="1121"/>
      <c r="T29" s="1121"/>
      <c r="U29" s="1121"/>
      <c r="V29" s="1122"/>
      <c r="W29" s="1122"/>
      <c r="X29" s="1121"/>
      <c r="Y29" s="1121"/>
      <c r="Z29" s="1121"/>
      <c r="AA29" s="1121"/>
      <c r="AB29" s="1121"/>
      <c r="AC29" s="1121"/>
      <c r="AD29" s="1121"/>
      <c r="AE29" s="1123"/>
      <c r="AF29" s="1121"/>
      <c r="AG29" s="1123"/>
      <c r="AH29" s="1121"/>
      <c r="AI29" s="1121"/>
      <c r="AJ29" s="1121"/>
      <c r="AK29" s="1121"/>
      <c r="AL29" s="1121"/>
      <c r="AM29" s="1121"/>
      <c r="AN29" s="1121"/>
      <c r="AO29" s="1121"/>
      <c r="AP29" s="1121"/>
      <c r="AQ29" s="1121"/>
      <c r="AR29" s="1121"/>
      <c r="AS29" s="1121"/>
      <c r="AT29" s="1121"/>
      <c r="AU29" s="1121"/>
      <c r="AV29" s="1121"/>
      <c r="AW29" s="1121"/>
      <c r="AX29" s="1121"/>
      <c r="AY29" s="1124"/>
      <c r="AZ29" s="1121"/>
      <c r="BA29" s="1125"/>
      <c r="BB29" s="1121"/>
      <c r="BC29" s="1121"/>
      <c r="BD29" s="684"/>
      <c r="BE29" s="684"/>
      <c r="BF29" s="684"/>
      <c r="BG29" s="684"/>
      <c r="BH29" s="685"/>
    </row>
    <row r="30" spans="1:60" ht="148.5" customHeight="1" x14ac:dyDescent="0.2">
      <c r="A30" s="3159"/>
      <c r="B30" s="3158"/>
      <c r="C30" s="3159"/>
      <c r="D30" s="3158"/>
      <c r="E30" s="1144"/>
      <c r="F30" s="3179"/>
      <c r="G30" s="3191"/>
      <c r="H30" s="2415">
        <v>119</v>
      </c>
      <c r="I30" s="2712" t="s">
        <v>100</v>
      </c>
      <c r="J30" s="2712" t="s">
        <v>64</v>
      </c>
      <c r="K30" s="2415">
        <v>9</v>
      </c>
      <c r="L30" s="2415">
        <v>1</v>
      </c>
      <c r="M30" s="3167" t="s">
        <v>101</v>
      </c>
      <c r="N30" s="2415">
        <v>49</v>
      </c>
      <c r="O30" s="2712" t="s">
        <v>102</v>
      </c>
      <c r="P30" s="1132">
        <f>U30/Q30</f>
        <v>0.91459749448144811</v>
      </c>
      <c r="Q30" s="3186">
        <v>585462917</v>
      </c>
      <c r="R30" s="2712" t="s">
        <v>103</v>
      </c>
      <c r="S30" s="601" t="s">
        <v>104</v>
      </c>
      <c r="T30" s="601" t="s">
        <v>105</v>
      </c>
      <c r="U30" s="1136">
        <v>535462917</v>
      </c>
      <c r="V30" s="1135">
        <v>10140000</v>
      </c>
      <c r="W30" s="1135">
        <v>1690000</v>
      </c>
      <c r="X30" s="2696" t="s">
        <v>135</v>
      </c>
      <c r="Y30" s="860" t="s">
        <v>106</v>
      </c>
      <c r="Z30" s="2415">
        <v>0</v>
      </c>
      <c r="AA30" s="2415">
        <v>0</v>
      </c>
      <c r="AB30" s="3182">
        <v>17055.5</v>
      </c>
      <c r="AC30" s="2415">
        <v>0</v>
      </c>
      <c r="AD30" s="3182">
        <v>34111</v>
      </c>
      <c r="AE30" s="2415">
        <v>0</v>
      </c>
      <c r="AF30" s="3182">
        <v>34111</v>
      </c>
      <c r="AG30" s="2415">
        <v>0</v>
      </c>
      <c r="AH30" s="3182">
        <v>51166.5</v>
      </c>
      <c r="AI30" s="2415">
        <v>0</v>
      </c>
      <c r="AJ30" s="3182">
        <v>25583.25</v>
      </c>
      <c r="AK30" s="2415">
        <v>0</v>
      </c>
      <c r="AL30" s="3182">
        <v>4263.875</v>
      </c>
      <c r="AM30" s="2415">
        <v>0</v>
      </c>
      <c r="AN30" s="3182">
        <v>4263.875</v>
      </c>
      <c r="AO30" s="2415">
        <v>0</v>
      </c>
      <c r="AP30" s="2415">
        <v>0</v>
      </c>
      <c r="AQ30" s="2415">
        <v>0</v>
      </c>
      <c r="AR30" s="2415">
        <v>0</v>
      </c>
      <c r="AS30" s="2696">
        <v>0</v>
      </c>
      <c r="AT30" s="2415">
        <v>0</v>
      </c>
      <c r="AU30" s="2415">
        <v>0</v>
      </c>
      <c r="AV30" s="2415">
        <v>0</v>
      </c>
      <c r="AW30" s="2415">
        <v>0</v>
      </c>
      <c r="AX30" s="577">
        <v>1</v>
      </c>
      <c r="AY30" s="1135">
        <v>10140000</v>
      </c>
      <c r="AZ30" s="1136">
        <v>1690000</v>
      </c>
      <c r="BA30" s="710">
        <f>AZ30/AY30</f>
        <v>0.16666666666666666</v>
      </c>
      <c r="BB30" s="577" t="s">
        <v>136</v>
      </c>
      <c r="BC30" s="954" t="s">
        <v>107</v>
      </c>
      <c r="BD30" s="567">
        <v>42736</v>
      </c>
      <c r="BE30" s="567">
        <v>42760</v>
      </c>
      <c r="BF30" s="567">
        <v>43100</v>
      </c>
      <c r="BG30" s="567">
        <v>42910</v>
      </c>
      <c r="BH30" s="2712" t="s">
        <v>62</v>
      </c>
    </row>
    <row r="31" spans="1:60" ht="67.5" customHeight="1" x14ac:dyDescent="0.2">
      <c r="A31" s="3159"/>
      <c r="B31" s="3158"/>
      <c r="C31" s="3159"/>
      <c r="D31" s="3158"/>
      <c r="E31" s="941"/>
      <c r="F31" s="3159"/>
      <c r="G31" s="3158"/>
      <c r="H31" s="2417"/>
      <c r="I31" s="2713"/>
      <c r="J31" s="2713"/>
      <c r="K31" s="2417"/>
      <c r="L31" s="2417"/>
      <c r="M31" s="3169"/>
      <c r="N31" s="2417"/>
      <c r="O31" s="2713"/>
      <c r="P31" s="1132">
        <f>U31/Q30</f>
        <v>8.5402505518551913E-2</v>
      </c>
      <c r="Q31" s="3188"/>
      <c r="R31" s="2713"/>
      <c r="S31" s="601" t="s">
        <v>108</v>
      </c>
      <c r="T31" s="601" t="s">
        <v>109</v>
      </c>
      <c r="U31" s="1136">
        <v>50000000</v>
      </c>
      <c r="V31" s="1159">
        <v>0</v>
      </c>
      <c r="W31" s="1160">
        <v>0</v>
      </c>
      <c r="X31" s="2696"/>
      <c r="Y31" s="860" t="s">
        <v>106</v>
      </c>
      <c r="Z31" s="2417"/>
      <c r="AA31" s="2417"/>
      <c r="AB31" s="3184"/>
      <c r="AC31" s="2417"/>
      <c r="AD31" s="3184"/>
      <c r="AE31" s="2417"/>
      <c r="AF31" s="3184"/>
      <c r="AG31" s="2417"/>
      <c r="AH31" s="3184"/>
      <c r="AI31" s="2417"/>
      <c r="AJ31" s="3184"/>
      <c r="AK31" s="2417"/>
      <c r="AL31" s="3184"/>
      <c r="AM31" s="2417"/>
      <c r="AN31" s="3184"/>
      <c r="AO31" s="2417"/>
      <c r="AP31" s="2417"/>
      <c r="AQ31" s="2417"/>
      <c r="AR31" s="2417"/>
      <c r="AS31" s="2696"/>
      <c r="AT31" s="2417"/>
      <c r="AU31" s="2417"/>
      <c r="AV31" s="2417"/>
      <c r="AW31" s="2417"/>
      <c r="AX31" s="969"/>
      <c r="AY31" s="969"/>
      <c r="AZ31" s="969"/>
      <c r="BA31" s="710">
        <f>AY31/Q30</f>
        <v>0</v>
      </c>
      <c r="BB31" s="969"/>
      <c r="BC31" s="969"/>
      <c r="BD31" s="577"/>
      <c r="BE31" s="577"/>
      <c r="BF31" s="577"/>
      <c r="BG31" s="577"/>
      <c r="BH31" s="2713"/>
    </row>
    <row r="32" spans="1:60" ht="111" customHeight="1" x14ac:dyDescent="0.2">
      <c r="A32" s="3159"/>
      <c r="B32" s="3158"/>
      <c r="C32" s="3159"/>
      <c r="D32" s="3158"/>
      <c r="E32" s="1161"/>
      <c r="F32" s="3159"/>
      <c r="G32" s="3158"/>
      <c r="H32" s="577">
        <v>120</v>
      </c>
      <c r="I32" s="1126" t="s">
        <v>110</v>
      </c>
      <c r="J32" s="2712" t="s">
        <v>64</v>
      </c>
      <c r="K32" s="577">
        <v>3</v>
      </c>
      <c r="L32" s="577">
        <v>0</v>
      </c>
      <c r="M32" s="3167" t="s">
        <v>111</v>
      </c>
      <c r="N32" s="2415">
        <v>50</v>
      </c>
      <c r="O32" s="2712" t="s">
        <v>112</v>
      </c>
      <c r="P32" s="1132">
        <f>U32/Q32</f>
        <v>0.33333333333333331</v>
      </c>
      <c r="Q32" s="3186">
        <v>150000000</v>
      </c>
      <c r="R32" s="2712" t="s">
        <v>113</v>
      </c>
      <c r="S32" s="601" t="s">
        <v>114</v>
      </c>
      <c r="T32" s="601" t="s">
        <v>115</v>
      </c>
      <c r="U32" s="1136">
        <v>50000000</v>
      </c>
      <c r="V32" s="1135">
        <v>0</v>
      </c>
      <c r="W32" s="1160">
        <v>0</v>
      </c>
      <c r="X32" s="586">
        <v>88</v>
      </c>
      <c r="Y32" s="601" t="s">
        <v>121</v>
      </c>
      <c r="Z32" s="2415">
        <v>0</v>
      </c>
      <c r="AA32" s="2415">
        <v>0</v>
      </c>
      <c r="AB32" s="3189">
        <v>85276.2</v>
      </c>
      <c r="AC32" s="2415">
        <v>0</v>
      </c>
      <c r="AD32" s="3189">
        <v>85276.2</v>
      </c>
      <c r="AE32" s="2415">
        <v>0</v>
      </c>
      <c r="AF32" s="3189">
        <v>85276.2</v>
      </c>
      <c r="AG32" s="2415">
        <v>0</v>
      </c>
      <c r="AH32" s="3189">
        <v>14212.7</v>
      </c>
      <c r="AI32" s="2415">
        <v>0</v>
      </c>
      <c r="AJ32" s="3189">
        <v>14212.7</v>
      </c>
      <c r="AK32" s="2415">
        <v>0</v>
      </c>
      <c r="AL32" s="2415">
        <v>0</v>
      </c>
      <c r="AM32" s="2415">
        <v>0</v>
      </c>
      <c r="AN32" s="2415">
        <v>0</v>
      </c>
      <c r="AO32" s="2415">
        <v>0</v>
      </c>
      <c r="AP32" s="2415">
        <v>0</v>
      </c>
      <c r="AQ32" s="2415">
        <v>0</v>
      </c>
      <c r="AR32" s="2415">
        <v>0</v>
      </c>
      <c r="AS32" s="2415">
        <v>0</v>
      </c>
      <c r="AT32" s="2415">
        <v>0</v>
      </c>
      <c r="AU32" s="2415">
        <v>0</v>
      </c>
      <c r="AV32" s="2415">
        <v>0</v>
      </c>
      <c r="AW32" s="2415">
        <v>0</v>
      </c>
      <c r="AX32" s="969"/>
      <c r="AY32" s="969"/>
      <c r="AZ32" s="1135"/>
      <c r="BA32" s="710">
        <f>AY32/Q32</f>
        <v>0</v>
      </c>
      <c r="BB32" s="969"/>
      <c r="BC32" s="969"/>
      <c r="BD32" s="577"/>
      <c r="BE32" s="577"/>
      <c r="BF32" s="577"/>
      <c r="BG32" s="577"/>
      <c r="BH32" s="2712" t="s">
        <v>62</v>
      </c>
    </row>
    <row r="33" spans="1:60" ht="96" customHeight="1" x14ac:dyDescent="0.2">
      <c r="A33" s="3180"/>
      <c r="B33" s="3195"/>
      <c r="C33" s="3180"/>
      <c r="D33" s="3195"/>
      <c r="E33" s="1161"/>
      <c r="F33" s="3180"/>
      <c r="G33" s="3195"/>
      <c r="H33" s="577">
        <v>121</v>
      </c>
      <c r="I33" s="1126" t="s">
        <v>116</v>
      </c>
      <c r="J33" s="2713"/>
      <c r="K33" s="577">
        <v>4</v>
      </c>
      <c r="L33" s="577">
        <v>1</v>
      </c>
      <c r="M33" s="3169"/>
      <c r="N33" s="2417"/>
      <c r="O33" s="2713"/>
      <c r="P33" s="1132">
        <f>U33/Q32</f>
        <v>0.66666666666666663</v>
      </c>
      <c r="Q33" s="3188"/>
      <c r="R33" s="2713"/>
      <c r="S33" s="601" t="s">
        <v>117</v>
      </c>
      <c r="T33" s="601" t="s">
        <v>118</v>
      </c>
      <c r="U33" s="1136">
        <v>100000000</v>
      </c>
      <c r="V33" s="1135">
        <v>15840000</v>
      </c>
      <c r="W33" s="1135">
        <v>2640000</v>
      </c>
      <c r="X33" s="577">
        <v>20</v>
      </c>
      <c r="Y33" s="601" t="s">
        <v>121</v>
      </c>
      <c r="Z33" s="2417"/>
      <c r="AA33" s="2417"/>
      <c r="AB33" s="3190"/>
      <c r="AC33" s="2417"/>
      <c r="AD33" s="3190"/>
      <c r="AE33" s="2417"/>
      <c r="AF33" s="3190"/>
      <c r="AG33" s="2417"/>
      <c r="AH33" s="3190"/>
      <c r="AI33" s="2417"/>
      <c r="AJ33" s="3190"/>
      <c r="AK33" s="2417"/>
      <c r="AL33" s="2417"/>
      <c r="AM33" s="2417"/>
      <c r="AN33" s="2417"/>
      <c r="AO33" s="2417"/>
      <c r="AP33" s="2417"/>
      <c r="AQ33" s="2417"/>
      <c r="AR33" s="2417"/>
      <c r="AS33" s="2417"/>
      <c r="AT33" s="2417"/>
      <c r="AU33" s="2417"/>
      <c r="AV33" s="2417"/>
      <c r="AW33" s="2417"/>
      <c r="AX33" s="577">
        <v>1</v>
      </c>
      <c r="AY33" s="1135">
        <v>15840000</v>
      </c>
      <c r="AZ33" s="1135">
        <v>2640000</v>
      </c>
      <c r="BA33" s="710">
        <f>AZ33/AY33</f>
        <v>0.16666666666666666</v>
      </c>
      <c r="BB33" s="577" t="s">
        <v>70</v>
      </c>
      <c r="BC33" s="954" t="s">
        <v>107</v>
      </c>
      <c r="BD33" s="567">
        <v>42736</v>
      </c>
      <c r="BE33" s="567">
        <v>42779</v>
      </c>
      <c r="BF33" s="567">
        <v>43100</v>
      </c>
      <c r="BG33" s="567">
        <v>42959</v>
      </c>
      <c r="BH33" s="2713"/>
    </row>
    <row r="34" spans="1:60" s="742" customFormat="1" ht="20.25" customHeight="1" x14ac:dyDescent="0.25">
      <c r="A34" s="1162"/>
      <c r="B34" s="733"/>
      <c r="C34" s="733"/>
      <c r="D34" s="733"/>
      <c r="E34" s="733"/>
      <c r="F34" s="733"/>
      <c r="G34" s="733"/>
      <c r="H34" s="733"/>
      <c r="I34" s="733"/>
      <c r="J34" s="733"/>
      <c r="K34" s="733"/>
      <c r="L34" s="733"/>
      <c r="M34" s="733"/>
      <c r="N34" s="733"/>
      <c r="O34" s="3148" t="s">
        <v>140</v>
      </c>
      <c r="P34" s="3149"/>
      <c r="Q34" s="1163">
        <f>Q13+Q14+Q19+Q24+Q30+Q32</f>
        <v>4816161827</v>
      </c>
      <c r="R34" s="732"/>
      <c r="S34" s="733"/>
      <c r="T34" s="737"/>
      <c r="U34" s="1163">
        <f>U13+U14+U15+U16+U19+U24+U25+U26+U30+U31+U32+U33+U20+U21</f>
        <v>4816161827</v>
      </c>
      <c r="V34" s="1164">
        <f>V13+V14+V15+V16+V19+V24+V25+V31+V26+V30+V32+V33+V20+V21</f>
        <v>271860000</v>
      </c>
      <c r="W34" s="1164">
        <f>W13+W14+W15+W16+W19+W24+W25+W31+W26+W30+W32+W33+W20+W21</f>
        <v>43830000</v>
      </c>
      <c r="X34" s="732"/>
      <c r="Y34" s="733"/>
      <c r="Z34" s="733"/>
      <c r="AA34" s="733"/>
      <c r="AB34" s="733"/>
      <c r="AC34" s="733"/>
      <c r="AD34" s="733"/>
      <c r="AE34" s="733"/>
      <c r="AF34" s="733"/>
      <c r="AG34" s="733"/>
      <c r="AH34" s="733"/>
      <c r="AI34" s="733"/>
      <c r="AJ34" s="733"/>
      <c r="AK34" s="733"/>
      <c r="AL34" s="733"/>
      <c r="AM34" s="733"/>
      <c r="AN34" s="733"/>
      <c r="AO34" s="733"/>
      <c r="AP34" s="733"/>
      <c r="AQ34" s="733"/>
      <c r="AR34" s="733"/>
      <c r="AS34" s="733"/>
      <c r="AT34" s="733"/>
      <c r="AU34" s="733"/>
      <c r="AV34" s="733"/>
      <c r="AW34" s="733"/>
      <c r="AX34" s="737"/>
      <c r="AY34" s="1163">
        <f>AY14+AY15+AY25+AY30+AY33+AY13+AY16+AY19+AY20+AY21+AY24+AY26+AY31+AY32</f>
        <v>271860000</v>
      </c>
      <c r="AZ34" s="1163">
        <f>AZ14+AZ15+AZ25+AZ30+AZ33+AZ13+AZ16+AZ19+AZ20+AZ21+AZ24+AZ26+AZ31+AZ32</f>
        <v>43830000</v>
      </c>
      <c r="BA34" s="1165">
        <f>AZ34/AY34</f>
        <v>0.16122268814831164</v>
      </c>
      <c r="BB34" s="733"/>
      <c r="BC34" s="733"/>
      <c r="BD34" s="733"/>
      <c r="BE34" s="733"/>
      <c r="BF34" s="733"/>
      <c r="BG34" s="733"/>
      <c r="BH34" s="737"/>
    </row>
    <row r="35" spans="1:60" x14ac:dyDescent="0.2">
      <c r="U35" s="38"/>
      <c r="BD35" s="38"/>
      <c r="BE35" s="38"/>
      <c r="BF35" s="38"/>
      <c r="BG35" s="38"/>
    </row>
    <row r="36" spans="1:60" x14ac:dyDescent="0.2">
      <c r="U36" s="38"/>
      <c r="BD36" s="38"/>
      <c r="BE36" s="38"/>
      <c r="BF36" s="38"/>
      <c r="BG36" s="38"/>
    </row>
    <row r="37" spans="1:60" x14ac:dyDescent="0.2">
      <c r="U37" s="38"/>
      <c r="BD37" s="38"/>
      <c r="BE37" s="38"/>
      <c r="BF37" s="38"/>
      <c r="BG37" s="38"/>
    </row>
    <row r="38" spans="1:60" x14ac:dyDescent="0.2">
      <c r="U38" s="38"/>
      <c r="BD38" s="38"/>
      <c r="BE38" s="38"/>
      <c r="BF38" s="38"/>
      <c r="BG38" s="38"/>
    </row>
    <row r="39" spans="1:60" x14ac:dyDescent="0.2">
      <c r="U39" s="38"/>
      <c r="BD39" s="38"/>
      <c r="BE39" s="38"/>
      <c r="BF39" s="38"/>
      <c r="BG39" s="38"/>
    </row>
    <row r="40" spans="1:60" x14ac:dyDescent="0.2">
      <c r="U40" s="38"/>
      <c r="BD40" s="38"/>
      <c r="BE40" s="38"/>
      <c r="BF40" s="38"/>
      <c r="BG40" s="38"/>
    </row>
    <row r="41" spans="1:60" x14ac:dyDescent="0.2">
      <c r="U41" s="38"/>
      <c r="BD41" s="38"/>
      <c r="BE41" s="38"/>
      <c r="BF41" s="38"/>
      <c r="BG41" s="38"/>
    </row>
    <row r="42" spans="1:60" x14ac:dyDescent="0.2">
      <c r="C42" s="38"/>
      <c r="U42" s="38"/>
      <c r="BD42" s="38"/>
      <c r="BE42" s="38"/>
      <c r="BF42" s="38"/>
      <c r="BG42" s="38"/>
    </row>
    <row r="43" spans="1:60" x14ac:dyDescent="0.2">
      <c r="C43" s="38"/>
      <c r="U43" s="38"/>
      <c r="BD43" s="38"/>
      <c r="BE43" s="38"/>
      <c r="BF43" s="38"/>
      <c r="BG43" s="38"/>
    </row>
    <row r="44" spans="1:60" ht="15" x14ac:dyDescent="0.25">
      <c r="C44" s="2299" t="s">
        <v>2110</v>
      </c>
      <c r="D44" s="687"/>
      <c r="E44" s="687"/>
      <c r="U44" s="38"/>
      <c r="BD44" s="38"/>
      <c r="BE44" s="38"/>
      <c r="BF44" s="38"/>
      <c r="BG44" s="38"/>
    </row>
    <row r="45" spans="1:60" x14ac:dyDescent="0.2">
      <c r="C45" s="38" t="s">
        <v>2111</v>
      </c>
      <c r="U45" s="38"/>
      <c r="BD45" s="38"/>
      <c r="BE45" s="38"/>
      <c r="BF45" s="38"/>
      <c r="BG45" s="38"/>
    </row>
    <row r="46" spans="1:60" x14ac:dyDescent="0.2">
      <c r="C46" s="38"/>
      <c r="U46" s="38"/>
      <c r="BD46" s="38"/>
      <c r="BE46" s="38"/>
      <c r="BF46" s="38"/>
      <c r="BG46" s="38"/>
    </row>
    <row r="47" spans="1:60" x14ac:dyDescent="0.2">
      <c r="U47" s="38"/>
      <c r="BD47" s="38"/>
      <c r="BE47" s="38"/>
      <c r="BF47" s="38"/>
      <c r="BG47" s="38"/>
    </row>
    <row r="48" spans="1:60" x14ac:dyDescent="0.2">
      <c r="U48" s="38"/>
      <c r="BD48" s="38"/>
      <c r="BE48" s="38"/>
      <c r="BF48" s="38"/>
      <c r="BG48" s="38"/>
    </row>
    <row r="49" spans="18:59" x14ac:dyDescent="0.2">
      <c r="U49" s="38"/>
      <c r="BD49" s="38"/>
      <c r="BE49" s="38"/>
      <c r="BF49" s="38"/>
      <c r="BG49" s="38"/>
    </row>
    <row r="50" spans="18:59" x14ac:dyDescent="0.2">
      <c r="U50" s="38"/>
      <c r="BD50" s="38"/>
      <c r="BE50" s="38"/>
      <c r="BF50" s="38"/>
      <c r="BG50" s="38"/>
    </row>
    <row r="51" spans="18:59" x14ac:dyDescent="0.2">
      <c r="U51" s="38"/>
      <c r="BD51" s="38"/>
      <c r="BE51" s="38"/>
      <c r="BF51" s="38"/>
      <c r="BG51" s="38"/>
    </row>
    <row r="52" spans="18:59" x14ac:dyDescent="0.2">
      <c r="U52" s="38"/>
      <c r="BD52" s="38"/>
      <c r="BE52" s="38"/>
      <c r="BF52" s="38"/>
      <c r="BG52" s="38"/>
    </row>
    <row r="53" spans="18:59" x14ac:dyDescent="0.2">
      <c r="R53" s="1166"/>
      <c r="U53" s="38"/>
      <c r="BD53" s="38"/>
      <c r="BE53" s="38"/>
      <c r="BF53" s="38"/>
      <c r="BG53" s="38"/>
    </row>
    <row r="54" spans="18:59" x14ac:dyDescent="0.2">
      <c r="U54" s="38"/>
      <c r="BD54" s="38"/>
      <c r="BE54" s="38"/>
      <c r="BF54" s="38"/>
      <c r="BG54" s="38"/>
    </row>
    <row r="55" spans="18:59" x14ac:dyDescent="0.2">
      <c r="U55" s="38"/>
      <c r="BD55" s="38"/>
      <c r="BE55" s="38"/>
      <c r="BF55" s="38"/>
      <c r="BG55" s="38"/>
    </row>
  </sheetData>
  <sheetProtection password="CBEB" sheet="1" objects="1" scenarios="1"/>
  <mergeCells count="254">
    <mergeCell ref="P19:P21"/>
    <mergeCell ref="A5:L6"/>
    <mergeCell ref="M5:Y6"/>
    <mergeCell ref="Z5:AW6"/>
    <mergeCell ref="AX5:BH6"/>
    <mergeCell ref="A1:BF2"/>
    <mergeCell ref="A3:BF3"/>
    <mergeCell ref="A4:BF4"/>
    <mergeCell ref="AW32:AW33"/>
    <mergeCell ref="A32:A33"/>
    <mergeCell ref="B32:B33"/>
    <mergeCell ref="C32:C33"/>
    <mergeCell ref="D32:D33"/>
    <mergeCell ref="F32:F33"/>
    <mergeCell ref="G32:G33"/>
    <mergeCell ref="AP32:AP33"/>
    <mergeCell ref="AQ32:AQ33"/>
    <mergeCell ref="AR32:AR33"/>
    <mergeCell ref="AS32:AS33"/>
    <mergeCell ref="AT32:AT33"/>
    <mergeCell ref="AK32:AK33"/>
    <mergeCell ref="AL32:AL33"/>
    <mergeCell ref="AM32:AM33"/>
    <mergeCell ref="AN32:AN33"/>
    <mergeCell ref="AW30:AW31"/>
    <mergeCell ref="J32:J33"/>
    <mergeCell ref="M32:M33"/>
    <mergeCell ref="N32:N33"/>
    <mergeCell ref="O32:O33"/>
    <mergeCell ref="Q32:Q33"/>
    <mergeCell ref="R32:R33"/>
    <mergeCell ref="AB32:AB33"/>
    <mergeCell ref="AC32:AC33"/>
    <mergeCell ref="Z32:Z33"/>
    <mergeCell ref="AA32:AA33"/>
    <mergeCell ref="AD32:AD33"/>
    <mergeCell ref="AF32:AF33"/>
    <mergeCell ref="AO30:AO31"/>
    <mergeCell ref="AP30:AP31"/>
    <mergeCell ref="AQ30:AQ31"/>
    <mergeCell ref="AR30:AR31"/>
    <mergeCell ref="AT30:AT31"/>
    <mergeCell ref="AS30:AS31"/>
    <mergeCell ref="AE30:AE31"/>
    <mergeCell ref="AG30:AG31"/>
    <mergeCell ref="AU32:AU33"/>
    <mergeCell ref="AI30:AI31"/>
    <mergeCell ref="AK30:AK31"/>
    <mergeCell ref="AV32:AV33"/>
    <mergeCell ref="AM30:AM31"/>
    <mergeCell ref="AF30:AF31"/>
    <mergeCell ref="AH30:AH31"/>
    <mergeCell ref="AJ30:AJ31"/>
    <mergeCell ref="AL30:AL31"/>
    <mergeCell ref="AN30:AN31"/>
    <mergeCell ref="AU30:AU31"/>
    <mergeCell ref="AV30:AV31"/>
    <mergeCell ref="AI32:AI33"/>
    <mergeCell ref="AO32:AO33"/>
    <mergeCell ref="AE32:AE33"/>
    <mergeCell ref="AH32:AH33"/>
    <mergeCell ref="AJ32:AJ33"/>
    <mergeCell ref="AG32:AG33"/>
    <mergeCell ref="B30:B31"/>
    <mergeCell ref="A30:A31"/>
    <mergeCell ref="AB30:AB31"/>
    <mergeCell ref="AD30:AD31"/>
    <mergeCell ref="Z30:Z31"/>
    <mergeCell ref="AA30:AA31"/>
    <mergeCell ref="AC30:AC31"/>
    <mergeCell ref="X30:X31"/>
    <mergeCell ref="Q30:Q31"/>
    <mergeCell ref="R30:R31"/>
    <mergeCell ref="O30:O31"/>
    <mergeCell ref="M30:M31"/>
    <mergeCell ref="N30:N31"/>
    <mergeCell ref="K30:K31"/>
    <mergeCell ref="L30:L31"/>
    <mergeCell ref="J30:J31"/>
    <mergeCell ref="I30:I31"/>
    <mergeCell ref="H30:H31"/>
    <mergeCell ref="G30:G31"/>
    <mergeCell ref="F30:F31"/>
    <mergeCell ref="D30:D31"/>
    <mergeCell ref="C30:C31"/>
    <mergeCell ref="AW24:AW26"/>
    <mergeCell ref="A24:A26"/>
    <mergeCell ref="AO24:AO26"/>
    <mergeCell ref="AP24:AP26"/>
    <mergeCell ref="AQ24:AQ26"/>
    <mergeCell ref="AR24:AR26"/>
    <mergeCell ref="AS24:AS26"/>
    <mergeCell ref="AK24:AK26"/>
    <mergeCell ref="AL24:AL26"/>
    <mergeCell ref="AM24:AM26"/>
    <mergeCell ref="AN24:AN26"/>
    <mergeCell ref="AF24:AF26"/>
    <mergeCell ref="AH24:AH26"/>
    <mergeCell ref="AJ24:AJ26"/>
    <mergeCell ref="AA24:AA26"/>
    <mergeCell ref="AC24:AC26"/>
    <mergeCell ref="AE24:AE26"/>
    <mergeCell ref="AG24:AG26"/>
    <mergeCell ref="AI24:AI26"/>
    <mergeCell ref="X24:X26"/>
    <mergeCell ref="Y24:Y26"/>
    <mergeCell ref="Z24:Z26"/>
    <mergeCell ref="F24:F26"/>
    <mergeCell ref="D24:D26"/>
    <mergeCell ref="C24:C26"/>
    <mergeCell ref="B24:B26"/>
    <mergeCell ref="Q24:Q26"/>
    <mergeCell ref="N24:N26"/>
    <mergeCell ref="AT24:AT26"/>
    <mergeCell ref="H24:H26"/>
    <mergeCell ref="G24:G26"/>
    <mergeCell ref="AU24:AU26"/>
    <mergeCell ref="AV24:AV26"/>
    <mergeCell ref="R24:R26"/>
    <mergeCell ref="O24:O26"/>
    <mergeCell ref="M24:M26"/>
    <mergeCell ref="K24:K26"/>
    <mergeCell ref="L24:L26"/>
    <mergeCell ref="J24:J26"/>
    <mergeCell ref="I24:I26"/>
    <mergeCell ref="AB24:AB26"/>
    <mergeCell ref="AD24:AD26"/>
    <mergeCell ref="AK19:AK21"/>
    <mergeCell ref="AL19:AL21"/>
    <mergeCell ref="AW19:AW21"/>
    <mergeCell ref="AV19:AV21"/>
    <mergeCell ref="AU19:AU21"/>
    <mergeCell ref="AT19:AT21"/>
    <mergeCell ref="AS19:AS21"/>
    <mergeCell ref="AR19:AR21"/>
    <mergeCell ref="AQ19:AQ21"/>
    <mergeCell ref="AP19:AP21"/>
    <mergeCell ref="AO19:AO21"/>
    <mergeCell ref="AN19:AN21"/>
    <mergeCell ref="AM19:AM21"/>
    <mergeCell ref="AF19:AF21"/>
    <mergeCell ref="AG19:AG21"/>
    <mergeCell ref="AH19:AH21"/>
    <mergeCell ref="AI19:AI21"/>
    <mergeCell ref="AJ19:AJ21"/>
    <mergeCell ref="AA19:AA21"/>
    <mergeCell ref="AB19:AB21"/>
    <mergeCell ref="AC19:AC21"/>
    <mergeCell ref="AD19:AD21"/>
    <mergeCell ref="AE19:AE21"/>
    <mergeCell ref="Z14:Z16"/>
    <mergeCell ref="AA14:AA16"/>
    <mergeCell ref="AB14:AB16"/>
    <mergeCell ref="AC14:AC16"/>
    <mergeCell ref="N14:N16"/>
    <mergeCell ref="A19:A21"/>
    <mergeCell ref="X19:X21"/>
    <mergeCell ref="Y19:Y21"/>
    <mergeCell ref="Z19:Z21"/>
    <mergeCell ref="R19:R21"/>
    <mergeCell ref="Q19:Q21"/>
    <mergeCell ref="O19:O21"/>
    <mergeCell ref="N19:N21"/>
    <mergeCell ref="M19:M21"/>
    <mergeCell ref="L19:L21"/>
    <mergeCell ref="K19:K21"/>
    <mergeCell ref="J19:J21"/>
    <mergeCell ref="I19:I21"/>
    <mergeCell ref="H19:H21"/>
    <mergeCell ref="G19:G21"/>
    <mergeCell ref="F19:F21"/>
    <mergeCell ref="D19:D21"/>
    <mergeCell ref="C19:C21"/>
    <mergeCell ref="B19:B21"/>
    <mergeCell ref="AP14:AP16"/>
    <mergeCell ref="AQ14:AQ16"/>
    <mergeCell ref="AR14:AR16"/>
    <mergeCell ref="AK14:AK16"/>
    <mergeCell ref="AL14:AL16"/>
    <mergeCell ref="AM14:AM16"/>
    <mergeCell ref="AN14:AN16"/>
    <mergeCell ref="AO14:AO16"/>
    <mergeCell ref="AJ14:AJ16"/>
    <mergeCell ref="BC8:BC9"/>
    <mergeCell ref="AV8:AW8"/>
    <mergeCell ref="AX8:AX9"/>
    <mergeCell ref="AY8:AY9"/>
    <mergeCell ref="AZ8:AZ9"/>
    <mergeCell ref="BA8:BA9"/>
    <mergeCell ref="BB8:BB9"/>
    <mergeCell ref="U7:W8"/>
    <mergeCell ref="X7:X9"/>
    <mergeCell ref="Y7:Y9"/>
    <mergeCell ref="AT8:AU8"/>
    <mergeCell ref="Z7:AK7"/>
    <mergeCell ref="AL7:AW7"/>
    <mergeCell ref="AX7:BC7"/>
    <mergeCell ref="AD14:AD16"/>
    <mergeCell ref="AE14:AE16"/>
    <mergeCell ref="AF14:AF16"/>
    <mergeCell ref="AG14:AG16"/>
    <mergeCell ref="AH14:AH16"/>
    <mergeCell ref="AI14:AI16"/>
    <mergeCell ref="R14:R16"/>
    <mergeCell ref="Q14:Q16"/>
    <mergeCell ref="A7:A9"/>
    <mergeCell ref="B7:B9"/>
    <mergeCell ref="O7:O9"/>
    <mergeCell ref="P7:P9"/>
    <mergeCell ref="Q7:Q9"/>
    <mergeCell ref="R7:R9"/>
    <mergeCell ref="S7:S9"/>
    <mergeCell ref="T7:T9"/>
    <mergeCell ref="N7:N9"/>
    <mergeCell ref="C7:C9"/>
    <mergeCell ref="A13:A16"/>
    <mergeCell ref="B13:B16"/>
    <mergeCell ref="C13:C16"/>
    <mergeCell ref="D13:D16"/>
    <mergeCell ref="F13:F16"/>
    <mergeCell ref="G13:G16"/>
    <mergeCell ref="D7:E9"/>
    <mergeCell ref="F7:F9"/>
    <mergeCell ref="G7:G9"/>
    <mergeCell ref="H7:H9"/>
    <mergeCell ref="I7:I9"/>
    <mergeCell ref="J7:J9"/>
    <mergeCell ref="K7:L8"/>
    <mergeCell ref="M7:M9"/>
    <mergeCell ref="AN8:AO8"/>
    <mergeCell ref="O34:P34"/>
    <mergeCell ref="BH13:BH16"/>
    <mergeCell ref="BH19:BH21"/>
    <mergeCell ref="BH24:BH26"/>
    <mergeCell ref="BH30:BH31"/>
    <mergeCell ref="BH32:BH33"/>
    <mergeCell ref="BD7:BE8"/>
    <mergeCell ref="BF7:BG8"/>
    <mergeCell ref="BH7:BH9"/>
    <mergeCell ref="Z8:AA8"/>
    <mergeCell ref="AB8:AC8"/>
    <mergeCell ref="AD8:AE8"/>
    <mergeCell ref="AF8:AG8"/>
    <mergeCell ref="AH8:AI8"/>
    <mergeCell ref="AJ8:AK8"/>
    <mergeCell ref="AL8:AM8"/>
    <mergeCell ref="AU14:AU16"/>
    <mergeCell ref="AV14:AV16"/>
    <mergeCell ref="AW14:AW16"/>
    <mergeCell ref="AS14:AS16"/>
    <mergeCell ref="AT14:AT16"/>
    <mergeCell ref="AP8:AQ8"/>
    <mergeCell ref="AR8:AS8"/>
    <mergeCell ref="O14:O16"/>
  </mergeCells>
  <pageMargins left="0.7" right="0.7" top="0.75" bottom="0.75" header="0.3" footer="0.3"/>
  <pageSetup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GV142"/>
  <sheetViews>
    <sheetView showGridLines="0" topLeftCell="AD1" zoomScale="60" zoomScaleNormal="60" workbookViewId="0">
      <pane ySplit="1" topLeftCell="A2" activePane="bottomLeft" state="frozen"/>
      <selection pane="bottomLeft" activeCell="BI4" sqref="BI4"/>
    </sheetView>
  </sheetViews>
  <sheetFormatPr baseColWidth="10" defaultColWidth="11.42578125" defaultRowHeight="17.25" customHeight="1" x14ac:dyDescent="0.3"/>
  <cols>
    <col min="1" max="1" width="10.28515625" style="1182" customWidth="1"/>
    <col min="2" max="2" width="4" style="1182" customWidth="1"/>
    <col min="3" max="3" width="11.5703125" style="1182" customWidth="1"/>
    <col min="4" max="4" width="11" style="1182" customWidth="1"/>
    <col min="5" max="5" width="7.42578125" style="1182" customWidth="1"/>
    <col min="6" max="6" width="7.85546875" style="1182" customWidth="1"/>
    <col min="7" max="7" width="10.85546875" style="1182" customWidth="1"/>
    <col min="8" max="8" width="8.5703125" style="1182" customWidth="1"/>
    <col min="9" max="9" width="11.140625" style="1182" customWidth="1"/>
    <col min="10" max="10" width="10.42578125" style="1182" customWidth="1"/>
    <col min="11" max="11" width="33.7109375" style="1249" customWidth="1"/>
    <col min="12" max="12" width="15.5703125" style="1187" customWidth="1"/>
    <col min="13" max="14" width="16.5703125" style="1187" customWidth="1"/>
    <col min="15" max="15" width="34.140625" style="1187" customWidth="1"/>
    <col min="16" max="16" width="18.85546875" style="1187" customWidth="1"/>
    <col min="17" max="17" width="27.140625" style="1249" customWidth="1"/>
    <col min="18" max="18" width="10.85546875" style="1250" customWidth="1"/>
    <col min="19" max="19" width="19.7109375" style="1197" customWidth="1"/>
    <col min="20" max="20" width="26.7109375" style="1249" customWidth="1"/>
    <col min="21" max="21" width="40.140625" style="1249" customWidth="1"/>
    <col min="22" max="22" width="43" style="1252" customWidth="1"/>
    <col min="23" max="23" width="22.42578125" style="1253" customWidth="1"/>
    <col min="24" max="24" width="25.7109375" style="1253" customWidth="1"/>
    <col min="25" max="25" width="24.7109375" style="1253" customWidth="1"/>
    <col min="26" max="26" width="15.7109375" style="1252" customWidth="1"/>
    <col min="27" max="27" width="28" style="1182" customWidth="1"/>
    <col min="28" max="28" width="9.85546875" style="1182" customWidth="1"/>
    <col min="29" max="29" width="9.5703125" style="1182" customWidth="1"/>
    <col min="30" max="31" width="9.140625" style="1182" customWidth="1"/>
    <col min="32" max="33" width="8.85546875" style="1182" customWidth="1"/>
    <col min="34" max="35" width="8.5703125" style="1182" customWidth="1"/>
    <col min="36" max="39" width="9.28515625" style="1182" customWidth="1"/>
    <col min="40" max="40" width="8.42578125" style="1182" customWidth="1"/>
    <col min="41" max="42" width="8.85546875" style="1182" customWidth="1"/>
    <col min="43" max="43" width="8.28515625" style="1182" customWidth="1"/>
    <col min="44" max="47" width="7.28515625" style="1182" customWidth="1"/>
    <col min="48" max="48" width="7.85546875" style="1182" customWidth="1"/>
    <col min="49" max="50" width="7.7109375" style="1182" customWidth="1"/>
    <col min="51" max="51" width="8.5703125" style="1198" customWidth="1"/>
    <col min="52" max="55" width="19" style="1198" customWidth="1"/>
    <col min="56" max="56" width="26.5703125" style="1198" customWidth="1"/>
    <col min="57" max="57" width="19" style="1254" customWidth="1"/>
    <col min="58" max="58" width="15.140625" style="1255" customWidth="1"/>
    <col min="59" max="59" width="12.28515625" style="1255" customWidth="1"/>
    <col min="60" max="60" width="12" style="1256" customWidth="1"/>
    <col min="61" max="61" width="17.42578125" style="1256" customWidth="1"/>
    <col min="62" max="62" width="25.5703125" style="1257" customWidth="1"/>
    <col min="63" max="16384" width="11.42578125" style="1182"/>
  </cols>
  <sheetData>
    <row r="1" spans="1:62" s="1169" customFormat="1" ht="17.25" customHeight="1" x14ac:dyDescent="0.25">
      <c r="A1" s="2494" t="s">
        <v>137</v>
      </c>
      <c r="B1" s="2494"/>
      <c r="C1" s="2494"/>
      <c r="D1" s="2494"/>
      <c r="E1" s="2494"/>
      <c r="F1" s="2494"/>
      <c r="G1" s="2494"/>
      <c r="H1" s="2494"/>
      <c r="I1" s="2494"/>
      <c r="J1" s="2494"/>
      <c r="K1" s="2494"/>
      <c r="L1" s="2494"/>
      <c r="M1" s="2494"/>
      <c r="N1" s="2494"/>
      <c r="O1" s="2494"/>
      <c r="P1" s="2494"/>
      <c r="Q1" s="2494"/>
      <c r="R1" s="2494"/>
      <c r="S1" s="2494"/>
      <c r="T1" s="2494"/>
      <c r="U1" s="2494"/>
      <c r="V1" s="2494"/>
      <c r="W1" s="2494"/>
      <c r="X1" s="2494"/>
      <c r="Y1" s="2494"/>
      <c r="Z1" s="2494"/>
      <c r="AA1" s="2494"/>
      <c r="AB1" s="2494"/>
      <c r="AC1" s="2494"/>
      <c r="AD1" s="2494"/>
      <c r="AE1" s="2494"/>
      <c r="AF1" s="2494"/>
      <c r="AG1" s="2494"/>
      <c r="AH1" s="2494"/>
      <c r="AI1" s="2494"/>
      <c r="AJ1" s="2494"/>
      <c r="AK1" s="2494"/>
      <c r="AL1" s="2494"/>
      <c r="AM1" s="2494"/>
      <c r="AN1" s="2494"/>
      <c r="AO1" s="2494"/>
      <c r="AP1" s="2494"/>
      <c r="AQ1" s="2494"/>
      <c r="AR1" s="2494"/>
      <c r="AS1" s="2494"/>
      <c r="AT1" s="2494"/>
      <c r="AU1" s="2494"/>
      <c r="AV1" s="2494"/>
      <c r="AW1" s="2494"/>
      <c r="AX1" s="2494"/>
      <c r="AY1" s="2494"/>
      <c r="AZ1" s="2494"/>
      <c r="BA1" s="2494"/>
      <c r="BB1" s="2494"/>
      <c r="BC1" s="2494"/>
      <c r="BD1" s="2494"/>
      <c r="BE1" s="2494"/>
      <c r="BF1" s="2494"/>
      <c r="BG1" s="2494"/>
      <c r="BH1" s="2495"/>
      <c r="BI1" s="1167" t="s">
        <v>0</v>
      </c>
      <c r="BJ1" s="1168" t="s">
        <v>581</v>
      </c>
    </row>
    <row r="2" spans="1:62" s="1169" customFormat="1" ht="17.25" customHeight="1" x14ac:dyDescent="0.25">
      <c r="A2" s="2494"/>
      <c r="B2" s="2494"/>
      <c r="C2" s="2494"/>
      <c r="D2" s="2494"/>
      <c r="E2" s="2494"/>
      <c r="F2" s="2494"/>
      <c r="G2" s="2494"/>
      <c r="H2" s="2494"/>
      <c r="I2" s="2494"/>
      <c r="J2" s="2494"/>
      <c r="K2" s="2494"/>
      <c r="L2" s="2494"/>
      <c r="M2" s="2494"/>
      <c r="N2" s="2494"/>
      <c r="O2" s="2494"/>
      <c r="P2" s="2494"/>
      <c r="Q2" s="2494"/>
      <c r="R2" s="2494"/>
      <c r="S2" s="2494"/>
      <c r="T2" s="2494"/>
      <c r="U2" s="2494"/>
      <c r="V2" s="2494"/>
      <c r="W2" s="2494"/>
      <c r="X2" s="2494"/>
      <c r="Y2" s="2494"/>
      <c r="Z2" s="2494"/>
      <c r="AA2" s="2494"/>
      <c r="AB2" s="2494"/>
      <c r="AC2" s="2494"/>
      <c r="AD2" s="2494"/>
      <c r="AE2" s="2494"/>
      <c r="AF2" s="2494"/>
      <c r="AG2" s="2494"/>
      <c r="AH2" s="2494"/>
      <c r="AI2" s="2494"/>
      <c r="AJ2" s="2494"/>
      <c r="AK2" s="2494"/>
      <c r="AL2" s="2494"/>
      <c r="AM2" s="2494"/>
      <c r="AN2" s="2494"/>
      <c r="AO2" s="2494"/>
      <c r="AP2" s="2494"/>
      <c r="AQ2" s="2494"/>
      <c r="AR2" s="2494"/>
      <c r="AS2" s="2494"/>
      <c r="AT2" s="2494"/>
      <c r="AU2" s="2494"/>
      <c r="AV2" s="2494"/>
      <c r="AW2" s="2494"/>
      <c r="AX2" s="2494"/>
      <c r="AY2" s="2494"/>
      <c r="AZ2" s="2494"/>
      <c r="BA2" s="2494"/>
      <c r="BB2" s="2494"/>
      <c r="BC2" s="2494"/>
      <c r="BD2" s="2494"/>
      <c r="BE2" s="2494"/>
      <c r="BF2" s="2494"/>
      <c r="BG2" s="2494"/>
      <c r="BH2" s="2495"/>
      <c r="BI2" s="1168" t="s">
        <v>2</v>
      </c>
      <c r="BJ2" s="1168" t="s">
        <v>475</v>
      </c>
    </row>
    <row r="3" spans="1:62" s="1169" customFormat="1" ht="17.25" customHeight="1" x14ac:dyDescent="0.25">
      <c r="A3" s="2494" t="s">
        <v>582</v>
      </c>
      <c r="B3" s="2494"/>
      <c r="C3" s="2494"/>
      <c r="D3" s="2494"/>
      <c r="E3" s="2494"/>
      <c r="F3" s="2494"/>
      <c r="G3" s="2494"/>
      <c r="H3" s="2494"/>
      <c r="I3" s="2494"/>
      <c r="J3" s="2494"/>
      <c r="K3" s="2494"/>
      <c r="L3" s="2494"/>
      <c r="M3" s="2494"/>
      <c r="N3" s="2494"/>
      <c r="O3" s="2494"/>
      <c r="P3" s="2494"/>
      <c r="Q3" s="2494"/>
      <c r="R3" s="2494"/>
      <c r="S3" s="2494"/>
      <c r="T3" s="2494"/>
      <c r="U3" s="2494"/>
      <c r="V3" s="2494"/>
      <c r="W3" s="2494"/>
      <c r="X3" s="2494"/>
      <c r="Y3" s="2494"/>
      <c r="Z3" s="2494"/>
      <c r="AA3" s="2494"/>
      <c r="AB3" s="2494"/>
      <c r="AC3" s="2494"/>
      <c r="AD3" s="2494"/>
      <c r="AE3" s="2494"/>
      <c r="AF3" s="2494"/>
      <c r="AG3" s="2494"/>
      <c r="AH3" s="2494"/>
      <c r="AI3" s="2494"/>
      <c r="AJ3" s="2494"/>
      <c r="AK3" s="2494"/>
      <c r="AL3" s="2494"/>
      <c r="AM3" s="2494"/>
      <c r="AN3" s="2494"/>
      <c r="AO3" s="2494"/>
      <c r="AP3" s="2494"/>
      <c r="AQ3" s="2494"/>
      <c r="AR3" s="2494"/>
      <c r="AS3" s="2494"/>
      <c r="AT3" s="2494"/>
      <c r="AU3" s="2494"/>
      <c r="AV3" s="2494"/>
      <c r="AW3" s="2494"/>
      <c r="AX3" s="2494"/>
      <c r="AY3" s="2494"/>
      <c r="AZ3" s="2494"/>
      <c r="BA3" s="2494"/>
      <c r="BB3" s="2494"/>
      <c r="BC3" s="2494"/>
      <c r="BD3" s="2494"/>
      <c r="BE3" s="2494"/>
      <c r="BF3" s="2494"/>
      <c r="BG3" s="2494"/>
      <c r="BH3" s="2495"/>
      <c r="BI3" s="1167" t="s">
        <v>3</v>
      </c>
      <c r="BJ3" s="1170">
        <v>42644</v>
      </c>
    </row>
    <row r="4" spans="1:62" s="1169" customFormat="1" ht="17.25" customHeight="1" x14ac:dyDescent="0.2">
      <c r="A4" s="2479" t="s">
        <v>139</v>
      </c>
      <c r="B4" s="2479"/>
      <c r="C4" s="2479"/>
      <c r="D4" s="2479"/>
      <c r="E4" s="2479"/>
      <c r="F4" s="2479"/>
      <c r="G4" s="2479"/>
      <c r="H4" s="2479"/>
      <c r="I4" s="2479"/>
      <c r="J4" s="2479"/>
      <c r="K4" s="2479"/>
      <c r="L4" s="2479"/>
      <c r="M4" s="2479"/>
      <c r="N4" s="2479"/>
      <c r="O4" s="2479"/>
      <c r="P4" s="2479"/>
      <c r="Q4" s="2479"/>
      <c r="R4" s="2479"/>
      <c r="S4" s="2479"/>
      <c r="T4" s="2479"/>
      <c r="U4" s="2479"/>
      <c r="V4" s="2479"/>
      <c r="W4" s="2479"/>
      <c r="X4" s="2479"/>
      <c r="Y4" s="2479"/>
      <c r="Z4" s="2479"/>
      <c r="AA4" s="2479"/>
      <c r="AB4" s="2479"/>
      <c r="AC4" s="2479"/>
      <c r="AD4" s="2479"/>
      <c r="AE4" s="2479"/>
      <c r="AF4" s="2479"/>
      <c r="AG4" s="2479"/>
      <c r="AH4" s="2479"/>
      <c r="AI4" s="2479"/>
      <c r="AJ4" s="2479"/>
      <c r="AK4" s="2479"/>
      <c r="AL4" s="2479"/>
      <c r="AM4" s="2479"/>
      <c r="AN4" s="2479"/>
      <c r="AO4" s="2479"/>
      <c r="AP4" s="2479"/>
      <c r="AQ4" s="2479"/>
      <c r="AR4" s="2479"/>
      <c r="AS4" s="2479"/>
      <c r="AT4" s="2479"/>
      <c r="AU4" s="2479"/>
      <c r="AV4" s="2479"/>
      <c r="AW4" s="2479"/>
      <c r="AX4" s="2479"/>
      <c r="AY4" s="2479"/>
      <c r="AZ4" s="2479"/>
      <c r="BA4" s="2479"/>
      <c r="BB4" s="2479"/>
      <c r="BC4" s="2479"/>
      <c r="BD4" s="2479"/>
      <c r="BE4" s="2479"/>
      <c r="BF4" s="2479"/>
      <c r="BG4" s="2479"/>
      <c r="BH4" s="2481"/>
      <c r="BI4" s="1171" t="s">
        <v>5</v>
      </c>
      <c r="BJ4" s="1172" t="s">
        <v>476</v>
      </c>
    </row>
    <row r="5" spans="1:62" s="1169" customFormat="1" ht="17.25" customHeight="1" x14ac:dyDescent="0.2">
      <c r="A5" s="3205" t="s">
        <v>7</v>
      </c>
      <c r="B5" s="3205"/>
      <c r="C5" s="3205"/>
      <c r="D5" s="3205"/>
      <c r="E5" s="3205"/>
      <c r="F5" s="3205"/>
      <c r="G5" s="3205"/>
      <c r="H5" s="3205"/>
      <c r="I5" s="3205"/>
      <c r="J5" s="3205"/>
      <c r="K5" s="3205"/>
      <c r="L5" s="3205"/>
      <c r="M5" s="3205"/>
      <c r="N5" s="1173"/>
      <c r="O5" s="3207" t="s">
        <v>8</v>
      </c>
      <c r="P5" s="3208"/>
      <c r="Q5" s="3208"/>
      <c r="R5" s="3208"/>
      <c r="S5" s="3208"/>
      <c r="T5" s="3208"/>
      <c r="U5" s="3208"/>
      <c r="V5" s="3208"/>
      <c r="W5" s="3208"/>
      <c r="X5" s="3208"/>
      <c r="Y5" s="3208"/>
      <c r="Z5" s="3208"/>
      <c r="AA5" s="3208"/>
      <c r="AB5" s="3208"/>
      <c r="AC5" s="3208"/>
      <c r="AD5" s="3208"/>
      <c r="AE5" s="3208"/>
      <c r="AF5" s="3208"/>
      <c r="AG5" s="3208"/>
      <c r="AH5" s="3208"/>
      <c r="AI5" s="3208"/>
      <c r="AJ5" s="3208"/>
      <c r="AK5" s="3208"/>
      <c r="AL5" s="3208"/>
      <c r="AM5" s="3208"/>
      <c r="AN5" s="3208"/>
      <c r="AO5" s="3208"/>
      <c r="AP5" s="3208"/>
      <c r="AQ5" s="3208"/>
      <c r="AR5" s="3208"/>
      <c r="AS5" s="3208"/>
      <c r="AT5" s="3208"/>
      <c r="AU5" s="3208"/>
      <c r="AV5" s="3208"/>
      <c r="AW5" s="3208"/>
      <c r="AX5" s="3208"/>
      <c r="AY5" s="3208"/>
      <c r="AZ5" s="3208"/>
      <c r="BA5" s="3208"/>
      <c r="BB5" s="3208"/>
      <c r="BC5" s="3208"/>
      <c r="BD5" s="3208"/>
      <c r="BE5" s="3208"/>
      <c r="BF5" s="3208"/>
      <c r="BG5" s="3208"/>
      <c r="BH5" s="3208"/>
      <c r="BI5" s="3208"/>
      <c r="BJ5" s="3209"/>
    </row>
    <row r="6" spans="1:62" s="1169" customFormat="1" ht="20.25" customHeight="1" x14ac:dyDescent="0.2">
      <c r="A6" s="3206"/>
      <c r="B6" s="3206"/>
      <c r="C6" s="3206"/>
      <c r="D6" s="3206"/>
      <c r="E6" s="3206"/>
      <c r="F6" s="3206"/>
      <c r="G6" s="3206"/>
      <c r="H6" s="3206"/>
      <c r="I6" s="3206"/>
      <c r="J6" s="3206"/>
      <c r="K6" s="3206"/>
      <c r="L6" s="3206"/>
      <c r="M6" s="3206"/>
      <c r="N6" s="1174"/>
      <c r="O6" s="1175"/>
      <c r="P6" s="1176"/>
      <c r="Q6" s="1177"/>
      <c r="R6" s="1178"/>
      <c r="S6" s="1179"/>
      <c r="T6" s="1177"/>
      <c r="U6" s="1177"/>
      <c r="V6" s="1180"/>
      <c r="W6" s="1179"/>
      <c r="X6" s="1179"/>
      <c r="Y6" s="1179"/>
      <c r="Z6" s="1176"/>
      <c r="AA6" s="1180"/>
      <c r="AB6" s="3205" t="s">
        <v>9</v>
      </c>
      <c r="AC6" s="3205"/>
      <c r="AD6" s="3205"/>
      <c r="AE6" s="3205"/>
      <c r="AF6" s="3205"/>
      <c r="AG6" s="3205"/>
      <c r="AH6" s="3205"/>
      <c r="AI6" s="3205"/>
      <c r="AJ6" s="3205"/>
      <c r="AK6" s="3205"/>
      <c r="AL6" s="3205"/>
      <c r="AM6" s="3205"/>
      <c r="AN6" s="3205"/>
      <c r="AO6" s="3205"/>
      <c r="AP6" s="3205"/>
      <c r="AQ6" s="3205"/>
      <c r="AR6" s="3205"/>
      <c r="AS6" s="3205"/>
      <c r="AT6" s="3205"/>
      <c r="AU6" s="3205"/>
      <c r="AV6" s="3205"/>
      <c r="AW6" s="3205"/>
      <c r="AX6" s="3205"/>
      <c r="AY6" s="3205"/>
      <c r="AZ6" s="3205"/>
      <c r="BA6" s="3205"/>
      <c r="BB6" s="3205"/>
      <c r="BC6" s="3205"/>
      <c r="BD6" s="3205"/>
      <c r="BE6" s="3205"/>
      <c r="BF6" s="3205"/>
      <c r="BG6" s="3205"/>
      <c r="BH6" s="3205"/>
      <c r="BI6" s="3205"/>
      <c r="BJ6" s="3210"/>
    </row>
    <row r="7" spans="1:62" ht="17.25" customHeight="1" x14ac:dyDescent="0.3">
      <c r="A7" s="3200" t="s">
        <v>10</v>
      </c>
      <c r="B7" s="3199" t="s">
        <v>11</v>
      </c>
      <c r="C7" s="3200"/>
      <c r="D7" s="3196" t="s">
        <v>10</v>
      </c>
      <c r="E7" s="3199" t="s">
        <v>12</v>
      </c>
      <c r="F7" s="3200"/>
      <c r="G7" s="3196" t="s">
        <v>10</v>
      </c>
      <c r="H7" s="3199" t="s">
        <v>13</v>
      </c>
      <c r="I7" s="3200"/>
      <c r="J7" s="3196" t="s">
        <v>10</v>
      </c>
      <c r="K7" s="3196" t="s">
        <v>14</v>
      </c>
      <c r="L7" s="3196" t="s">
        <v>15</v>
      </c>
      <c r="M7" s="3199" t="s">
        <v>477</v>
      </c>
      <c r="N7" s="3200"/>
      <c r="O7" s="3196" t="s">
        <v>17</v>
      </c>
      <c r="P7" s="3196" t="s">
        <v>18</v>
      </c>
      <c r="Q7" s="3196" t="s">
        <v>8</v>
      </c>
      <c r="R7" s="3196" t="s">
        <v>19</v>
      </c>
      <c r="S7" s="3217" t="s">
        <v>20</v>
      </c>
      <c r="T7" s="3196" t="s">
        <v>21</v>
      </c>
      <c r="U7" s="3196" t="s">
        <v>22</v>
      </c>
      <c r="V7" s="3196" t="s">
        <v>23</v>
      </c>
      <c r="W7" s="3237" t="s">
        <v>20</v>
      </c>
      <c r="X7" s="3238"/>
      <c r="Y7" s="3239"/>
      <c r="Z7" s="1181"/>
      <c r="AA7" s="3196" t="s">
        <v>24</v>
      </c>
      <c r="AB7" s="3225" t="s">
        <v>25</v>
      </c>
      <c r="AC7" s="3226"/>
      <c r="AD7" s="3226"/>
      <c r="AE7" s="3226"/>
      <c r="AF7" s="3226"/>
      <c r="AG7" s="3226"/>
      <c r="AH7" s="3226"/>
      <c r="AI7" s="3226"/>
      <c r="AJ7" s="3226"/>
      <c r="AK7" s="3226"/>
      <c r="AL7" s="3226"/>
      <c r="AM7" s="3227"/>
      <c r="AN7" s="3225" t="s">
        <v>26</v>
      </c>
      <c r="AO7" s="3226"/>
      <c r="AP7" s="3226"/>
      <c r="AQ7" s="3226"/>
      <c r="AR7" s="3226"/>
      <c r="AS7" s="3226"/>
      <c r="AT7" s="3226"/>
      <c r="AU7" s="3226"/>
      <c r="AV7" s="3226"/>
      <c r="AW7" s="3226"/>
      <c r="AX7" s="3226"/>
      <c r="AY7" s="3227"/>
      <c r="AZ7" s="3228" t="s">
        <v>27</v>
      </c>
      <c r="BA7" s="3229"/>
      <c r="BB7" s="3229"/>
      <c r="BC7" s="3229"/>
      <c r="BD7" s="3229"/>
      <c r="BE7" s="3230"/>
      <c r="BF7" s="3211" t="s">
        <v>28</v>
      </c>
      <c r="BG7" s="3212"/>
      <c r="BH7" s="3211" t="s">
        <v>29</v>
      </c>
      <c r="BI7" s="3212"/>
      <c r="BJ7" s="3217" t="s">
        <v>30</v>
      </c>
    </row>
    <row r="8" spans="1:62" ht="17.25" customHeight="1" x14ac:dyDescent="0.3">
      <c r="A8" s="3202"/>
      <c r="B8" s="3201"/>
      <c r="C8" s="3202"/>
      <c r="D8" s="3197"/>
      <c r="E8" s="3201"/>
      <c r="F8" s="3202"/>
      <c r="G8" s="3197"/>
      <c r="H8" s="3201"/>
      <c r="I8" s="3202"/>
      <c r="J8" s="3197"/>
      <c r="K8" s="3197"/>
      <c r="L8" s="3197"/>
      <c r="M8" s="3201"/>
      <c r="N8" s="3202"/>
      <c r="O8" s="3197"/>
      <c r="P8" s="3197"/>
      <c r="Q8" s="3197"/>
      <c r="R8" s="3197"/>
      <c r="S8" s="3218"/>
      <c r="T8" s="3197"/>
      <c r="U8" s="3197"/>
      <c r="V8" s="3197"/>
      <c r="W8" s="3240"/>
      <c r="X8" s="3241"/>
      <c r="Y8" s="3242"/>
      <c r="Z8" s="3197" t="s">
        <v>10</v>
      </c>
      <c r="AA8" s="3197"/>
      <c r="AB8" s="3199" t="s">
        <v>295</v>
      </c>
      <c r="AC8" s="3200"/>
      <c r="AD8" s="3219" t="s">
        <v>32</v>
      </c>
      <c r="AE8" s="3220"/>
      <c r="AF8" s="3199" t="s">
        <v>33</v>
      </c>
      <c r="AG8" s="3200"/>
      <c r="AH8" s="3199" t="s">
        <v>34</v>
      </c>
      <c r="AI8" s="3200"/>
      <c r="AJ8" s="3199" t="s">
        <v>35</v>
      </c>
      <c r="AK8" s="3200"/>
      <c r="AL8" s="3199" t="s">
        <v>478</v>
      </c>
      <c r="AM8" s="3200"/>
      <c r="AN8" s="3199" t="s">
        <v>37</v>
      </c>
      <c r="AO8" s="3200"/>
      <c r="AP8" s="3199" t="s">
        <v>38</v>
      </c>
      <c r="AQ8" s="3200"/>
      <c r="AR8" s="3199" t="s">
        <v>39</v>
      </c>
      <c r="AS8" s="3200"/>
      <c r="AT8" s="3199" t="s">
        <v>40</v>
      </c>
      <c r="AU8" s="3200"/>
      <c r="AV8" s="3199" t="s">
        <v>41</v>
      </c>
      <c r="AW8" s="3200"/>
      <c r="AX8" s="3199" t="s">
        <v>42</v>
      </c>
      <c r="AY8" s="3200"/>
      <c r="AZ8" s="3231"/>
      <c r="BA8" s="3232"/>
      <c r="BB8" s="3232"/>
      <c r="BC8" s="3232"/>
      <c r="BD8" s="3232"/>
      <c r="BE8" s="3233"/>
      <c r="BF8" s="3213"/>
      <c r="BG8" s="3214"/>
      <c r="BH8" s="3213"/>
      <c r="BI8" s="3214"/>
      <c r="BJ8" s="3218"/>
    </row>
    <row r="9" spans="1:62" ht="17.25" customHeight="1" x14ac:dyDescent="0.3">
      <c r="A9" s="3202"/>
      <c r="B9" s="3201"/>
      <c r="C9" s="3202"/>
      <c r="D9" s="3197"/>
      <c r="E9" s="3201"/>
      <c r="F9" s="3202"/>
      <c r="G9" s="3197"/>
      <c r="H9" s="3201"/>
      <c r="I9" s="3202"/>
      <c r="J9" s="3197"/>
      <c r="K9" s="3197"/>
      <c r="L9" s="3197"/>
      <c r="M9" s="3201"/>
      <c r="N9" s="3202"/>
      <c r="O9" s="3197"/>
      <c r="P9" s="3197"/>
      <c r="Q9" s="3197"/>
      <c r="R9" s="3197"/>
      <c r="S9" s="3218"/>
      <c r="T9" s="3197"/>
      <c r="U9" s="3197"/>
      <c r="V9" s="3197"/>
      <c r="W9" s="3240"/>
      <c r="X9" s="3241"/>
      <c r="Y9" s="3242"/>
      <c r="Z9" s="3197"/>
      <c r="AA9" s="3197"/>
      <c r="AB9" s="3201"/>
      <c r="AC9" s="3202"/>
      <c r="AD9" s="3221"/>
      <c r="AE9" s="3222"/>
      <c r="AF9" s="3201"/>
      <c r="AG9" s="3202"/>
      <c r="AH9" s="3201"/>
      <c r="AI9" s="3202"/>
      <c r="AJ9" s="3201"/>
      <c r="AK9" s="3202"/>
      <c r="AL9" s="3201"/>
      <c r="AM9" s="3202"/>
      <c r="AN9" s="3201"/>
      <c r="AO9" s="3202"/>
      <c r="AP9" s="3201"/>
      <c r="AQ9" s="3202"/>
      <c r="AR9" s="3201"/>
      <c r="AS9" s="3202"/>
      <c r="AT9" s="3201"/>
      <c r="AU9" s="3202"/>
      <c r="AV9" s="3201"/>
      <c r="AW9" s="3202"/>
      <c r="AX9" s="3201"/>
      <c r="AY9" s="3202"/>
      <c r="AZ9" s="3231"/>
      <c r="BA9" s="3232"/>
      <c r="BB9" s="3232"/>
      <c r="BC9" s="3232"/>
      <c r="BD9" s="3232"/>
      <c r="BE9" s="3233"/>
      <c r="BF9" s="3213"/>
      <c r="BG9" s="3214"/>
      <c r="BH9" s="3213"/>
      <c r="BI9" s="3214"/>
      <c r="BJ9" s="3218"/>
    </row>
    <row r="10" spans="1:62" ht="17.25" customHeight="1" x14ac:dyDescent="0.3">
      <c r="A10" s="3202"/>
      <c r="B10" s="3201"/>
      <c r="C10" s="3202"/>
      <c r="D10" s="3197"/>
      <c r="E10" s="3201"/>
      <c r="F10" s="3202"/>
      <c r="G10" s="3197"/>
      <c r="H10" s="3201"/>
      <c r="I10" s="3202"/>
      <c r="J10" s="3197"/>
      <c r="K10" s="3197"/>
      <c r="L10" s="3197"/>
      <c r="M10" s="3203"/>
      <c r="N10" s="3204"/>
      <c r="O10" s="3197"/>
      <c r="P10" s="3197"/>
      <c r="Q10" s="3197"/>
      <c r="R10" s="3197"/>
      <c r="S10" s="3218"/>
      <c r="T10" s="3197"/>
      <c r="U10" s="3197"/>
      <c r="V10" s="3197"/>
      <c r="W10" s="3240"/>
      <c r="X10" s="3241"/>
      <c r="Y10" s="3242"/>
      <c r="Z10" s="3197"/>
      <c r="AA10" s="3197"/>
      <c r="AB10" s="3201"/>
      <c r="AC10" s="3202"/>
      <c r="AD10" s="3221"/>
      <c r="AE10" s="3222"/>
      <c r="AF10" s="3201"/>
      <c r="AG10" s="3202"/>
      <c r="AH10" s="3201"/>
      <c r="AI10" s="3202"/>
      <c r="AJ10" s="3201"/>
      <c r="AK10" s="3202"/>
      <c r="AL10" s="3201"/>
      <c r="AM10" s="3202"/>
      <c r="AN10" s="3201"/>
      <c r="AO10" s="3202"/>
      <c r="AP10" s="3201"/>
      <c r="AQ10" s="3202"/>
      <c r="AR10" s="3201"/>
      <c r="AS10" s="3202"/>
      <c r="AT10" s="3201"/>
      <c r="AU10" s="3202"/>
      <c r="AV10" s="3201"/>
      <c r="AW10" s="3202"/>
      <c r="AX10" s="3201"/>
      <c r="AY10" s="3202"/>
      <c r="AZ10" s="3231"/>
      <c r="BA10" s="3232"/>
      <c r="BB10" s="3232"/>
      <c r="BC10" s="3232"/>
      <c r="BD10" s="3232"/>
      <c r="BE10" s="3233"/>
      <c r="BF10" s="3213"/>
      <c r="BG10" s="3214"/>
      <c r="BH10" s="3213"/>
      <c r="BI10" s="3214"/>
      <c r="BJ10" s="3218"/>
    </row>
    <row r="11" spans="1:62" ht="17.25" customHeight="1" x14ac:dyDescent="0.3">
      <c r="A11" s="3202"/>
      <c r="B11" s="3201"/>
      <c r="C11" s="3202"/>
      <c r="D11" s="3197"/>
      <c r="E11" s="3201"/>
      <c r="F11" s="3202"/>
      <c r="G11" s="3197"/>
      <c r="H11" s="3201"/>
      <c r="I11" s="3202"/>
      <c r="J11" s="3197"/>
      <c r="K11" s="3197"/>
      <c r="L11" s="3197"/>
      <c r="M11" s="3196" t="s">
        <v>49</v>
      </c>
      <c r="N11" s="3196" t="s">
        <v>50</v>
      </c>
      <c r="O11" s="3197"/>
      <c r="P11" s="3197"/>
      <c r="Q11" s="3197"/>
      <c r="R11" s="3197"/>
      <c r="S11" s="3218"/>
      <c r="T11" s="3197"/>
      <c r="U11" s="3197"/>
      <c r="V11" s="3197"/>
      <c r="W11" s="3243"/>
      <c r="X11" s="3244"/>
      <c r="Y11" s="3245"/>
      <c r="Z11" s="3197"/>
      <c r="AA11" s="3197"/>
      <c r="AB11" s="3203"/>
      <c r="AC11" s="3204"/>
      <c r="AD11" s="3223"/>
      <c r="AE11" s="3224"/>
      <c r="AF11" s="3203"/>
      <c r="AG11" s="3204"/>
      <c r="AH11" s="3203"/>
      <c r="AI11" s="3204"/>
      <c r="AJ11" s="3203"/>
      <c r="AK11" s="3204"/>
      <c r="AL11" s="3203"/>
      <c r="AM11" s="3204"/>
      <c r="AN11" s="3203"/>
      <c r="AO11" s="3204"/>
      <c r="AP11" s="3203"/>
      <c r="AQ11" s="3204"/>
      <c r="AR11" s="3203"/>
      <c r="AS11" s="3204"/>
      <c r="AT11" s="3203"/>
      <c r="AU11" s="3204"/>
      <c r="AV11" s="3203"/>
      <c r="AW11" s="3204"/>
      <c r="AX11" s="3203"/>
      <c r="AY11" s="3204"/>
      <c r="AZ11" s="3234"/>
      <c r="BA11" s="3235"/>
      <c r="BB11" s="3235"/>
      <c r="BC11" s="3235"/>
      <c r="BD11" s="3235"/>
      <c r="BE11" s="3236"/>
      <c r="BF11" s="3215"/>
      <c r="BG11" s="3216"/>
      <c r="BH11" s="3215"/>
      <c r="BI11" s="3216"/>
      <c r="BJ11" s="3218"/>
    </row>
    <row r="12" spans="1:62" ht="17.25" customHeight="1" x14ac:dyDescent="0.3">
      <c r="A12" s="3202"/>
      <c r="B12" s="3201"/>
      <c r="C12" s="3202"/>
      <c r="D12" s="3197"/>
      <c r="E12" s="3201"/>
      <c r="F12" s="3202"/>
      <c r="G12" s="3197"/>
      <c r="H12" s="3201"/>
      <c r="I12" s="3202"/>
      <c r="J12" s="3197"/>
      <c r="K12" s="3197"/>
      <c r="L12" s="3197"/>
      <c r="M12" s="3197"/>
      <c r="N12" s="3197"/>
      <c r="O12" s="3197"/>
      <c r="P12" s="3197"/>
      <c r="Q12" s="3197"/>
      <c r="R12" s="3197"/>
      <c r="S12" s="3218"/>
      <c r="T12" s="3197"/>
      <c r="U12" s="3197"/>
      <c r="V12" s="3197"/>
      <c r="W12" s="3256" t="s">
        <v>51</v>
      </c>
      <c r="X12" s="3256" t="s">
        <v>52</v>
      </c>
      <c r="Y12" s="3256" t="s">
        <v>53</v>
      </c>
      <c r="Z12" s="3197"/>
      <c r="AA12" s="3197"/>
      <c r="AB12" s="3196" t="s">
        <v>49</v>
      </c>
      <c r="AC12" s="3196" t="s">
        <v>50</v>
      </c>
      <c r="AD12" s="3196" t="s">
        <v>49</v>
      </c>
      <c r="AE12" s="3196" t="s">
        <v>50</v>
      </c>
      <c r="AF12" s="3196" t="s">
        <v>49</v>
      </c>
      <c r="AG12" s="3196" t="s">
        <v>50</v>
      </c>
      <c r="AH12" s="3196" t="s">
        <v>49</v>
      </c>
      <c r="AI12" s="3196" t="s">
        <v>50</v>
      </c>
      <c r="AJ12" s="3196" t="s">
        <v>49</v>
      </c>
      <c r="AK12" s="3196" t="s">
        <v>50</v>
      </c>
      <c r="AL12" s="3196" t="s">
        <v>49</v>
      </c>
      <c r="AM12" s="3196" t="s">
        <v>50</v>
      </c>
      <c r="AN12" s="3196" t="s">
        <v>49</v>
      </c>
      <c r="AO12" s="3196" t="s">
        <v>50</v>
      </c>
      <c r="AP12" s="3196" t="s">
        <v>49</v>
      </c>
      <c r="AQ12" s="3196" t="s">
        <v>50</v>
      </c>
      <c r="AR12" s="3196" t="s">
        <v>49</v>
      </c>
      <c r="AS12" s="3196" t="s">
        <v>50</v>
      </c>
      <c r="AT12" s="3196" t="s">
        <v>49</v>
      </c>
      <c r="AU12" s="3196" t="s">
        <v>50</v>
      </c>
      <c r="AV12" s="3196" t="s">
        <v>49</v>
      </c>
      <c r="AW12" s="3196" t="s">
        <v>50</v>
      </c>
      <c r="AX12" s="3196" t="s">
        <v>49</v>
      </c>
      <c r="AY12" s="3196" t="s">
        <v>50</v>
      </c>
      <c r="AZ12" s="3196" t="s">
        <v>43</v>
      </c>
      <c r="BA12" s="3196" t="s">
        <v>44</v>
      </c>
      <c r="BB12" s="3196" t="s">
        <v>45</v>
      </c>
      <c r="BC12" s="3196" t="s">
        <v>46</v>
      </c>
      <c r="BD12" s="3196" t="s">
        <v>47</v>
      </c>
      <c r="BE12" s="3196" t="s">
        <v>48</v>
      </c>
      <c r="BF12" s="3247" t="s">
        <v>49</v>
      </c>
      <c r="BG12" s="3247" t="s">
        <v>50</v>
      </c>
      <c r="BH12" s="3247" t="s">
        <v>49</v>
      </c>
      <c r="BI12" s="3247" t="s">
        <v>50</v>
      </c>
      <c r="BJ12" s="3218"/>
    </row>
    <row r="13" spans="1:62" ht="17.25" customHeight="1" x14ac:dyDescent="0.3">
      <c r="A13" s="3202"/>
      <c r="B13" s="3201"/>
      <c r="C13" s="3202"/>
      <c r="D13" s="3197"/>
      <c r="E13" s="3201"/>
      <c r="F13" s="3202"/>
      <c r="G13" s="3197"/>
      <c r="H13" s="3201"/>
      <c r="I13" s="3202"/>
      <c r="J13" s="3197"/>
      <c r="K13" s="3197"/>
      <c r="L13" s="3197"/>
      <c r="M13" s="3197"/>
      <c r="N13" s="3197"/>
      <c r="O13" s="3197"/>
      <c r="P13" s="3197"/>
      <c r="Q13" s="3197"/>
      <c r="R13" s="3197"/>
      <c r="S13" s="3218"/>
      <c r="T13" s="3197"/>
      <c r="U13" s="3197"/>
      <c r="V13" s="3197"/>
      <c r="W13" s="3257"/>
      <c r="X13" s="3257"/>
      <c r="Y13" s="3257"/>
      <c r="Z13" s="3197"/>
      <c r="AA13" s="3197"/>
      <c r="AB13" s="3197"/>
      <c r="AC13" s="3197"/>
      <c r="AD13" s="3197"/>
      <c r="AE13" s="3197"/>
      <c r="AF13" s="3197"/>
      <c r="AG13" s="3197"/>
      <c r="AH13" s="3197"/>
      <c r="AI13" s="3197"/>
      <c r="AJ13" s="3197"/>
      <c r="AK13" s="3197"/>
      <c r="AL13" s="3197"/>
      <c r="AM13" s="3197"/>
      <c r="AN13" s="3197"/>
      <c r="AO13" s="3197"/>
      <c r="AP13" s="3197"/>
      <c r="AQ13" s="3197"/>
      <c r="AR13" s="3197"/>
      <c r="AS13" s="3197"/>
      <c r="AT13" s="3197"/>
      <c r="AU13" s="3197"/>
      <c r="AV13" s="3197"/>
      <c r="AW13" s="3197"/>
      <c r="AX13" s="3197"/>
      <c r="AY13" s="3197"/>
      <c r="AZ13" s="3197"/>
      <c r="BA13" s="3197"/>
      <c r="BB13" s="3197"/>
      <c r="BC13" s="3197"/>
      <c r="BD13" s="3197"/>
      <c r="BE13" s="3197"/>
      <c r="BF13" s="3248"/>
      <c r="BG13" s="3248"/>
      <c r="BH13" s="3248"/>
      <c r="BI13" s="3248"/>
      <c r="BJ13" s="3218"/>
    </row>
    <row r="14" spans="1:62" ht="17.25" customHeight="1" x14ac:dyDescent="0.3">
      <c r="A14" s="3202"/>
      <c r="B14" s="3201"/>
      <c r="C14" s="3202"/>
      <c r="D14" s="3197"/>
      <c r="E14" s="3201"/>
      <c r="F14" s="3202"/>
      <c r="G14" s="3197"/>
      <c r="H14" s="3201"/>
      <c r="I14" s="3202"/>
      <c r="J14" s="3197"/>
      <c r="K14" s="3197"/>
      <c r="L14" s="3197"/>
      <c r="M14" s="3197"/>
      <c r="N14" s="3197"/>
      <c r="O14" s="3197"/>
      <c r="P14" s="3197"/>
      <c r="Q14" s="3197"/>
      <c r="R14" s="3197"/>
      <c r="S14" s="3218"/>
      <c r="T14" s="3197"/>
      <c r="U14" s="3197"/>
      <c r="V14" s="3197"/>
      <c r="W14" s="3257"/>
      <c r="X14" s="3257"/>
      <c r="Y14" s="3257"/>
      <c r="Z14" s="3197"/>
      <c r="AA14" s="3197"/>
      <c r="AB14" s="3197"/>
      <c r="AC14" s="3197"/>
      <c r="AD14" s="3197"/>
      <c r="AE14" s="3197"/>
      <c r="AF14" s="3197"/>
      <c r="AG14" s="3197"/>
      <c r="AH14" s="3197"/>
      <c r="AI14" s="3197"/>
      <c r="AJ14" s="3197"/>
      <c r="AK14" s="3197"/>
      <c r="AL14" s="3197"/>
      <c r="AM14" s="3197"/>
      <c r="AN14" s="3197"/>
      <c r="AO14" s="3197"/>
      <c r="AP14" s="3197"/>
      <c r="AQ14" s="3197"/>
      <c r="AR14" s="3197"/>
      <c r="AS14" s="3197"/>
      <c r="AT14" s="3197"/>
      <c r="AU14" s="3197"/>
      <c r="AV14" s="3197"/>
      <c r="AW14" s="3197"/>
      <c r="AX14" s="3197"/>
      <c r="AY14" s="3197"/>
      <c r="AZ14" s="3197"/>
      <c r="BA14" s="3197"/>
      <c r="BB14" s="3197"/>
      <c r="BC14" s="3197"/>
      <c r="BD14" s="3197"/>
      <c r="BE14" s="3197"/>
      <c r="BF14" s="3248"/>
      <c r="BG14" s="3248"/>
      <c r="BH14" s="3248"/>
      <c r="BI14" s="3248"/>
      <c r="BJ14" s="3218"/>
    </row>
    <row r="15" spans="1:62" ht="15" customHeight="1" x14ac:dyDescent="0.3">
      <c r="A15" s="3204"/>
      <c r="B15" s="3203"/>
      <c r="C15" s="3204"/>
      <c r="D15" s="3198"/>
      <c r="E15" s="3203"/>
      <c r="F15" s="3204"/>
      <c r="G15" s="3198"/>
      <c r="H15" s="3203"/>
      <c r="I15" s="3204"/>
      <c r="J15" s="3198"/>
      <c r="K15" s="3198"/>
      <c r="L15" s="3198"/>
      <c r="M15" s="3198"/>
      <c r="N15" s="3198"/>
      <c r="O15" s="3198"/>
      <c r="P15" s="3198"/>
      <c r="Q15" s="3198"/>
      <c r="R15" s="3198"/>
      <c r="S15" s="3246"/>
      <c r="T15" s="3198"/>
      <c r="U15" s="3198"/>
      <c r="V15" s="3198"/>
      <c r="W15" s="3258"/>
      <c r="X15" s="3258"/>
      <c r="Y15" s="3258"/>
      <c r="Z15" s="3198"/>
      <c r="AA15" s="3198"/>
      <c r="AB15" s="3198"/>
      <c r="AC15" s="3198"/>
      <c r="AD15" s="3198"/>
      <c r="AE15" s="3198"/>
      <c r="AF15" s="3198"/>
      <c r="AG15" s="3198"/>
      <c r="AH15" s="3198"/>
      <c r="AI15" s="3198"/>
      <c r="AJ15" s="3198"/>
      <c r="AK15" s="3198"/>
      <c r="AL15" s="3198"/>
      <c r="AM15" s="3198"/>
      <c r="AN15" s="3198"/>
      <c r="AO15" s="3198"/>
      <c r="AP15" s="3198"/>
      <c r="AQ15" s="3198"/>
      <c r="AR15" s="3198"/>
      <c r="AS15" s="3198"/>
      <c r="AT15" s="3198"/>
      <c r="AU15" s="3198"/>
      <c r="AV15" s="3198"/>
      <c r="AW15" s="3198"/>
      <c r="AX15" s="3198"/>
      <c r="AY15" s="3198"/>
      <c r="AZ15" s="3198"/>
      <c r="BA15" s="3198"/>
      <c r="BB15" s="3198"/>
      <c r="BC15" s="3198"/>
      <c r="BD15" s="3198"/>
      <c r="BE15" s="3198"/>
      <c r="BF15" s="3249"/>
      <c r="BG15" s="3249"/>
      <c r="BH15" s="3249"/>
      <c r="BI15" s="3249"/>
      <c r="BJ15" s="3218"/>
    </row>
    <row r="16" spans="1:62" ht="17.25" customHeight="1" x14ac:dyDescent="0.3">
      <c r="A16" s="3250">
        <v>2</v>
      </c>
      <c r="B16" s="3252" t="s">
        <v>479</v>
      </c>
      <c r="C16" s="3253"/>
      <c r="D16" s="3253"/>
      <c r="E16" s="3253"/>
      <c r="F16" s="3253"/>
      <c r="G16" s="3253"/>
      <c r="H16" s="3253"/>
      <c r="I16" s="3253"/>
      <c r="J16" s="3253"/>
      <c r="K16" s="3253"/>
      <c r="L16" s="3253"/>
      <c r="M16" s="3253"/>
      <c r="N16" s="3253"/>
      <c r="O16" s="3253"/>
      <c r="P16" s="3253"/>
      <c r="Q16" s="3253"/>
      <c r="R16" s="3253"/>
      <c r="S16" s="3253"/>
      <c r="T16" s="3253"/>
      <c r="U16" s="3253"/>
      <c r="V16" s="3253"/>
      <c r="W16" s="3253"/>
      <c r="X16" s="3253"/>
      <c r="Y16" s="3253"/>
      <c r="Z16" s="3253"/>
      <c r="AA16" s="3253"/>
      <c r="AB16" s="3253"/>
      <c r="AC16" s="3253"/>
      <c r="AD16" s="3253"/>
      <c r="AE16" s="3253"/>
      <c r="AF16" s="3253"/>
      <c r="AG16" s="3253"/>
      <c r="AH16" s="3253"/>
      <c r="AI16" s="3253"/>
      <c r="AJ16" s="3253"/>
      <c r="AK16" s="3253"/>
      <c r="AL16" s="3253"/>
      <c r="AM16" s="3253"/>
      <c r="AN16" s="3253"/>
      <c r="AO16" s="3253"/>
      <c r="AP16" s="3253"/>
      <c r="AQ16" s="3253"/>
      <c r="AR16" s="3253"/>
      <c r="AS16" s="3253"/>
      <c r="AT16" s="3253"/>
      <c r="AU16" s="3253"/>
      <c r="AV16" s="3253"/>
      <c r="AW16" s="3253"/>
      <c r="AX16" s="3253"/>
      <c r="AY16" s="3253"/>
      <c r="AZ16" s="3253"/>
      <c r="BA16" s="3253"/>
      <c r="BB16" s="3253"/>
      <c r="BC16" s="3253"/>
      <c r="BD16" s="3253"/>
      <c r="BE16" s="3253"/>
      <c r="BF16" s="3253"/>
      <c r="BG16" s="3253"/>
      <c r="BH16" s="3253"/>
      <c r="BI16" s="1183"/>
      <c r="BJ16" s="1184"/>
    </row>
    <row r="17" spans="1:68" s="1187" customFormat="1" ht="17.25" customHeight="1" x14ac:dyDescent="0.3">
      <c r="A17" s="3251"/>
      <c r="B17" s="3254"/>
      <c r="C17" s="3255"/>
      <c r="D17" s="3255"/>
      <c r="E17" s="3255"/>
      <c r="F17" s="3255"/>
      <c r="G17" s="3255"/>
      <c r="H17" s="3255"/>
      <c r="I17" s="3255"/>
      <c r="J17" s="3255"/>
      <c r="K17" s="3255"/>
      <c r="L17" s="3255"/>
      <c r="M17" s="3255"/>
      <c r="N17" s="3255"/>
      <c r="O17" s="3255"/>
      <c r="P17" s="3255"/>
      <c r="Q17" s="3255"/>
      <c r="R17" s="3255"/>
      <c r="S17" s="3255"/>
      <c r="T17" s="3255"/>
      <c r="U17" s="3255"/>
      <c r="V17" s="3255"/>
      <c r="W17" s="3255"/>
      <c r="X17" s="3255"/>
      <c r="Y17" s="3255"/>
      <c r="Z17" s="3255"/>
      <c r="AA17" s="3255"/>
      <c r="AB17" s="3255"/>
      <c r="AC17" s="3255"/>
      <c r="AD17" s="3255"/>
      <c r="AE17" s="3255"/>
      <c r="AF17" s="3255"/>
      <c r="AG17" s="3255"/>
      <c r="AH17" s="3255"/>
      <c r="AI17" s="3255"/>
      <c r="AJ17" s="3255"/>
      <c r="AK17" s="3255"/>
      <c r="AL17" s="3255"/>
      <c r="AM17" s="3255"/>
      <c r="AN17" s="3255"/>
      <c r="AO17" s="3255"/>
      <c r="AP17" s="3255"/>
      <c r="AQ17" s="3255"/>
      <c r="AR17" s="3255"/>
      <c r="AS17" s="3255"/>
      <c r="AT17" s="3255"/>
      <c r="AU17" s="3255"/>
      <c r="AV17" s="3255"/>
      <c r="AW17" s="3255"/>
      <c r="AX17" s="3255"/>
      <c r="AY17" s="3255"/>
      <c r="AZ17" s="3255"/>
      <c r="BA17" s="3255"/>
      <c r="BB17" s="3255"/>
      <c r="BC17" s="3255"/>
      <c r="BD17" s="3255"/>
      <c r="BE17" s="3255"/>
      <c r="BF17" s="3255"/>
      <c r="BG17" s="3255"/>
      <c r="BH17" s="3255"/>
      <c r="BI17" s="1185"/>
      <c r="BJ17" s="1186"/>
    </row>
    <row r="18" spans="1:68" s="1187" customFormat="1" ht="17.25" customHeight="1" x14ac:dyDescent="0.3">
      <c r="A18" s="3259" t="s">
        <v>480</v>
      </c>
      <c r="B18" s="3260"/>
      <c r="C18" s="3261"/>
      <c r="D18" s="3268">
        <v>2</v>
      </c>
      <c r="E18" s="3270" t="s">
        <v>481</v>
      </c>
      <c r="F18" s="3271"/>
      <c r="G18" s="3271"/>
      <c r="H18" s="3271"/>
      <c r="I18" s="3271"/>
      <c r="J18" s="3271"/>
      <c r="K18" s="3271"/>
      <c r="L18" s="3271"/>
      <c r="M18" s="3271"/>
      <c r="N18" s="3271"/>
      <c r="O18" s="3271"/>
      <c r="P18" s="3271"/>
      <c r="Q18" s="3271"/>
      <c r="R18" s="3271"/>
      <c r="S18" s="3271"/>
      <c r="T18" s="3271"/>
      <c r="U18" s="3271"/>
      <c r="V18" s="3271"/>
      <c r="W18" s="3271"/>
      <c r="X18" s="3271"/>
      <c r="Y18" s="3271"/>
      <c r="Z18" s="3271"/>
      <c r="AA18" s="3271"/>
      <c r="AB18" s="3271"/>
      <c r="AC18" s="3271"/>
      <c r="AD18" s="3271"/>
      <c r="AE18" s="3271"/>
      <c r="AF18" s="3271"/>
      <c r="AG18" s="3271"/>
      <c r="AH18" s="3271"/>
      <c r="AI18" s="3271"/>
      <c r="AJ18" s="3271"/>
      <c r="AK18" s="3271"/>
      <c r="AL18" s="3271"/>
      <c r="AM18" s="3271"/>
      <c r="AN18" s="3271"/>
      <c r="AO18" s="3271"/>
      <c r="AP18" s="3271"/>
      <c r="AQ18" s="3271"/>
      <c r="AR18" s="3271"/>
      <c r="AS18" s="3271"/>
      <c r="AT18" s="3271"/>
      <c r="AU18" s="3271"/>
      <c r="AV18" s="3271"/>
      <c r="AW18" s="3271"/>
      <c r="AX18" s="3271"/>
      <c r="AY18" s="3271"/>
      <c r="AZ18" s="3271"/>
      <c r="BA18" s="3271"/>
      <c r="BB18" s="3271"/>
      <c r="BC18" s="3271"/>
      <c r="BD18" s="3271"/>
      <c r="BE18" s="3271"/>
      <c r="BF18" s="3271"/>
      <c r="BG18" s="3271"/>
      <c r="BH18" s="3271"/>
      <c r="BI18" s="1188"/>
      <c r="BJ18" s="1189"/>
    </row>
    <row r="19" spans="1:68" s="1187" customFormat="1" ht="17.25" customHeight="1" x14ac:dyDescent="0.3">
      <c r="A19" s="3262"/>
      <c r="B19" s="3263"/>
      <c r="C19" s="3264"/>
      <c r="D19" s="3269"/>
      <c r="E19" s="3272"/>
      <c r="F19" s="3273"/>
      <c r="G19" s="3273"/>
      <c r="H19" s="3273"/>
      <c r="I19" s="3273"/>
      <c r="J19" s="3273"/>
      <c r="K19" s="3273"/>
      <c r="L19" s="3273"/>
      <c r="M19" s="3273"/>
      <c r="N19" s="3273"/>
      <c r="O19" s="3273"/>
      <c r="P19" s="3273"/>
      <c r="Q19" s="3273"/>
      <c r="R19" s="3273"/>
      <c r="S19" s="3273"/>
      <c r="T19" s="3273"/>
      <c r="U19" s="3273"/>
      <c r="V19" s="3273"/>
      <c r="W19" s="3273"/>
      <c r="X19" s="3273"/>
      <c r="Y19" s="3273"/>
      <c r="Z19" s="3273"/>
      <c r="AA19" s="3273"/>
      <c r="AB19" s="3273"/>
      <c r="AC19" s="3273"/>
      <c r="AD19" s="3273"/>
      <c r="AE19" s="3273"/>
      <c r="AF19" s="3273"/>
      <c r="AG19" s="3273"/>
      <c r="AH19" s="3273"/>
      <c r="AI19" s="3273"/>
      <c r="AJ19" s="3273"/>
      <c r="AK19" s="3273"/>
      <c r="AL19" s="3273"/>
      <c r="AM19" s="3273"/>
      <c r="AN19" s="3273"/>
      <c r="AO19" s="3273"/>
      <c r="AP19" s="3273"/>
      <c r="AQ19" s="3273"/>
      <c r="AR19" s="3273"/>
      <c r="AS19" s="3273"/>
      <c r="AT19" s="3273"/>
      <c r="AU19" s="3273"/>
      <c r="AV19" s="3273"/>
      <c r="AW19" s="3273"/>
      <c r="AX19" s="3273"/>
      <c r="AY19" s="3273"/>
      <c r="AZ19" s="3273"/>
      <c r="BA19" s="3273"/>
      <c r="BB19" s="3273"/>
      <c r="BC19" s="3273"/>
      <c r="BD19" s="3273"/>
      <c r="BE19" s="3273"/>
      <c r="BF19" s="3273"/>
      <c r="BG19" s="3273"/>
      <c r="BH19" s="3273"/>
      <c r="BI19" s="1190"/>
      <c r="BJ19" s="1191"/>
    </row>
    <row r="20" spans="1:68" s="1187" customFormat="1" ht="17.25" customHeight="1" x14ac:dyDescent="0.3">
      <c r="A20" s="3262"/>
      <c r="B20" s="3263"/>
      <c r="C20" s="3264"/>
      <c r="D20" s="3259"/>
      <c r="E20" s="3260"/>
      <c r="F20" s="3261"/>
      <c r="G20" s="3274">
        <v>8</v>
      </c>
      <c r="H20" s="3276" t="s">
        <v>482</v>
      </c>
      <c r="I20" s="3277"/>
      <c r="J20" s="3277"/>
      <c r="K20" s="3277"/>
      <c r="L20" s="3277"/>
      <c r="M20" s="3277"/>
      <c r="N20" s="3277"/>
      <c r="O20" s="3277"/>
      <c r="P20" s="3277"/>
      <c r="Q20" s="3277"/>
      <c r="R20" s="3277"/>
      <c r="S20" s="3277"/>
      <c r="T20" s="3277"/>
      <c r="U20" s="3277"/>
      <c r="V20" s="3277"/>
      <c r="W20" s="3277"/>
      <c r="X20" s="3277"/>
      <c r="Y20" s="3277"/>
      <c r="Z20" s="3277"/>
      <c r="AA20" s="3277"/>
      <c r="AB20" s="3277"/>
      <c r="AC20" s="3277"/>
      <c r="AD20" s="3277"/>
      <c r="AE20" s="3277"/>
      <c r="AF20" s="3277"/>
      <c r="AG20" s="3277"/>
      <c r="AH20" s="3277"/>
      <c r="AI20" s="3277"/>
      <c r="AJ20" s="3277"/>
      <c r="AK20" s="3277"/>
      <c r="AL20" s="3277"/>
      <c r="AM20" s="3277"/>
      <c r="AN20" s="3277"/>
      <c r="AO20" s="3277"/>
      <c r="AP20" s="3277"/>
      <c r="AQ20" s="3277"/>
      <c r="AR20" s="3277"/>
      <c r="AS20" s="3277"/>
      <c r="AT20" s="3277"/>
      <c r="AU20" s="3277"/>
      <c r="AV20" s="3277"/>
      <c r="AW20" s="3277"/>
      <c r="AX20" s="3277"/>
      <c r="AY20" s="3277"/>
      <c r="AZ20" s="3277"/>
      <c r="BA20" s="3277"/>
      <c r="BB20" s="3277"/>
      <c r="BC20" s="3277"/>
      <c r="BD20" s="3277"/>
      <c r="BE20" s="3277"/>
      <c r="BF20" s="3277"/>
      <c r="BG20" s="3277"/>
      <c r="BH20" s="3277"/>
      <c r="BI20" s="1192"/>
      <c r="BJ20" s="1193"/>
    </row>
    <row r="21" spans="1:68" s="1187" customFormat="1" ht="17.25" customHeight="1" x14ac:dyDescent="0.3">
      <c r="A21" s="3262"/>
      <c r="B21" s="3263"/>
      <c r="C21" s="3264"/>
      <c r="D21" s="3262"/>
      <c r="E21" s="3263"/>
      <c r="F21" s="3264"/>
      <c r="G21" s="3275"/>
      <c r="H21" s="3278"/>
      <c r="I21" s="3279"/>
      <c r="J21" s="3279"/>
      <c r="K21" s="3279"/>
      <c r="L21" s="3279"/>
      <c r="M21" s="3279"/>
      <c r="N21" s="3279"/>
      <c r="O21" s="3279"/>
      <c r="P21" s="3279"/>
      <c r="Q21" s="3279"/>
      <c r="R21" s="3279"/>
      <c r="S21" s="3279"/>
      <c r="T21" s="3279"/>
      <c r="U21" s="3279"/>
      <c r="V21" s="3279"/>
      <c r="W21" s="3279"/>
      <c r="X21" s="3279"/>
      <c r="Y21" s="3279"/>
      <c r="Z21" s="3279"/>
      <c r="AA21" s="3279"/>
      <c r="AB21" s="3279"/>
      <c r="AC21" s="3279"/>
      <c r="AD21" s="3279"/>
      <c r="AE21" s="3279"/>
      <c r="AF21" s="3279"/>
      <c r="AG21" s="3279"/>
      <c r="AH21" s="3279"/>
      <c r="AI21" s="3279"/>
      <c r="AJ21" s="3279"/>
      <c r="AK21" s="3279"/>
      <c r="AL21" s="3279"/>
      <c r="AM21" s="3279"/>
      <c r="AN21" s="3279"/>
      <c r="AO21" s="3279"/>
      <c r="AP21" s="3279"/>
      <c r="AQ21" s="3279"/>
      <c r="AR21" s="3279"/>
      <c r="AS21" s="3279"/>
      <c r="AT21" s="3279"/>
      <c r="AU21" s="3279"/>
      <c r="AV21" s="3279"/>
      <c r="AW21" s="3279"/>
      <c r="AX21" s="3279"/>
      <c r="AY21" s="3279"/>
      <c r="AZ21" s="3279"/>
      <c r="BA21" s="3279"/>
      <c r="BB21" s="3279"/>
      <c r="BC21" s="3279"/>
      <c r="BD21" s="3279"/>
      <c r="BE21" s="3279"/>
      <c r="BF21" s="3279"/>
      <c r="BG21" s="3279"/>
      <c r="BH21" s="3279"/>
      <c r="BI21" s="1194"/>
      <c r="BJ21" s="1195"/>
    </row>
    <row r="22" spans="1:68" s="1187" customFormat="1" ht="17.25" customHeight="1" x14ac:dyDescent="0.3">
      <c r="A22" s="3262"/>
      <c r="B22" s="3263"/>
      <c r="C22" s="3264"/>
      <c r="D22" s="3262"/>
      <c r="E22" s="3263"/>
      <c r="F22" s="3264"/>
      <c r="G22" s="3259"/>
      <c r="H22" s="3260"/>
      <c r="I22" s="3261"/>
      <c r="J22" s="3280">
        <v>38</v>
      </c>
      <c r="K22" s="3292" t="s">
        <v>483</v>
      </c>
      <c r="L22" s="3295" t="s">
        <v>18</v>
      </c>
      <c r="M22" s="3298">
        <v>4</v>
      </c>
      <c r="N22" s="3298">
        <v>1</v>
      </c>
      <c r="O22" s="3295" t="s">
        <v>484</v>
      </c>
      <c r="P22" s="3301" t="s">
        <v>485</v>
      </c>
      <c r="Q22" s="3283" t="s">
        <v>486</v>
      </c>
      <c r="R22" s="3286">
        <f>+S22/74160000</f>
        <v>0.49217907227615965</v>
      </c>
      <c r="S22" s="3289">
        <v>36500000</v>
      </c>
      <c r="T22" s="3283" t="s">
        <v>487</v>
      </c>
      <c r="U22" s="3283" t="s">
        <v>488</v>
      </c>
      <c r="V22" s="3283" t="s">
        <v>488</v>
      </c>
      <c r="W22" s="3304">
        <f>27500000+9000000</f>
        <v>36500000</v>
      </c>
      <c r="X22" s="3289">
        <v>14200000</v>
      </c>
      <c r="Y22" s="1196"/>
      <c r="Z22" s="3295" t="s">
        <v>489</v>
      </c>
      <c r="AA22" s="3283" t="s">
        <v>490</v>
      </c>
      <c r="AB22" s="3307">
        <v>64149</v>
      </c>
      <c r="AC22" s="3307"/>
      <c r="AD22" s="3307">
        <v>72224</v>
      </c>
      <c r="AE22" s="3307"/>
      <c r="AF22" s="3307">
        <v>27477</v>
      </c>
      <c r="AG22" s="3307"/>
      <c r="AH22" s="3307">
        <v>86843</v>
      </c>
      <c r="AI22" s="3307"/>
      <c r="AJ22" s="3307">
        <v>236429</v>
      </c>
      <c r="AK22" s="3307"/>
      <c r="AL22" s="3307">
        <v>81384</v>
      </c>
      <c r="AM22" s="3307"/>
      <c r="AN22" s="3307">
        <v>13208</v>
      </c>
      <c r="AO22" s="3307"/>
      <c r="AP22" s="3307">
        <v>1827</v>
      </c>
      <c r="AQ22" s="3307"/>
      <c r="AR22" s="3307"/>
      <c r="AS22" s="3307"/>
      <c r="AT22" s="3307"/>
      <c r="AU22" s="3307"/>
      <c r="AV22" s="3307">
        <v>16897</v>
      </c>
      <c r="AW22" s="3307"/>
      <c r="AX22" s="3307">
        <v>81384</v>
      </c>
      <c r="AY22" s="3319"/>
      <c r="AZ22" s="3322">
        <v>1</v>
      </c>
      <c r="BA22" s="3289">
        <v>14200000</v>
      </c>
      <c r="BB22" s="1197"/>
      <c r="BC22" s="3313">
        <v>0</v>
      </c>
      <c r="BD22" s="3316" t="s">
        <v>490</v>
      </c>
      <c r="BE22" s="3338" t="s">
        <v>491</v>
      </c>
      <c r="BF22" s="3325">
        <v>42745</v>
      </c>
      <c r="BG22" s="3326">
        <v>42793</v>
      </c>
      <c r="BH22" s="3329">
        <v>43094</v>
      </c>
      <c r="BI22" s="3332">
        <v>42942</v>
      </c>
      <c r="BJ22" s="3335" t="s">
        <v>492</v>
      </c>
    </row>
    <row r="23" spans="1:68" s="1187" customFormat="1" ht="17.25" customHeight="1" x14ac:dyDescent="0.3">
      <c r="A23" s="3262"/>
      <c r="B23" s="3263"/>
      <c r="C23" s="3264"/>
      <c r="D23" s="3262"/>
      <c r="E23" s="3263"/>
      <c r="F23" s="3264"/>
      <c r="G23" s="3262"/>
      <c r="H23" s="3263"/>
      <c r="I23" s="3264"/>
      <c r="J23" s="3281"/>
      <c r="K23" s="3293"/>
      <c r="L23" s="3296"/>
      <c r="M23" s="3299"/>
      <c r="N23" s="3299"/>
      <c r="O23" s="3296"/>
      <c r="P23" s="3302"/>
      <c r="Q23" s="3284"/>
      <c r="R23" s="3287"/>
      <c r="S23" s="3290"/>
      <c r="T23" s="3284"/>
      <c r="U23" s="3284"/>
      <c r="V23" s="3284"/>
      <c r="W23" s="3305"/>
      <c r="X23" s="3290"/>
      <c r="Y23" s="3290"/>
      <c r="Z23" s="3296"/>
      <c r="AA23" s="3284"/>
      <c r="AB23" s="3308"/>
      <c r="AC23" s="3308"/>
      <c r="AD23" s="3308"/>
      <c r="AE23" s="3308"/>
      <c r="AF23" s="3308"/>
      <c r="AG23" s="3308"/>
      <c r="AH23" s="3308"/>
      <c r="AI23" s="3308"/>
      <c r="AJ23" s="3308"/>
      <c r="AK23" s="3308"/>
      <c r="AL23" s="3308"/>
      <c r="AM23" s="3308"/>
      <c r="AN23" s="3308"/>
      <c r="AO23" s="3308"/>
      <c r="AP23" s="3308"/>
      <c r="AQ23" s="3308"/>
      <c r="AR23" s="3308"/>
      <c r="AS23" s="3308"/>
      <c r="AT23" s="3308"/>
      <c r="AU23" s="3308"/>
      <c r="AV23" s="3308"/>
      <c r="AW23" s="3308"/>
      <c r="AX23" s="3308"/>
      <c r="AY23" s="3320"/>
      <c r="AZ23" s="3323"/>
      <c r="BA23" s="3290"/>
      <c r="BB23" s="1197"/>
      <c r="BC23" s="3314"/>
      <c r="BD23" s="3317"/>
      <c r="BE23" s="3339"/>
      <c r="BF23" s="3325"/>
      <c r="BG23" s="3327"/>
      <c r="BH23" s="3330"/>
      <c r="BI23" s="3333"/>
      <c r="BJ23" s="3336"/>
    </row>
    <row r="24" spans="1:68" s="1187" customFormat="1" ht="17.25" customHeight="1" x14ac:dyDescent="0.3">
      <c r="A24" s="3262"/>
      <c r="B24" s="3263"/>
      <c r="C24" s="3264"/>
      <c r="D24" s="3262"/>
      <c r="E24" s="3263"/>
      <c r="F24" s="3264"/>
      <c r="G24" s="3262"/>
      <c r="H24" s="3263"/>
      <c r="I24" s="3264"/>
      <c r="J24" s="3281"/>
      <c r="K24" s="3293"/>
      <c r="L24" s="3296"/>
      <c r="M24" s="3299"/>
      <c r="N24" s="3299"/>
      <c r="O24" s="3296"/>
      <c r="P24" s="3302"/>
      <c r="Q24" s="3284"/>
      <c r="R24" s="3287"/>
      <c r="S24" s="3290"/>
      <c r="T24" s="3284"/>
      <c r="U24" s="3284"/>
      <c r="V24" s="3284"/>
      <c r="W24" s="3305"/>
      <c r="X24" s="3290"/>
      <c r="Y24" s="3290"/>
      <c r="Z24" s="3296"/>
      <c r="AA24" s="3284"/>
      <c r="AB24" s="3308"/>
      <c r="AC24" s="3308"/>
      <c r="AD24" s="3308"/>
      <c r="AE24" s="3308"/>
      <c r="AF24" s="3308"/>
      <c r="AG24" s="3308"/>
      <c r="AH24" s="3308"/>
      <c r="AI24" s="3308"/>
      <c r="AJ24" s="3308"/>
      <c r="AK24" s="3308"/>
      <c r="AL24" s="3308"/>
      <c r="AM24" s="3308"/>
      <c r="AN24" s="3308"/>
      <c r="AO24" s="3308"/>
      <c r="AP24" s="3308"/>
      <c r="AQ24" s="3308"/>
      <c r="AR24" s="3308"/>
      <c r="AS24" s="3308"/>
      <c r="AT24" s="3308"/>
      <c r="AU24" s="3308"/>
      <c r="AV24" s="3308"/>
      <c r="AW24" s="3308"/>
      <c r="AX24" s="3308"/>
      <c r="AY24" s="3320"/>
      <c r="AZ24" s="3323"/>
      <c r="BA24" s="3290"/>
      <c r="BB24" s="1197"/>
      <c r="BC24" s="3314"/>
      <c r="BD24" s="3317"/>
      <c r="BE24" s="3339"/>
      <c r="BF24" s="3325"/>
      <c r="BG24" s="3327"/>
      <c r="BH24" s="3330"/>
      <c r="BI24" s="3333"/>
      <c r="BJ24" s="3336"/>
    </row>
    <row r="25" spans="1:68" ht="17.25" customHeight="1" x14ac:dyDescent="0.3">
      <c r="A25" s="3262"/>
      <c r="B25" s="3263"/>
      <c r="C25" s="3264"/>
      <c r="D25" s="3262"/>
      <c r="E25" s="3263"/>
      <c r="F25" s="3264"/>
      <c r="G25" s="3262"/>
      <c r="H25" s="3263"/>
      <c r="I25" s="3264"/>
      <c r="J25" s="3281"/>
      <c r="K25" s="3293"/>
      <c r="L25" s="3296"/>
      <c r="M25" s="3299"/>
      <c r="N25" s="3299"/>
      <c r="O25" s="3296"/>
      <c r="P25" s="3302"/>
      <c r="Q25" s="3284"/>
      <c r="R25" s="3287"/>
      <c r="S25" s="3290"/>
      <c r="T25" s="3284"/>
      <c r="U25" s="3284"/>
      <c r="V25" s="3284"/>
      <c r="W25" s="3305"/>
      <c r="X25" s="3290"/>
      <c r="Y25" s="3290"/>
      <c r="Z25" s="3296"/>
      <c r="AA25" s="3284"/>
      <c r="AB25" s="3308"/>
      <c r="AC25" s="3308"/>
      <c r="AD25" s="3308"/>
      <c r="AE25" s="3308"/>
      <c r="AF25" s="3308"/>
      <c r="AG25" s="3308"/>
      <c r="AH25" s="3308"/>
      <c r="AI25" s="3308"/>
      <c r="AJ25" s="3308"/>
      <c r="AK25" s="3308"/>
      <c r="AL25" s="3308"/>
      <c r="AM25" s="3308"/>
      <c r="AN25" s="3308"/>
      <c r="AO25" s="3308"/>
      <c r="AP25" s="3308"/>
      <c r="AQ25" s="3308"/>
      <c r="AR25" s="3308"/>
      <c r="AS25" s="3308"/>
      <c r="AT25" s="3308"/>
      <c r="AU25" s="3308"/>
      <c r="AV25" s="3308"/>
      <c r="AW25" s="3308"/>
      <c r="AX25" s="3308"/>
      <c r="AY25" s="3320"/>
      <c r="AZ25" s="3323"/>
      <c r="BA25" s="3290"/>
      <c r="BC25" s="3314"/>
      <c r="BD25" s="3317"/>
      <c r="BE25" s="3339"/>
      <c r="BF25" s="3325"/>
      <c r="BG25" s="3327"/>
      <c r="BH25" s="3330"/>
      <c r="BI25" s="3333"/>
      <c r="BJ25" s="3336"/>
    </row>
    <row r="26" spans="1:68" ht="17.25" customHeight="1" x14ac:dyDescent="0.3">
      <c r="A26" s="3262"/>
      <c r="B26" s="3263"/>
      <c r="C26" s="3264"/>
      <c r="D26" s="3262"/>
      <c r="E26" s="3263"/>
      <c r="F26" s="3264"/>
      <c r="G26" s="3262"/>
      <c r="H26" s="3263"/>
      <c r="I26" s="3264"/>
      <c r="J26" s="3282"/>
      <c r="K26" s="3294"/>
      <c r="L26" s="3297"/>
      <c r="M26" s="3300"/>
      <c r="N26" s="3300"/>
      <c r="O26" s="3296"/>
      <c r="P26" s="3302"/>
      <c r="Q26" s="3284"/>
      <c r="R26" s="3288"/>
      <c r="S26" s="3291"/>
      <c r="T26" s="3284"/>
      <c r="U26" s="3285"/>
      <c r="V26" s="3285"/>
      <c r="W26" s="3306"/>
      <c r="X26" s="3291"/>
      <c r="Y26" s="1199"/>
      <c r="Z26" s="3296"/>
      <c r="AA26" s="3284"/>
      <c r="AB26" s="3308"/>
      <c r="AC26" s="3308"/>
      <c r="AD26" s="3308"/>
      <c r="AE26" s="3308"/>
      <c r="AF26" s="3308"/>
      <c r="AG26" s="3308"/>
      <c r="AH26" s="3308"/>
      <c r="AI26" s="3308"/>
      <c r="AJ26" s="3308"/>
      <c r="AK26" s="3308"/>
      <c r="AL26" s="3308"/>
      <c r="AM26" s="3308"/>
      <c r="AN26" s="3308"/>
      <c r="AO26" s="3308"/>
      <c r="AP26" s="3308"/>
      <c r="AQ26" s="3308"/>
      <c r="AR26" s="3308"/>
      <c r="AS26" s="3308"/>
      <c r="AT26" s="3308"/>
      <c r="AU26" s="3308"/>
      <c r="AV26" s="3308"/>
      <c r="AW26" s="3308"/>
      <c r="AX26" s="3308"/>
      <c r="AY26" s="3320"/>
      <c r="AZ26" s="3324"/>
      <c r="BA26" s="3291"/>
      <c r="BC26" s="3315"/>
      <c r="BD26" s="3317"/>
      <c r="BE26" s="3339"/>
      <c r="BF26" s="3325"/>
      <c r="BG26" s="3328"/>
      <c r="BH26" s="3331"/>
      <c r="BI26" s="3334"/>
      <c r="BJ26" s="3336"/>
    </row>
    <row r="27" spans="1:68" ht="17.25" customHeight="1" x14ac:dyDescent="0.3">
      <c r="A27" s="3262"/>
      <c r="B27" s="3263"/>
      <c r="C27" s="3264"/>
      <c r="D27" s="3262"/>
      <c r="E27" s="3263"/>
      <c r="F27" s="3264"/>
      <c r="G27" s="3262"/>
      <c r="H27" s="3263"/>
      <c r="I27" s="3264"/>
      <c r="J27" s="3280">
        <v>39</v>
      </c>
      <c r="K27" s="3292" t="s">
        <v>493</v>
      </c>
      <c r="L27" s="3295" t="s">
        <v>18</v>
      </c>
      <c r="M27" s="3298">
        <v>3</v>
      </c>
      <c r="N27" s="3298">
        <v>3</v>
      </c>
      <c r="O27" s="3296"/>
      <c r="P27" s="3302"/>
      <c r="Q27" s="3284"/>
      <c r="R27" s="3286">
        <f>+S27/74160000</f>
        <v>0.50782092772384035</v>
      </c>
      <c r="S27" s="3289">
        <v>37660000</v>
      </c>
      <c r="T27" s="3284"/>
      <c r="U27" s="3283" t="s">
        <v>494</v>
      </c>
      <c r="V27" s="3283" t="s">
        <v>494</v>
      </c>
      <c r="W27" s="3304">
        <f>27500000+10160000</f>
        <v>37660000</v>
      </c>
      <c r="X27" s="3289">
        <v>15100000</v>
      </c>
      <c r="Y27" s="3289">
        <v>7920000</v>
      </c>
      <c r="Z27" s="3296"/>
      <c r="AA27" s="3284"/>
      <c r="AB27" s="3308"/>
      <c r="AC27" s="3308"/>
      <c r="AD27" s="3308"/>
      <c r="AE27" s="3308"/>
      <c r="AF27" s="3308"/>
      <c r="AG27" s="3308"/>
      <c r="AH27" s="3308"/>
      <c r="AI27" s="3308"/>
      <c r="AJ27" s="3308"/>
      <c r="AK27" s="3308"/>
      <c r="AL27" s="3308"/>
      <c r="AM27" s="3308"/>
      <c r="AN27" s="3308"/>
      <c r="AO27" s="3308"/>
      <c r="AP27" s="3308"/>
      <c r="AQ27" s="3308"/>
      <c r="AR27" s="3308"/>
      <c r="AS27" s="3308"/>
      <c r="AT27" s="3308"/>
      <c r="AU27" s="3308"/>
      <c r="AV27" s="3308"/>
      <c r="AW27" s="3308"/>
      <c r="AX27" s="3308"/>
      <c r="AY27" s="3320"/>
      <c r="AZ27" s="3322">
        <v>2</v>
      </c>
      <c r="BA27" s="3289">
        <v>15100000</v>
      </c>
      <c r="BB27" s="3310">
        <v>7920000</v>
      </c>
      <c r="BC27" s="3313">
        <f>BB27/BA27</f>
        <v>0.52450331125827809</v>
      </c>
      <c r="BD27" s="3317"/>
      <c r="BE27" s="3339"/>
      <c r="BF27" s="3325">
        <v>42745</v>
      </c>
      <c r="BG27" s="3326">
        <v>42768</v>
      </c>
      <c r="BH27" s="3329">
        <v>43094</v>
      </c>
      <c r="BI27" s="3332">
        <v>42918</v>
      </c>
      <c r="BJ27" s="3336"/>
    </row>
    <row r="28" spans="1:68" ht="17.25" customHeight="1" x14ac:dyDescent="0.3">
      <c r="A28" s="3262"/>
      <c r="B28" s="3263"/>
      <c r="C28" s="3264"/>
      <c r="D28" s="3262"/>
      <c r="E28" s="3263"/>
      <c r="F28" s="3264"/>
      <c r="G28" s="3262"/>
      <c r="H28" s="3263"/>
      <c r="I28" s="3264"/>
      <c r="J28" s="3281"/>
      <c r="K28" s="3293"/>
      <c r="L28" s="3296"/>
      <c r="M28" s="3299"/>
      <c r="N28" s="3299"/>
      <c r="O28" s="3296"/>
      <c r="P28" s="3302"/>
      <c r="Q28" s="3284"/>
      <c r="R28" s="3287"/>
      <c r="S28" s="3290"/>
      <c r="T28" s="3284"/>
      <c r="U28" s="3284"/>
      <c r="V28" s="3284"/>
      <c r="W28" s="3305"/>
      <c r="X28" s="3290"/>
      <c r="Y28" s="3290"/>
      <c r="Z28" s="3296"/>
      <c r="AA28" s="3284"/>
      <c r="AB28" s="3308"/>
      <c r="AC28" s="3308"/>
      <c r="AD28" s="3308"/>
      <c r="AE28" s="3308"/>
      <c r="AF28" s="3308"/>
      <c r="AG28" s="3308"/>
      <c r="AH28" s="3308"/>
      <c r="AI28" s="3308"/>
      <c r="AJ28" s="3308"/>
      <c r="AK28" s="3308"/>
      <c r="AL28" s="3308"/>
      <c r="AM28" s="3308"/>
      <c r="AN28" s="3308"/>
      <c r="AO28" s="3308"/>
      <c r="AP28" s="3308"/>
      <c r="AQ28" s="3308"/>
      <c r="AR28" s="3308"/>
      <c r="AS28" s="3308"/>
      <c r="AT28" s="3308"/>
      <c r="AU28" s="3308"/>
      <c r="AV28" s="3308"/>
      <c r="AW28" s="3308"/>
      <c r="AX28" s="3308"/>
      <c r="AY28" s="3320"/>
      <c r="AZ28" s="3323"/>
      <c r="BA28" s="3290"/>
      <c r="BB28" s="3311"/>
      <c r="BC28" s="3314"/>
      <c r="BD28" s="3317"/>
      <c r="BE28" s="3339"/>
      <c r="BF28" s="3325"/>
      <c r="BG28" s="3327"/>
      <c r="BH28" s="3330"/>
      <c r="BI28" s="3333"/>
      <c r="BJ28" s="3336"/>
    </row>
    <row r="29" spans="1:68" ht="17.25" customHeight="1" x14ac:dyDescent="0.3">
      <c r="A29" s="3262"/>
      <c r="B29" s="3263"/>
      <c r="C29" s="3264"/>
      <c r="D29" s="3262"/>
      <c r="E29" s="3263"/>
      <c r="F29" s="3264"/>
      <c r="G29" s="3262"/>
      <c r="H29" s="3263"/>
      <c r="I29" s="3264"/>
      <c r="J29" s="3281"/>
      <c r="K29" s="3293"/>
      <c r="L29" s="3296"/>
      <c r="M29" s="3299"/>
      <c r="N29" s="3299"/>
      <c r="O29" s="3296"/>
      <c r="P29" s="3302"/>
      <c r="Q29" s="3284"/>
      <c r="R29" s="3287"/>
      <c r="S29" s="3290"/>
      <c r="T29" s="3284"/>
      <c r="U29" s="3284"/>
      <c r="V29" s="3284"/>
      <c r="W29" s="3305"/>
      <c r="X29" s="3290"/>
      <c r="Y29" s="3290"/>
      <c r="Z29" s="3296"/>
      <c r="AA29" s="3284"/>
      <c r="AB29" s="3308"/>
      <c r="AC29" s="3308"/>
      <c r="AD29" s="3308"/>
      <c r="AE29" s="3308"/>
      <c r="AF29" s="3308"/>
      <c r="AG29" s="3308"/>
      <c r="AH29" s="3308"/>
      <c r="AI29" s="3308"/>
      <c r="AJ29" s="3308"/>
      <c r="AK29" s="3308"/>
      <c r="AL29" s="3308"/>
      <c r="AM29" s="3308"/>
      <c r="AN29" s="3308"/>
      <c r="AO29" s="3308"/>
      <c r="AP29" s="3308"/>
      <c r="AQ29" s="3308"/>
      <c r="AR29" s="3308"/>
      <c r="AS29" s="3308"/>
      <c r="AT29" s="3308"/>
      <c r="AU29" s="3308"/>
      <c r="AV29" s="3308"/>
      <c r="AW29" s="3308"/>
      <c r="AX29" s="3308"/>
      <c r="AY29" s="3320"/>
      <c r="AZ29" s="3323"/>
      <c r="BA29" s="3290"/>
      <c r="BB29" s="3311"/>
      <c r="BC29" s="3314"/>
      <c r="BD29" s="3317"/>
      <c r="BE29" s="3339"/>
      <c r="BF29" s="3325"/>
      <c r="BG29" s="3327"/>
      <c r="BH29" s="3330"/>
      <c r="BI29" s="3333"/>
      <c r="BJ29" s="3336"/>
    </row>
    <row r="30" spans="1:68" ht="17.25" customHeight="1" x14ac:dyDescent="0.3">
      <c r="A30" s="3262"/>
      <c r="B30" s="3263"/>
      <c r="C30" s="3264"/>
      <c r="D30" s="3262"/>
      <c r="E30" s="3263"/>
      <c r="F30" s="3264"/>
      <c r="G30" s="3262"/>
      <c r="H30" s="3263"/>
      <c r="I30" s="3264"/>
      <c r="J30" s="3281"/>
      <c r="K30" s="3293"/>
      <c r="L30" s="3296"/>
      <c r="M30" s="3299"/>
      <c r="N30" s="3299"/>
      <c r="O30" s="3296"/>
      <c r="P30" s="3302"/>
      <c r="Q30" s="3284"/>
      <c r="R30" s="3287"/>
      <c r="S30" s="3290"/>
      <c r="T30" s="3284"/>
      <c r="U30" s="3284"/>
      <c r="V30" s="3284"/>
      <c r="W30" s="3305"/>
      <c r="X30" s="3290"/>
      <c r="Y30" s="3290"/>
      <c r="Z30" s="3296"/>
      <c r="AA30" s="3284"/>
      <c r="AB30" s="3308"/>
      <c r="AC30" s="3308"/>
      <c r="AD30" s="3308"/>
      <c r="AE30" s="3308"/>
      <c r="AF30" s="3308"/>
      <c r="AG30" s="3308"/>
      <c r="AH30" s="3308"/>
      <c r="AI30" s="3308"/>
      <c r="AJ30" s="3308"/>
      <c r="AK30" s="3308"/>
      <c r="AL30" s="3308"/>
      <c r="AM30" s="3308"/>
      <c r="AN30" s="3308"/>
      <c r="AO30" s="3308"/>
      <c r="AP30" s="3308"/>
      <c r="AQ30" s="3308"/>
      <c r="AR30" s="3308"/>
      <c r="AS30" s="3308"/>
      <c r="AT30" s="3308"/>
      <c r="AU30" s="3308"/>
      <c r="AV30" s="3308"/>
      <c r="AW30" s="3308"/>
      <c r="AX30" s="3308"/>
      <c r="AY30" s="3320"/>
      <c r="AZ30" s="3323"/>
      <c r="BA30" s="3290"/>
      <c r="BB30" s="3311"/>
      <c r="BC30" s="3314"/>
      <c r="BD30" s="3317"/>
      <c r="BE30" s="3339"/>
      <c r="BF30" s="3325"/>
      <c r="BG30" s="3327"/>
      <c r="BH30" s="3330"/>
      <c r="BI30" s="3333"/>
      <c r="BJ30" s="3336"/>
      <c r="BP30" s="1182" t="s">
        <v>171</v>
      </c>
    </row>
    <row r="31" spans="1:68" s="1200" customFormat="1" ht="17.25" customHeight="1" x14ac:dyDescent="0.3">
      <c r="A31" s="3262"/>
      <c r="B31" s="3263"/>
      <c r="C31" s="3264"/>
      <c r="D31" s="3262"/>
      <c r="E31" s="3263"/>
      <c r="F31" s="3264"/>
      <c r="G31" s="3262"/>
      <c r="H31" s="3263"/>
      <c r="I31" s="3264"/>
      <c r="J31" s="3282"/>
      <c r="K31" s="3294"/>
      <c r="L31" s="3297"/>
      <c r="M31" s="3300"/>
      <c r="N31" s="3300"/>
      <c r="O31" s="3297"/>
      <c r="P31" s="3303"/>
      <c r="Q31" s="3285"/>
      <c r="R31" s="3288"/>
      <c r="S31" s="3291"/>
      <c r="T31" s="3285"/>
      <c r="U31" s="3285"/>
      <c r="V31" s="3285"/>
      <c r="W31" s="3306"/>
      <c r="X31" s="3291"/>
      <c r="Y31" s="3291"/>
      <c r="Z31" s="3297"/>
      <c r="AA31" s="3285"/>
      <c r="AB31" s="3309"/>
      <c r="AC31" s="3309"/>
      <c r="AD31" s="3309"/>
      <c r="AE31" s="3309"/>
      <c r="AF31" s="3309"/>
      <c r="AG31" s="3309"/>
      <c r="AH31" s="3309"/>
      <c r="AI31" s="3309"/>
      <c r="AJ31" s="3309"/>
      <c r="AK31" s="3309"/>
      <c r="AL31" s="3309"/>
      <c r="AM31" s="3309"/>
      <c r="AN31" s="3309"/>
      <c r="AO31" s="3309"/>
      <c r="AP31" s="3309"/>
      <c r="AQ31" s="3309"/>
      <c r="AR31" s="3309"/>
      <c r="AS31" s="3309"/>
      <c r="AT31" s="3309"/>
      <c r="AU31" s="3309"/>
      <c r="AV31" s="3309"/>
      <c r="AW31" s="3309"/>
      <c r="AX31" s="3309"/>
      <c r="AY31" s="3321"/>
      <c r="AZ31" s="3324"/>
      <c r="BA31" s="3291"/>
      <c r="BB31" s="3312"/>
      <c r="BC31" s="3315"/>
      <c r="BD31" s="3318"/>
      <c r="BE31" s="3340"/>
      <c r="BF31" s="3325"/>
      <c r="BG31" s="3328"/>
      <c r="BH31" s="3331"/>
      <c r="BI31" s="3334"/>
      <c r="BJ31" s="3337"/>
    </row>
    <row r="32" spans="1:68" s="1200" customFormat="1" ht="17.25" customHeight="1" x14ac:dyDescent="0.3">
      <c r="A32" s="3262"/>
      <c r="B32" s="3263"/>
      <c r="C32" s="3264"/>
      <c r="D32" s="3262"/>
      <c r="E32" s="3263"/>
      <c r="F32" s="3264"/>
      <c r="G32" s="3262"/>
      <c r="H32" s="3263"/>
      <c r="I32" s="3264"/>
      <c r="J32" s="3341">
        <v>40</v>
      </c>
      <c r="K32" s="3292" t="s">
        <v>495</v>
      </c>
      <c r="L32" s="3344" t="s">
        <v>18</v>
      </c>
      <c r="M32" s="3347">
        <v>0.35</v>
      </c>
      <c r="N32" s="3350">
        <v>0</v>
      </c>
      <c r="O32" s="3295" t="s">
        <v>496</v>
      </c>
      <c r="P32" s="3301" t="s">
        <v>497</v>
      </c>
      <c r="Q32" s="3283" t="s">
        <v>498</v>
      </c>
      <c r="R32" s="3357">
        <f>+S32/135300000</f>
        <v>0.32889874353288989</v>
      </c>
      <c r="S32" s="3353">
        <v>44500000</v>
      </c>
      <c r="T32" s="3283" t="s">
        <v>499</v>
      </c>
      <c r="U32" s="3283" t="s">
        <v>500</v>
      </c>
      <c r="V32" s="3283" t="s">
        <v>501</v>
      </c>
      <c r="W32" s="3353">
        <f>10000000+16700000</f>
        <v>26700000</v>
      </c>
      <c r="X32" s="3356">
        <v>5000000</v>
      </c>
      <c r="Y32" s="3356">
        <v>5000000</v>
      </c>
      <c r="Z32" s="3295" t="s">
        <v>489</v>
      </c>
      <c r="AA32" s="3283" t="s">
        <v>490</v>
      </c>
      <c r="AB32" s="3307">
        <v>64149</v>
      </c>
      <c r="AC32" s="3307"/>
      <c r="AD32" s="3307" t="s">
        <v>502</v>
      </c>
      <c r="AE32" s="3307"/>
      <c r="AF32" s="3307" t="s">
        <v>503</v>
      </c>
      <c r="AG32" s="3307"/>
      <c r="AH32" s="3307" t="s">
        <v>504</v>
      </c>
      <c r="AI32" s="3307"/>
      <c r="AJ32" s="3307" t="s">
        <v>505</v>
      </c>
      <c r="AK32" s="3307"/>
      <c r="AL32" s="3307" t="s">
        <v>506</v>
      </c>
      <c r="AM32" s="3307"/>
      <c r="AN32" s="3307">
        <v>13208</v>
      </c>
      <c r="AO32" s="3307"/>
      <c r="AP32" s="3307">
        <v>1827</v>
      </c>
      <c r="AQ32" s="3307"/>
      <c r="AR32" s="3307"/>
      <c r="AS32" s="3307"/>
      <c r="AT32" s="3307"/>
      <c r="AU32" s="3307"/>
      <c r="AV32" s="3307">
        <v>16897</v>
      </c>
      <c r="AW32" s="3307"/>
      <c r="AX32" s="3307">
        <v>81384</v>
      </c>
      <c r="AY32" s="3319"/>
      <c r="AZ32" s="3322">
        <v>1</v>
      </c>
      <c r="BA32" s="3376">
        <v>5000000</v>
      </c>
      <c r="BB32" s="3376">
        <v>5000000</v>
      </c>
      <c r="BC32" s="3313">
        <f>BB32/BA32</f>
        <v>1</v>
      </c>
      <c r="BD32" s="3379" t="s">
        <v>490</v>
      </c>
      <c r="BE32" s="3382" t="s">
        <v>507</v>
      </c>
      <c r="BF32" s="3363">
        <v>42745</v>
      </c>
      <c r="BG32" s="3366">
        <v>42760</v>
      </c>
      <c r="BH32" s="3369">
        <v>43094</v>
      </c>
      <c r="BI32" s="3366">
        <v>42910</v>
      </c>
      <c r="BJ32" s="3370" t="s">
        <v>508</v>
      </c>
    </row>
    <row r="33" spans="1:62" s="1200" customFormat="1" ht="30.75" customHeight="1" x14ac:dyDescent="0.3">
      <c r="A33" s="3262"/>
      <c r="B33" s="3263"/>
      <c r="C33" s="3264"/>
      <c r="D33" s="3262"/>
      <c r="E33" s="3263"/>
      <c r="F33" s="3264"/>
      <c r="G33" s="3262"/>
      <c r="H33" s="3263"/>
      <c r="I33" s="3264"/>
      <c r="J33" s="3342"/>
      <c r="K33" s="3293"/>
      <c r="L33" s="3345"/>
      <c r="M33" s="3348"/>
      <c r="N33" s="3351"/>
      <c r="O33" s="3296"/>
      <c r="P33" s="3302"/>
      <c r="Q33" s="3284"/>
      <c r="R33" s="3358"/>
      <c r="S33" s="3354"/>
      <c r="T33" s="3284"/>
      <c r="U33" s="3284"/>
      <c r="V33" s="3284"/>
      <c r="W33" s="3354"/>
      <c r="X33" s="3356"/>
      <c r="Y33" s="3356"/>
      <c r="Z33" s="3296"/>
      <c r="AA33" s="3284"/>
      <c r="AB33" s="3308"/>
      <c r="AC33" s="3308"/>
      <c r="AD33" s="3308"/>
      <c r="AE33" s="3308"/>
      <c r="AF33" s="3308"/>
      <c r="AG33" s="3308"/>
      <c r="AH33" s="3308"/>
      <c r="AI33" s="3308"/>
      <c r="AJ33" s="3308"/>
      <c r="AK33" s="3308"/>
      <c r="AL33" s="3308"/>
      <c r="AM33" s="3308"/>
      <c r="AN33" s="3308"/>
      <c r="AO33" s="3308"/>
      <c r="AP33" s="3308"/>
      <c r="AQ33" s="3308"/>
      <c r="AR33" s="3308"/>
      <c r="AS33" s="3308"/>
      <c r="AT33" s="3308"/>
      <c r="AU33" s="3308"/>
      <c r="AV33" s="3308"/>
      <c r="AW33" s="3308"/>
      <c r="AX33" s="3308"/>
      <c r="AY33" s="3320"/>
      <c r="AZ33" s="3323"/>
      <c r="BA33" s="3377"/>
      <c r="BB33" s="3377"/>
      <c r="BC33" s="3314"/>
      <c r="BD33" s="3380"/>
      <c r="BE33" s="3383"/>
      <c r="BF33" s="3364"/>
      <c r="BG33" s="3367"/>
      <c r="BH33" s="3369"/>
      <c r="BI33" s="3367"/>
      <c r="BJ33" s="3371"/>
    </row>
    <row r="34" spans="1:62" s="1200" customFormat="1" ht="17.25" customHeight="1" x14ac:dyDescent="0.3">
      <c r="A34" s="3262"/>
      <c r="B34" s="3263"/>
      <c r="C34" s="3264"/>
      <c r="D34" s="3262"/>
      <c r="E34" s="3263"/>
      <c r="F34" s="3264"/>
      <c r="G34" s="3262"/>
      <c r="H34" s="3263"/>
      <c r="I34" s="3264"/>
      <c r="J34" s="3342"/>
      <c r="K34" s="3293"/>
      <c r="L34" s="3345"/>
      <c r="M34" s="3348"/>
      <c r="N34" s="3351"/>
      <c r="O34" s="3296"/>
      <c r="P34" s="3302"/>
      <c r="Q34" s="3284"/>
      <c r="R34" s="3358"/>
      <c r="S34" s="3354"/>
      <c r="T34" s="3284"/>
      <c r="U34" s="3284"/>
      <c r="V34" s="3284"/>
      <c r="W34" s="3354"/>
      <c r="X34" s="3356"/>
      <c r="Y34" s="3356"/>
      <c r="Z34" s="3296"/>
      <c r="AA34" s="3284"/>
      <c r="AB34" s="3308"/>
      <c r="AC34" s="3308"/>
      <c r="AD34" s="3308"/>
      <c r="AE34" s="3308"/>
      <c r="AF34" s="3308"/>
      <c r="AG34" s="3308"/>
      <c r="AH34" s="3308"/>
      <c r="AI34" s="3308"/>
      <c r="AJ34" s="3308"/>
      <c r="AK34" s="3308"/>
      <c r="AL34" s="3308"/>
      <c r="AM34" s="3308"/>
      <c r="AN34" s="3308"/>
      <c r="AO34" s="3308"/>
      <c r="AP34" s="3308"/>
      <c r="AQ34" s="3308"/>
      <c r="AR34" s="3308"/>
      <c r="AS34" s="3308"/>
      <c r="AT34" s="3308"/>
      <c r="AU34" s="3308"/>
      <c r="AV34" s="3308"/>
      <c r="AW34" s="3308"/>
      <c r="AX34" s="3308"/>
      <c r="AY34" s="3320"/>
      <c r="AZ34" s="3323"/>
      <c r="BA34" s="3377"/>
      <c r="BB34" s="3377"/>
      <c r="BC34" s="3314"/>
      <c r="BD34" s="3380"/>
      <c r="BE34" s="3383"/>
      <c r="BF34" s="3364"/>
      <c r="BG34" s="3367"/>
      <c r="BH34" s="3369"/>
      <c r="BI34" s="3367"/>
      <c r="BJ34" s="3371"/>
    </row>
    <row r="35" spans="1:62" s="1200" customFormat="1" ht="17.25" customHeight="1" x14ac:dyDescent="0.3">
      <c r="A35" s="3262"/>
      <c r="B35" s="3263"/>
      <c r="C35" s="3264"/>
      <c r="D35" s="3262"/>
      <c r="E35" s="3263"/>
      <c r="F35" s="3264"/>
      <c r="G35" s="3262"/>
      <c r="H35" s="3263"/>
      <c r="I35" s="3264"/>
      <c r="J35" s="3342"/>
      <c r="K35" s="3293"/>
      <c r="L35" s="3345"/>
      <c r="M35" s="3348"/>
      <c r="N35" s="3351"/>
      <c r="O35" s="3296"/>
      <c r="P35" s="3302"/>
      <c r="Q35" s="3284"/>
      <c r="R35" s="3358"/>
      <c r="S35" s="3354"/>
      <c r="T35" s="3284"/>
      <c r="U35" s="3284"/>
      <c r="V35" s="3285"/>
      <c r="W35" s="3355"/>
      <c r="X35" s="3356"/>
      <c r="Y35" s="3356"/>
      <c r="Z35" s="3296"/>
      <c r="AA35" s="3284"/>
      <c r="AB35" s="3308"/>
      <c r="AC35" s="3308"/>
      <c r="AD35" s="3308"/>
      <c r="AE35" s="3308"/>
      <c r="AF35" s="3308"/>
      <c r="AG35" s="3308"/>
      <c r="AH35" s="3308"/>
      <c r="AI35" s="3308"/>
      <c r="AJ35" s="3308"/>
      <c r="AK35" s="3308"/>
      <c r="AL35" s="3308"/>
      <c r="AM35" s="3308"/>
      <c r="AN35" s="3308"/>
      <c r="AO35" s="3308"/>
      <c r="AP35" s="3308"/>
      <c r="AQ35" s="3308"/>
      <c r="AR35" s="3308"/>
      <c r="AS35" s="3308"/>
      <c r="AT35" s="3308"/>
      <c r="AU35" s="3308"/>
      <c r="AV35" s="3308"/>
      <c r="AW35" s="3308"/>
      <c r="AX35" s="3308"/>
      <c r="AY35" s="3320"/>
      <c r="AZ35" s="3323"/>
      <c r="BA35" s="3377"/>
      <c r="BB35" s="3377"/>
      <c r="BC35" s="3314"/>
      <c r="BD35" s="3380"/>
      <c r="BE35" s="3383"/>
      <c r="BF35" s="3364"/>
      <c r="BG35" s="3367"/>
      <c r="BH35" s="3369"/>
      <c r="BI35" s="3367"/>
      <c r="BJ35" s="3371"/>
    </row>
    <row r="36" spans="1:62" s="1200" customFormat="1" ht="17.25" customHeight="1" x14ac:dyDescent="0.3">
      <c r="A36" s="3262"/>
      <c r="B36" s="3263"/>
      <c r="C36" s="3264"/>
      <c r="D36" s="3262"/>
      <c r="E36" s="3263"/>
      <c r="F36" s="3264"/>
      <c r="G36" s="3262"/>
      <c r="H36" s="3263"/>
      <c r="I36" s="3264"/>
      <c r="J36" s="3342"/>
      <c r="K36" s="3293"/>
      <c r="L36" s="3345"/>
      <c r="M36" s="3348"/>
      <c r="N36" s="3351"/>
      <c r="O36" s="3296"/>
      <c r="P36" s="3302"/>
      <c r="Q36" s="3284"/>
      <c r="R36" s="3358"/>
      <c r="S36" s="3354"/>
      <c r="T36" s="3284"/>
      <c r="U36" s="3284"/>
      <c r="V36" s="3283" t="s">
        <v>509</v>
      </c>
      <c r="W36" s="3353">
        <f>12000000+5800000</f>
        <v>17800000</v>
      </c>
      <c r="X36" s="1201"/>
      <c r="Y36" s="1201"/>
      <c r="Z36" s="3296"/>
      <c r="AA36" s="3284"/>
      <c r="AB36" s="3308"/>
      <c r="AC36" s="3308"/>
      <c r="AD36" s="3308"/>
      <c r="AE36" s="3308"/>
      <c r="AF36" s="3308"/>
      <c r="AG36" s="3308"/>
      <c r="AH36" s="3308"/>
      <c r="AI36" s="3308"/>
      <c r="AJ36" s="3308"/>
      <c r="AK36" s="3308"/>
      <c r="AL36" s="3308"/>
      <c r="AM36" s="3308"/>
      <c r="AN36" s="3308"/>
      <c r="AO36" s="3308"/>
      <c r="AP36" s="3308"/>
      <c r="AQ36" s="3308"/>
      <c r="AR36" s="3308"/>
      <c r="AS36" s="3308"/>
      <c r="AT36" s="3308"/>
      <c r="AU36" s="3308"/>
      <c r="AV36" s="3308"/>
      <c r="AW36" s="3308"/>
      <c r="AX36" s="3308"/>
      <c r="AY36" s="3320"/>
      <c r="AZ36" s="3323"/>
      <c r="BA36" s="3377"/>
      <c r="BB36" s="3377"/>
      <c r="BC36" s="3314"/>
      <c r="BD36" s="3380"/>
      <c r="BE36" s="3383"/>
      <c r="BF36" s="3364"/>
      <c r="BG36" s="3367"/>
      <c r="BH36" s="3369"/>
      <c r="BI36" s="3367"/>
      <c r="BJ36" s="3371"/>
    </row>
    <row r="37" spans="1:62" s="1200" customFormat="1" ht="17.25" customHeight="1" x14ac:dyDescent="0.3">
      <c r="A37" s="3262"/>
      <c r="B37" s="3263"/>
      <c r="C37" s="3264"/>
      <c r="D37" s="3262"/>
      <c r="E37" s="3263"/>
      <c r="F37" s="3264"/>
      <c r="G37" s="3262"/>
      <c r="H37" s="3263"/>
      <c r="I37" s="3264"/>
      <c r="J37" s="3342"/>
      <c r="K37" s="3293"/>
      <c r="L37" s="3345"/>
      <c r="M37" s="3348"/>
      <c r="N37" s="3351"/>
      <c r="O37" s="3296"/>
      <c r="P37" s="3302"/>
      <c r="Q37" s="3284"/>
      <c r="R37" s="3358"/>
      <c r="S37" s="3354"/>
      <c r="T37" s="3284"/>
      <c r="U37" s="3284"/>
      <c r="V37" s="3284"/>
      <c r="W37" s="3354"/>
      <c r="X37" s="1201"/>
      <c r="Y37" s="1201"/>
      <c r="Z37" s="3296"/>
      <c r="AA37" s="3284"/>
      <c r="AB37" s="3308"/>
      <c r="AC37" s="3308"/>
      <c r="AD37" s="3308"/>
      <c r="AE37" s="3308"/>
      <c r="AF37" s="3308"/>
      <c r="AG37" s="3308"/>
      <c r="AH37" s="3308"/>
      <c r="AI37" s="3308"/>
      <c r="AJ37" s="3308"/>
      <c r="AK37" s="3308"/>
      <c r="AL37" s="3308"/>
      <c r="AM37" s="3308"/>
      <c r="AN37" s="3308"/>
      <c r="AO37" s="3308"/>
      <c r="AP37" s="3308"/>
      <c r="AQ37" s="3308"/>
      <c r="AR37" s="3308"/>
      <c r="AS37" s="3308"/>
      <c r="AT37" s="3308"/>
      <c r="AU37" s="3308"/>
      <c r="AV37" s="3308"/>
      <c r="AW37" s="3308"/>
      <c r="AX37" s="3308"/>
      <c r="AY37" s="3320"/>
      <c r="AZ37" s="3323"/>
      <c r="BA37" s="3377"/>
      <c r="BB37" s="3377"/>
      <c r="BC37" s="3314"/>
      <c r="BD37" s="3380"/>
      <c r="BE37" s="3383"/>
      <c r="BF37" s="3364"/>
      <c r="BG37" s="3367"/>
      <c r="BH37" s="3369"/>
      <c r="BI37" s="3367"/>
      <c r="BJ37" s="3371"/>
    </row>
    <row r="38" spans="1:62" s="1200" customFormat="1" ht="17.25" customHeight="1" x14ac:dyDescent="0.3">
      <c r="A38" s="3262"/>
      <c r="B38" s="3263"/>
      <c r="C38" s="3264"/>
      <c r="D38" s="3262"/>
      <c r="E38" s="3263"/>
      <c r="F38" s="3264"/>
      <c r="G38" s="3262"/>
      <c r="H38" s="3263"/>
      <c r="I38" s="3264"/>
      <c r="J38" s="3342"/>
      <c r="K38" s="3293"/>
      <c r="L38" s="3345"/>
      <c r="M38" s="3348"/>
      <c r="N38" s="3351"/>
      <c r="O38" s="3296"/>
      <c r="P38" s="3302"/>
      <c r="Q38" s="3284"/>
      <c r="R38" s="3358"/>
      <c r="S38" s="3354"/>
      <c r="T38" s="3284"/>
      <c r="U38" s="3284"/>
      <c r="V38" s="3284"/>
      <c r="W38" s="3354"/>
      <c r="X38" s="1201"/>
      <c r="Y38" s="1201"/>
      <c r="Z38" s="3296"/>
      <c r="AA38" s="3284"/>
      <c r="AB38" s="3308"/>
      <c r="AC38" s="3308"/>
      <c r="AD38" s="3308"/>
      <c r="AE38" s="3308"/>
      <c r="AF38" s="3308"/>
      <c r="AG38" s="3308"/>
      <c r="AH38" s="3308"/>
      <c r="AI38" s="3308"/>
      <c r="AJ38" s="3308"/>
      <c r="AK38" s="3308"/>
      <c r="AL38" s="3308"/>
      <c r="AM38" s="3308"/>
      <c r="AN38" s="3308"/>
      <c r="AO38" s="3308"/>
      <c r="AP38" s="3308"/>
      <c r="AQ38" s="3308"/>
      <c r="AR38" s="3308"/>
      <c r="AS38" s="3308"/>
      <c r="AT38" s="3308"/>
      <c r="AU38" s="3308"/>
      <c r="AV38" s="3308"/>
      <c r="AW38" s="3308"/>
      <c r="AX38" s="3308"/>
      <c r="AY38" s="3320"/>
      <c r="AZ38" s="3323"/>
      <c r="BA38" s="3377"/>
      <c r="BB38" s="3377"/>
      <c r="BC38" s="3314"/>
      <c r="BD38" s="3380"/>
      <c r="BE38" s="3383"/>
      <c r="BF38" s="3364"/>
      <c r="BG38" s="3367"/>
      <c r="BH38" s="3369"/>
      <c r="BI38" s="3367"/>
      <c r="BJ38" s="3371"/>
    </row>
    <row r="39" spans="1:62" s="1200" customFormat="1" ht="17.25" customHeight="1" x14ac:dyDescent="0.3">
      <c r="A39" s="3262"/>
      <c r="B39" s="3263"/>
      <c r="C39" s="3264"/>
      <c r="D39" s="3262"/>
      <c r="E39" s="3263"/>
      <c r="F39" s="3264"/>
      <c r="G39" s="3262"/>
      <c r="H39" s="3263"/>
      <c r="I39" s="3264"/>
      <c r="J39" s="3343"/>
      <c r="K39" s="3294"/>
      <c r="L39" s="3345"/>
      <c r="M39" s="3349"/>
      <c r="N39" s="3352"/>
      <c r="O39" s="3296"/>
      <c r="P39" s="3302"/>
      <c r="Q39" s="3284"/>
      <c r="R39" s="3359"/>
      <c r="S39" s="3355"/>
      <c r="T39" s="3284"/>
      <c r="U39" s="3285"/>
      <c r="V39" s="3285"/>
      <c r="W39" s="3355"/>
      <c r="X39" s="1202"/>
      <c r="Y39" s="1202"/>
      <c r="Z39" s="3297"/>
      <c r="AA39" s="3285"/>
      <c r="AB39" s="3308"/>
      <c r="AC39" s="3308"/>
      <c r="AD39" s="3308"/>
      <c r="AE39" s="3308"/>
      <c r="AF39" s="3308"/>
      <c r="AG39" s="3308"/>
      <c r="AH39" s="3308"/>
      <c r="AI39" s="3308"/>
      <c r="AJ39" s="3308"/>
      <c r="AK39" s="3308"/>
      <c r="AL39" s="3308"/>
      <c r="AM39" s="3308"/>
      <c r="AN39" s="3308"/>
      <c r="AO39" s="3308"/>
      <c r="AP39" s="3308"/>
      <c r="AQ39" s="3308"/>
      <c r="AR39" s="3308"/>
      <c r="AS39" s="3308"/>
      <c r="AT39" s="3308"/>
      <c r="AU39" s="3308"/>
      <c r="AV39" s="3308"/>
      <c r="AW39" s="3308"/>
      <c r="AX39" s="3308"/>
      <c r="AY39" s="3320"/>
      <c r="AZ39" s="3324"/>
      <c r="BA39" s="3378"/>
      <c r="BB39" s="3378"/>
      <c r="BC39" s="3315"/>
      <c r="BD39" s="3380"/>
      <c r="BE39" s="3383"/>
      <c r="BF39" s="3365"/>
      <c r="BG39" s="3368"/>
      <c r="BH39" s="3369"/>
      <c r="BI39" s="3368"/>
      <c r="BJ39" s="3371"/>
    </row>
    <row r="40" spans="1:62" s="1200" customFormat="1" ht="17.25" customHeight="1" x14ac:dyDescent="0.3">
      <c r="A40" s="3262"/>
      <c r="B40" s="3263"/>
      <c r="C40" s="3264"/>
      <c r="D40" s="3262"/>
      <c r="E40" s="3263"/>
      <c r="F40" s="3264"/>
      <c r="G40" s="3262"/>
      <c r="H40" s="3263"/>
      <c r="I40" s="3264"/>
      <c r="J40" s="3341">
        <v>41</v>
      </c>
      <c r="K40" s="3292" t="s">
        <v>510</v>
      </c>
      <c r="L40" s="3345"/>
      <c r="M40" s="3350">
        <v>1</v>
      </c>
      <c r="N40" s="3350">
        <v>0</v>
      </c>
      <c r="O40" s="3296"/>
      <c r="P40" s="3302"/>
      <c r="Q40" s="3284"/>
      <c r="R40" s="3360">
        <f>+S40/135300000</f>
        <v>0.11086474501108648</v>
      </c>
      <c r="S40" s="3353">
        <v>15000000</v>
      </c>
      <c r="T40" s="3284"/>
      <c r="U40" s="3283" t="s">
        <v>511</v>
      </c>
      <c r="V40" s="3283" t="s">
        <v>512</v>
      </c>
      <c r="W40" s="3353">
        <f>27500000-22500000+10000000</f>
        <v>15000000</v>
      </c>
      <c r="X40" s="3373"/>
      <c r="Y40" s="3373"/>
      <c r="Z40" s="3295" t="s">
        <v>489</v>
      </c>
      <c r="AA40" s="3283" t="s">
        <v>490</v>
      </c>
      <c r="AB40" s="3308"/>
      <c r="AC40" s="3308"/>
      <c r="AD40" s="3308"/>
      <c r="AE40" s="3308"/>
      <c r="AF40" s="3308"/>
      <c r="AG40" s="3308"/>
      <c r="AH40" s="3308"/>
      <c r="AI40" s="3308"/>
      <c r="AJ40" s="3308"/>
      <c r="AK40" s="3308"/>
      <c r="AL40" s="3308"/>
      <c r="AM40" s="3308"/>
      <c r="AN40" s="3308"/>
      <c r="AO40" s="3308"/>
      <c r="AP40" s="3308"/>
      <c r="AQ40" s="3308"/>
      <c r="AR40" s="3308"/>
      <c r="AS40" s="3308"/>
      <c r="AT40" s="3308"/>
      <c r="AU40" s="3308"/>
      <c r="AV40" s="3308"/>
      <c r="AW40" s="3308"/>
      <c r="AX40" s="3308"/>
      <c r="AY40" s="3320"/>
      <c r="AZ40" s="3322"/>
      <c r="BA40" s="3376"/>
      <c r="BB40" s="3376"/>
      <c r="BC40" s="3357"/>
      <c r="BD40" s="3380"/>
      <c r="BE40" s="3383"/>
      <c r="BF40" s="3363">
        <v>42745</v>
      </c>
      <c r="BG40" s="3366"/>
      <c r="BH40" s="3369"/>
      <c r="BI40" s="3366"/>
      <c r="BJ40" s="3371"/>
    </row>
    <row r="41" spans="1:62" s="1200" customFormat="1" ht="17.25" customHeight="1" x14ac:dyDescent="0.3">
      <c r="A41" s="3262"/>
      <c r="B41" s="3263"/>
      <c r="C41" s="3264"/>
      <c r="D41" s="3262"/>
      <c r="E41" s="3263"/>
      <c r="F41" s="3264"/>
      <c r="G41" s="3262"/>
      <c r="H41" s="3263"/>
      <c r="I41" s="3264"/>
      <c r="J41" s="3342"/>
      <c r="K41" s="3293"/>
      <c r="L41" s="3345"/>
      <c r="M41" s="3351"/>
      <c r="N41" s="3351"/>
      <c r="O41" s="3296"/>
      <c r="P41" s="3302"/>
      <c r="Q41" s="3284"/>
      <c r="R41" s="3361"/>
      <c r="S41" s="3354"/>
      <c r="T41" s="3284"/>
      <c r="U41" s="3284"/>
      <c r="V41" s="3284"/>
      <c r="W41" s="3354"/>
      <c r="X41" s="3374"/>
      <c r="Y41" s="3374"/>
      <c r="Z41" s="3296"/>
      <c r="AA41" s="3284"/>
      <c r="AB41" s="3308"/>
      <c r="AC41" s="3308"/>
      <c r="AD41" s="3308"/>
      <c r="AE41" s="3308"/>
      <c r="AF41" s="3308"/>
      <c r="AG41" s="3308"/>
      <c r="AH41" s="3308"/>
      <c r="AI41" s="3308"/>
      <c r="AJ41" s="3308"/>
      <c r="AK41" s="3308"/>
      <c r="AL41" s="3308"/>
      <c r="AM41" s="3308"/>
      <c r="AN41" s="3308"/>
      <c r="AO41" s="3308"/>
      <c r="AP41" s="3308"/>
      <c r="AQ41" s="3308"/>
      <c r="AR41" s="3308"/>
      <c r="AS41" s="3308"/>
      <c r="AT41" s="3308"/>
      <c r="AU41" s="3308"/>
      <c r="AV41" s="3308"/>
      <c r="AW41" s="3308"/>
      <c r="AX41" s="3308"/>
      <c r="AY41" s="3320"/>
      <c r="AZ41" s="3323"/>
      <c r="BA41" s="3377"/>
      <c r="BB41" s="3377"/>
      <c r="BC41" s="3358"/>
      <c r="BD41" s="3380"/>
      <c r="BE41" s="3383"/>
      <c r="BF41" s="3364"/>
      <c r="BG41" s="3367"/>
      <c r="BH41" s="3369"/>
      <c r="BI41" s="3367"/>
      <c r="BJ41" s="3371"/>
    </row>
    <row r="42" spans="1:62" s="1200" customFormat="1" ht="17.25" customHeight="1" x14ac:dyDescent="0.3">
      <c r="A42" s="3262"/>
      <c r="B42" s="3263"/>
      <c r="C42" s="3264"/>
      <c r="D42" s="3262"/>
      <c r="E42" s="3263"/>
      <c r="F42" s="3264"/>
      <c r="G42" s="3262"/>
      <c r="H42" s="3263"/>
      <c r="I42" s="3264"/>
      <c r="J42" s="3342"/>
      <c r="K42" s="3293"/>
      <c r="L42" s="3345"/>
      <c r="M42" s="3351"/>
      <c r="N42" s="3351"/>
      <c r="O42" s="3296"/>
      <c r="P42" s="3302"/>
      <c r="Q42" s="3284"/>
      <c r="R42" s="3361"/>
      <c r="S42" s="3354"/>
      <c r="T42" s="3284"/>
      <c r="U42" s="3284"/>
      <c r="V42" s="3284"/>
      <c r="W42" s="3354"/>
      <c r="X42" s="3374"/>
      <c r="Y42" s="3374"/>
      <c r="Z42" s="3296"/>
      <c r="AA42" s="3284"/>
      <c r="AB42" s="3308"/>
      <c r="AC42" s="3308"/>
      <c r="AD42" s="3308"/>
      <c r="AE42" s="3308"/>
      <c r="AF42" s="3308"/>
      <c r="AG42" s="3308"/>
      <c r="AH42" s="3308"/>
      <c r="AI42" s="3308"/>
      <c r="AJ42" s="3308"/>
      <c r="AK42" s="3308"/>
      <c r="AL42" s="3308"/>
      <c r="AM42" s="3308"/>
      <c r="AN42" s="3308"/>
      <c r="AO42" s="3308"/>
      <c r="AP42" s="3308"/>
      <c r="AQ42" s="3308"/>
      <c r="AR42" s="3308"/>
      <c r="AS42" s="3308"/>
      <c r="AT42" s="3308"/>
      <c r="AU42" s="3308"/>
      <c r="AV42" s="3308"/>
      <c r="AW42" s="3308"/>
      <c r="AX42" s="3308"/>
      <c r="AY42" s="3320"/>
      <c r="AZ42" s="3323"/>
      <c r="BA42" s="3377"/>
      <c r="BB42" s="3377"/>
      <c r="BC42" s="3358"/>
      <c r="BD42" s="3380"/>
      <c r="BE42" s="3383"/>
      <c r="BF42" s="3364"/>
      <c r="BG42" s="3367"/>
      <c r="BH42" s="3369"/>
      <c r="BI42" s="3367"/>
      <c r="BJ42" s="3371"/>
    </row>
    <row r="43" spans="1:62" s="1200" customFormat="1" ht="17.25" customHeight="1" x14ac:dyDescent="0.3">
      <c r="A43" s="3262"/>
      <c r="B43" s="3263"/>
      <c r="C43" s="3264"/>
      <c r="D43" s="3262"/>
      <c r="E43" s="3263"/>
      <c r="F43" s="3264"/>
      <c r="G43" s="3262"/>
      <c r="H43" s="3263"/>
      <c r="I43" s="3264"/>
      <c r="J43" s="3342"/>
      <c r="K43" s="3293"/>
      <c r="L43" s="3345"/>
      <c r="M43" s="3351"/>
      <c r="N43" s="3351"/>
      <c r="O43" s="3296"/>
      <c r="P43" s="3302"/>
      <c r="Q43" s="3284"/>
      <c r="R43" s="3361"/>
      <c r="S43" s="3354"/>
      <c r="T43" s="3284"/>
      <c r="U43" s="3284"/>
      <c r="V43" s="3284"/>
      <c r="W43" s="3354"/>
      <c r="X43" s="3374"/>
      <c r="Y43" s="3374"/>
      <c r="Z43" s="3296"/>
      <c r="AA43" s="3284"/>
      <c r="AB43" s="3308"/>
      <c r="AC43" s="3308"/>
      <c r="AD43" s="3308"/>
      <c r="AE43" s="3308"/>
      <c r="AF43" s="3308"/>
      <c r="AG43" s="3308"/>
      <c r="AH43" s="3308"/>
      <c r="AI43" s="3308"/>
      <c r="AJ43" s="3308"/>
      <c r="AK43" s="3308"/>
      <c r="AL43" s="3308"/>
      <c r="AM43" s="3308"/>
      <c r="AN43" s="3308"/>
      <c r="AO43" s="3308"/>
      <c r="AP43" s="3308"/>
      <c r="AQ43" s="3308"/>
      <c r="AR43" s="3308"/>
      <c r="AS43" s="3308"/>
      <c r="AT43" s="3308"/>
      <c r="AU43" s="3308"/>
      <c r="AV43" s="3308"/>
      <c r="AW43" s="3308"/>
      <c r="AX43" s="3308"/>
      <c r="AY43" s="3320"/>
      <c r="AZ43" s="3323"/>
      <c r="BA43" s="3377"/>
      <c r="BB43" s="3377"/>
      <c r="BC43" s="3358"/>
      <c r="BD43" s="3380"/>
      <c r="BE43" s="3383"/>
      <c r="BF43" s="3364"/>
      <c r="BG43" s="3367"/>
      <c r="BH43" s="3369"/>
      <c r="BI43" s="3367"/>
      <c r="BJ43" s="3371"/>
    </row>
    <row r="44" spans="1:62" s="1200" customFormat="1" ht="17.25" customHeight="1" x14ac:dyDescent="0.3">
      <c r="A44" s="3262"/>
      <c r="B44" s="3263"/>
      <c r="C44" s="3264"/>
      <c r="D44" s="3262"/>
      <c r="E44" s="3263"/>
      <c r="F44" s="3264"/>
      <c r="G44" s="3262"/>
      <c r="H44" s="3263"/>
      <c r="I44" s="3264"/>
      <c r="J44" s="3342"/>
      <c r="K44" s="3293"/>
      <c r="L44" s="3345"/>
      <c r="M44" s="3351"/>
      <c r="N44" s="3351"/>
      <c r="O44" s="3296"/>
      <c r="P44" s="3302"/>
      <c r="Q44" s="3284"/>
      <c r="R44" s="3361"/>
      <c r="S44" s="3354"/>
      <c r="T44" s="3284"/>
      <c r="U44" s="3284"/>
      <c r="V44" s="3284"/>
      <c r="W44" s="3354"/>
      <c r="X44" s="3374"/>
      <c r="Y44" s="3374"/>
      <c r="Z44" s="3296"/>
      <c r="AA44" s="3284"/>
      <c r="AB44" s="3308"/>
      <c r="AC44" s="3308"/>
      <c r="AD44" s="3308"/>
      <c r="AE44" s="3308"/>
      <c r="AF44" s="3308"/>
      <c r="AG44" s="3308"/>
      <c r="AH44" s="3308"/>
      <c r="AI44" s="3308"/>
      <c r="AJ44" s="3308"/>
      <c r="AK44" s="3308"/>
      <c r="AL44" s="3308"/>
      <c r="AM44" s="3308"/>
      <c r="AN44" s="3308"/>
      <c r="AO44" s="3308"/>
      <c r="AP44" s="3308"/>
      <c r="AQ44" s="3308"/>
      <c r="AR44" s="3308"/>
      <c r="AS44" s="3308"/>
      <c r="AT44" s="3308"/>
      <c r="AU44" s="3308"/>
      <c r="AV44" s="3308"/>
      <c r="AW44" s="3308"/>
      <c r="AX44" s="3308"/>
      <c r="AY44" s="3320"/>
      <c r="AZ44" s="3323"/>
      <c r="BA44" s="3377"/>
      <c r="BB44" s="3377"/>
      <c r="BC44" s="3358"/>
      <c r="BD44" s="3380"/>
      <c r="BE44" s="3383"/>
      <c r="BF44" s="3364"/>
      <c r="BG44" s="3367"/>
      <c r="BH44" s="3369"/>
      <c r="BI44" s="3367"/>
      <c r="BJ44" s="3371"/>
    </row>
    <row r="45" spans="1:62" s="1200" customFormat="1" ht="17.25" customHeight="1" x14ac:dyDescent="0.3">
      <c r="A45" s="3262"/>
      <c r="B45" s="3263"/>
      <c r="C45" s="3264"/>
      <c r="D45" s="3262"/>
      <c r="E45" s="3263"/>
      <c r="F45" s="3264"/>
      <c r="G45" s="3262"/>
      <c r="H45" s="3263"/>
      <c r="I45" s="3264"/>
      <c r="J45" s="3342"/>
      <c r="K45" s="3293"/>
      <c r="L45" s="3345"/>
      <c r="M45" s="3351"/>
      <c r="N45" s="3351"/>
      <c r="O45" s="3296"/>
      <c r="P45" s="3302"/>
      <c r="Q45" s="3284"/>
      <c r="R45" s="3361"/>
      <c r="S45" s="3354"/>
      <c r="T45" s="3284"/>
      <c r="U45" s="3284"/>
      <c r="V45" s="3284"/>
      <c r="W45" s="3354"/>
      <c r="X45" s="3374"/>
      <c r="Y45" s="3374"/>
      <c r="Z45" s="3296"/>
      <c r="AA45" s="3284"/>
      <c r="AB45" s="3308"/>
      <c r="AC45" s="3308"/>
      <c r="AD45" s="3308"/>
      <c r="AE45" s="3308"/>
      <c r="AF45" s="3308"/>
      <c r="AG45" s="3308"/>
      <c r="AH45" s="3308"/>
      <c r="AI45" s="3308"/>
      <c r="AJ45" s="3308"/>
      <c r="AK45" s="3308"/>
      <c r="AL45" s="3308"/>
      <c r="AM45" s="3308"/>
      <c r="AN45" s="3308"/>
      <c r="AO45" s="3308"/>
      <c r="AP45" s="3308"/>
      <c r="AQ45" s="3308"/>
      <c r="AR45" s="3308"/>
      <c r="AS45" s="3308"/>
      <c r="AT45" s="3308"/>
      <c r="AU45" s="3308"/>
      <c r="AV45" s="3308"/>
      <c r="AW45" s="3308"/>
      <c r="AX45" s="3308"/>
      <c r="AY45" s="3320"/>
      <c r="AZ45" s="3323"/>
      <c r="BA45" s="3377"/>
      <c r="BB45" s="3377"/>
      <c r="BC45" s="3358"/>
      <c r="BD45" s="3380"/>
      <c r="BE45" s="3383"/>
      <c r="BF45" s="3364"/>
      <c r="BG45" s="3367"/>
      <c r="BH45" s="3369"/>
      <c r="BI45" s="3367"/>
      <c r="BJ45" s="3371"/>
    </row>
    <row r="46" spans="1:62" s="1200" customFormat="1" ht="17.25" customHeight="1" x14ac:dyDescent="0.3">
      <c r="A46" s="3262"/>
      <c r="B46" s="3263"/>
      <c r="C46" s="3264"/>
      <c r="D46" s="3262"/>
      <c r="E46" s="3263"/>
      <c r="F46" s="3264"/>
      <c r="G46" s="3262"/>
      <c r="H46" s="3263"/>
      <c r="I46" s="3264"/>
      <c r="J46" s="3342"/>
      <c r="K46" s="3293"/>
      <c r="L46" s="3345"/>
      <c r="M46" s="3351"/>
      <c r="N46" s="3351"/>
      <c r="O46" s="3296"/>
      <c r="P46" s="3302"/>
      <c r="Q46" s="3284"/>
      <c r="R46" s="3361"/>
      <c r="S46" s="3354"/>
      <c r="T46" s="3284"/>
      <c r="U46" s="3284"/>
      <c r="V46" s="3284"/>
      <c r="W46" s="3354"/>
      <c r="X46" s="3374"/>
      <c r="Y46" s="3374"/>
      <c r="Z46" s="3296"/>
      <c r="AA46" s="3284"/>
      <c r="AB46" s="3308"/>
      <c r="AC46" s="3308"/>
      <c r="AD46" s="3308"/>
      <c r="AE46" s="3308"/>
      <c r="AF46" s="3308"/>
      <c r="AG46" s="3308"/>
      <c r="AH46" s="3308"/>
      <c r="AI46" s="3308"/>
      <c r="AJ46" s="3308"/>
      <c r="AK46" s="3308"/>
      <c r="AL46" s="3308"/>
      <c r="AM46" s="3308"/>
      <c r="AN46" s="3308"/>
      <c r="AO46" s="3308"/>
      <c r="AP46" s="3308"/>
      <c r="AQ46" s="3308"/>
      <c r="AR46" s="3308"/>
      <c r="AS46" s="3308"/>
      <c r="AT46" s="3308"/>
      <c r="AU46" s="3308"/>
      <c r="AV46" s="3308"/>
      <c r="AW46" s="3308"/>
      <c r="AX46" s="3308"/>
      <c r="AY46" s="3320"/>
      <c r="AZ46" s="3323"/>
      <c r="BA46" s="3377"/>
      <c r="BB46" s="3377"/>
      <c r="BC46" s="3358"/>
      <c r="BD46" s="3380"/>
      <c r="BE46" s="3383"/>
      <c r="BF46" s="3364"/>
      <c r="BG46" s="3367"/>
      <c r="BH46" s="3369"/>
      <c r="BI46" s="3367"/>
      <c r="BJ46" s="3371"/>
    </row>
    <row r="47" spans="1:62" s="1200" customFormat="1" ht="17.25" customHeight="1" x14ac:dyDescent="0.3">
      <c r="A47" s="3262"/>
      <c r="B47" s="3263"/>
      <c r="C47" s="3264"/>
      <c r="D47" s="3262"/>
      <c r="E47" s="3263"/>
      <c r="F47" s="3264"/>
      <c r="G47" s="3262"/>
      <c r="H47" s="3263"/>
      <c r="I47" s="3264"/>
      <c r="J47" s="3343"/>
      <c r="K47" s="3294"/>
      <c r="L47" s="3345"/>
      <c r="M47" s="3352"/>
      <c r="N47" s="3352"/>
      <c r="O47" s="3296"/>
      <c r="P47" s="3302"/>
      <c r="Q47" s="3284"/>
      <c r="R47" s="3361"/>
      <c r="S47" s="3354"/>
      <c r="T47" s="3284"/>
      <c r="U47" s="3284"/>
      <c r="V47" s="3285"/>
      <c r="W47" s="3355"/>
      <c r="X47" s="3375"/>
      <c r="Y47" s="3375"/>
      <c r="Z47" s="3296"/>
      <c r="AA47" s="3284"/>
      <c r="AB47" s="3308"/>
      <c r="AC47" s="3308"/>
      <c r="AD47" s="3308"/>
      <c r="AE47" s="3308"/>
      <c r="AF47" s="3308"/>
      <c r="AG47" s="3308"/>
      <c r="AH47" s="3308"/>
      <c r="AI47" s="3308"/>
      <c r="AJ47" s="3308"/>
      <c r="AK47" s="3308"/>
      <c r="AL47" s="3308"/>
      <c r="AM47" s="3308"/>
      <c r="AN47" s="3308"/>
      <c r="AO47" s="3308"/>
      <c r="AP47" s="3308"/>
      <c r="AQ47" s="3308"/>
      <c r="AR47" s="3308"/>
      <c r="AS47" s="3308"/>
      <c r="AT47" s="3308"/>
      <c r="AU47" s="3308"/>
      <c r="AV47" s="3308"/>
      <c r="AW47" s="3308"/>
      <c r="AX47" s="3308"/>
      <c r="AY47" s="3320"/>
      <c r="AZ47" s="3324"/>
      <c r="BA47" s="3378"/>
      <c r="BB47" s="3378"/>
      <c r="BC47" s="3359"/>
      <c r="BD47" s="3380"/>
      <c r="BE47" s="3383"/>
      <c r="BF47" s="3365"/>
      <c r="BG47" s="3368"/>
      <c r="BH47" s="3369"/>
      <c r="BI47" s="3368"/>
      <c r="BJ47" s="3371"/>
    </row>
    <row r="48" spans="1:62" s="1200" customFormat="1" ht="17.25" customHeight="1" x14ac:dyDescent="0.3">
      <c r="A48" s="3262"/>
      <c r="B48" s="3263"/>
      <c r="C48" s="3264"/>
      <c r="D48" s="3262"/>
      <c r="E48" s="3263"/>
      <c r="F48" s="3264"/>
      <c r="G48" s="3262"/>
      <c r="H48" s="3263"/>
      <c r="I48" s="3264"/>
      <c r="J48" s="3350">
        <v>42</v>
      </c>
      <c r="K48" s="3283" t="s">
        <v>513</v>
      </c>
      <c r="L48" s="3345"/>
      <c r="M48" s="3350">
        <v>1</v>
      </c>
      <c r="N48" s="3350">
        <v>0</v>
      </c>
      <c r="O48" s="3296"/>
      <c r="P48" s="3302"/>
      <c r="Q48" s="3284"/>
      <c r="R48" s="3362"/>
      <c r="S48" s="3355"/>
      <c r="T48" s="3284"/>
      <c r="U48" s="3284"/>
      <c r="V48" s="3283" t="s">
        <v>514</v>
      </c>
      <c r="W48" s="3353">
        <f>27500000+48300000</f>
        <v>75800000</v>
      </c>
      <c r="X48" s="3373">
        <v>1500000</v>
      </c>
      <c r="Y48" s="3373"/>
      <c r="Z48" s="3296"/>
      <c r="AA48" s="3284"/>
      <c r="AB48" s="3308"/>
      <c r="AC48" s="3308"/>
      <c r="AD48" s="3308"/>
      <c r="AE48" s="3308"/>
      <c r="AF48" s="3308"/>
      <c r="AG48" s="3308"/>
      <c r="AH48" s="3308"/>
      <c r="AI48" s="3308"/>
      <c r="AJ48" s="3308"/>
      <c r="AK48" s="3308"/>
      <c r="AL48" s="3308"/>
      <c r="AM48" s="3308"/>
      <c r="AN48" s="3308"/>
      <c r="AO48" s="3308"/>
      <c r="AP48" s="3308"/>
      <c r="AQ48" s="3308"/>
      <c r="AR48" s="3308"/>
      <c r="AS48" s="3308"/>
      <c r="AT48" s="3308"/>
      <c r="AU48" s="3308"/>
      <c r="AV48" s="3308"/>
      <c r="AW48" s="3308"/>
      <c r="AX48" s="3308"/>
      <c r="AY48" s="3320"/>
      <c r="AZ48" s="1203"/>
      <c r="BA48" s="3376">
        <v>1500000</v>
      </c>
      <c r="BB48" s="3376"/>
      <c r="BC48" s="3357">
        <v>0</v>
      </c>
      <c r="BD48" s="3380"/>
      <c r="BE48" s="3383"/>
      <c r="BF48" s="3363">
        <v>42745</v>
      </c>
      <c r="BG48" s="3366"/>
      <c r="BH48" s="3369"/>
      <c r="BI48" s="3366"/>
      <c r="BJ48" s="3371"/>
    </row>
    <row r="49" spans="1:62" s="1200" customFormat="1" ht="17.25" customHeight="1" x14ac:dyDescent="0.3">
      <c r="A49" s="3262"/>
      <c r="B49" s="3263"/>
      <c r="C49" s="3264"/>
      <c r="D49" s="3262"/>
      <c r="E49" s="3263"/>
      <c r="F49" s="3264"/>
      <c r="G49" s="3262"/>
      <c r="H49" s="3263"/>
      <c r="I49" s="3264"/>
      <c r="J49" s="3351"/>
      <c r="K49" s="3284"/>
      <c r="L49" s="3345"/>
      <c r="M49" s="3351"/>
      <c r="N49" s="3351"/>
      <c r="O49" s="3296"/>
      <c r="P49" s="3302"/>
      <c r="Q49" s="3284"/>
      <c r="R49" s="3385">
        <f>+S49/135300000</f>
        <v>0.5602365114560236</v>
      </c>
      <c r="S49" s="3353">
        <v>75800000</v>
      </c>
      <c r="T49" s="3284"/>
      <c r="U49" s="3284"/>
      <c r="V49" s="3284"/>
      <c r="W49" s="3354"/>
      <c r="X49" s="3374"/>
      <c r="Y49" s="3374"/>
      <c r="Z49" s="3296"/>
      <c r="AA49" s="3284"/>
      <c r="AB49" s="3308"/>
      <c r="AC49" s="3308"/>
      <c r="AD49" s="3308"/>
      <c r="AE49" s="3308"/>
      <c r="AF49" s="3308"/>
      <c r="AG49" s="3308"/>
      <c r="AH49" s="3308"/>
      <c r="AI49" s="3308"/>
      <c r="AJ49" s="3308"/>
      <c r="AK49" s="3308"/>
      <c r="AL49" s="3308"/>
      <c r="AM49" s="3308"/>
      <c r="AN49" s="3308"/>
      <c r="AO49" s="3308"/>
      <c r="AP49" s="3308"/>
      <c r="AQ49" s="3308"/>
      <c r="AR49" s="3308"/>
      <c r="AS49" s="3308"/>
      <c r="AT49" s="3308"/>
      <c r="AU49" s="3308"/>
      <c r="AV49" s="3308"/>
      <c r="AW49" s="3308"/>
      <c r="AX49" s="3308"/>
      <c r="AY49" s="3320"/>
      <c r="AZ49" s="1203"/>
      <c r="BA49" s="3377"/>
      <c r="BB49" s="3377"/>
      <c r="BC49" s="3358"/>
      <c r="BD49" s="3380"/>
      <c r="BE49" s="3383"/>
      <c r="BF49" s="3364"/>
      <c r="BG49" s="3367"/>
      <c r="BH49" s="3369"/>
      <c r="BI49" s="3367"/>
      <c r="BJ49" s="3371"/>
    </row>
    <row r="50" spans="1:62" s="1200" customFormat="1" ht="17.25" customHeight="1" x14ac:dyDescent="0.3">
      <c r="A50" s="3262"/>
      <c r="B50" s="3263"/>
      <c r="C50" s="3264"/>
      <c r="D50" s="3262"/>
      <c r="E50" s="3263"/>
      <c r="F50" s="3264"/>
      <c r="G50" s="3262"/>
      <c r="H50" s="3263"/>
      <c r="I50" s="3264"/>
      <c r="J50" s="3351"/>
      <c r="K50" s="3284"/>
      <c r="L50" s="3345"/>
      <c r="M50" s="3351"/>
      <c r="N50" s="3351"/>
      <c r="O50" s="3296"/>
      <c r="P50" s="3302"/>
      <c r="Q50" s="3284"/>
      <c r="R50" s="3386"/>
      <c r="S50" s="3354"/>
      <c r="T50" s="3284"/>
      <c r="U50" s="3284"/>
      <c r="V50" s="3284"/>
      <c r="W50" s="3354"/>
      <c r="X50" s="3374"/>
      <c r="Y50" s="3374"/>
      <c r="Z50" s="3296"/>
      <c r="AA50" s="3284"/>
      <c r="AB50" s="3308"/>
      <c r="AC50" s="3308"/>
      <c r="AD50" s="3308"/>
      <c r="AE50" s="3308"/>
      <c r="AF50" s="3308"/>
      <c r="AG50" s="3308"/>
      <c r="AH50" s="3308"/>
      <c r="AI50" s="3308"/>
      <c r="AJ50" s="3308"/>
      <c r="AK50" s="3308"/>
      <c r="AL50" s="3308"/>
      <c r="AM50" s="3308"/>
      <c r="AN50" s="3308"/>
      <c r="AO50" s="3308"/>
      <c r="AP50" s="3308"/>
      <c r="AQ50" s="3308"/>
      <c r="AR50" s="3308"/>
      <c r="AS50" s="3308"/>
      <c r="AT50" s="3308"/>
      <c r="AU50" s="3308"/>
      <c r="AV50" s="3308"/>
      <c r="AW50" s="3308"/>
      <c r="AX50" s="3308"/>
      <c r="AY50" s="3320"/>
      <c r="AZ50" s="1203"/>
      <c r="BA50" s="3377"/>
      <c r="BB50" s="3377"/>
      <c r="BC50" s="3358"/>
      <c r="BD50" s="3380"/>
      <c r="BE50" s="3383"/>
      <c r="BF50" s="3364"/>
      <c r="BG50" s="3367"/>
      <c r="BH50" s="3369"/>
      <c r="BI50" s="3367"/>
      <c r="BJ50" s="3371"/>
    </row>
    <row r="51" spans="1:62" s="1200" customFormat="1" ht="17.25" customHeight="1" x14ac:dyDescent="0.3">
      <c r="A51" s="3262"/>
      <c r="B51" s="3263"/>
      <c r="C51" s="3264"/>
      <c r="D51" s="3262"/>
      <c r="E51" s="3263"/>
      <c r="F51" s="3264"/>
      <c r="G51" s="3262"/>
      <c r="H51" s="3263"/>
      <c r="I51" s="3264"/>
      <c r="J51" s="3351"/>
      <c r="K51" s="3284"/>
      <c r="L51" s="3345"/>
      <c r="M51" s="3351"/>
      <c r="N51" s="3351"/>
      <c r="O51" s="3296"/>
      <c r="P51" s="3302"/>
      <c r="Q51" s="3284"/>
      <c r="R51" s="3386"/>
      <c r="S51" s="3354"/>
      <c r="T51" s="3284"/>
      <c r="U51" s="3284"/>
      <c r="V51" s="3284"/>
      <c r="W51" s="3354"/>
      <c r="X51" s="3374"/>
      <c r="Y51" s="3374"/>
      <c r="Z51" s="3296"/>
      <c r="AA51" s="3284"/>
      <c r="AB51" s="3308"/>
      <c r="AC51" s="3308"/>
      <c r="AD51" s="3308"/>
      <c r="AE51" s="3308"/>
      <c r="AF51" s="3308"/>
      <c r="AG51" s="3308"/>
      <c r="AH51" s="3308"/>
      <c r="AI51" s="3308"/>
      <c r="AJ51" s="3308"/>
      <c r="AK51" s="3308"/>
      <c r="AL51" s="3308"/>
      <c r="AM51" s="3308"/>
      <c r="AN51" s="3308"/>
      <c r="AO51" s="3308"/>
      <c r="AP51" s="3308"/>
      <c r="AQ51" s="3308"/>
      <c r="AR51" s="3308"/>
      <c r="AS51" s="3308"/>
      <c r="AT51" s="3308"/>
      <c r="AU51" s="3308"/>
      <c r="AV51" s="3308"/>
      <c r="AW51" s="3308"/>
      <c r="AX51" s="3308"/>
      <c r="AY51" s="3320"/>
      <c r="AZ51" s="1203"/>
      <c r="BA51" s="3377"/>
      <c r="BB51" s="3377"/>
      <c r="BC51" s="3358"/>
      <c r="BD51" s="3380"/>
      <c r="BE51" s="3383"/>
      <c r="BF51" s="3364"/>
      <c r="BG51" s="3367"/>
      <c r="BH51" s="3369"/>
      <c r="BI51" s="3367"/>
      <c r="BJ51" s="3371"/>
    </row>
    <row r="52" spans="1:62" s="1200" customFormat="1" ht="17.25" customHeight="1" x14ac:dyDescent="0.3">
      <c r="A52" s="3262"/>
      <c r="B52" s="3263"/>
      <c r="C52" s="3264"/>
      <c r="D52" s="3262"/>
      <c r="E52" s="3263"/>
      <c r="F52" s="3264"/>
      <c r="G52" s="3262"/>
      <c r="H52" s="3263"/>
      <c r="I52" s="3264"/>
      <c r="J52" s="3351"/>
      <c r="K52" s="3284"/>
      <c r="L52" s="3345"/>
      <c r="M52" s="3351"/>
      <c r="N52" s="3351"/>
      <c r="O52" s="3296"/>
      <c r="P52" s="3302"/>
      <c r="Q52" s="3284"/>
      <c r="R52" s="3386"/>
      <c r="S52" s="3354"/>
      <c r="T52" s="3284"/>
      <c r="U52" s="3284"/>
      <c r="V52" s="3284"/>
      <c r="W52" s="3354"/>
      <c r="X52" s="3374"/>
      <c r="Y52" s="3374"/>
      <c r="Z52" s="3296"/>
      <c r="AA52" s="3284"/>
      <c r="AB52" s="3308"/>
      <c r="AC52" s="3308"/>
      <c r="AD52" s="3308"/>
      <c r="AE52" s="3308"/>
      <c r="AF52" s="3308"/>
      <c r="AG52" s="3308"/>
      <c r="AH52" s="3308"/>
      <c r="AI52" s="3308"/>
      <c r="AJ52" s="3308"/>
      <c r="AK52" s="3308"/>
      <c r="AL52" s="3308"/>
      <c r="AM52" s="3308"/>
      <c r="AN52" s="3308"/>
      <c r="AO52" s="3308"/>
      <c r="AP52" s="3308"/>
      <c r="AQ52" s="3308"/>
      <c r="AR52" s="3308"/>
      <c r="AS52" s="3308"/>
      <c r="AT52" s="3308"/>
      <c r="AU52" s="3308"/>
      <c r="AV52" s="3308"/>
      <c r="AW52" s="3308"/>
      <c r="AX52" s="3308"/>
      <c r="AY52" s="3320"/>
      <c r="AZ52" s="1203"/>
      <c r="BA52" s="3377"/>
      <c r="BB52" s="3377"/>
      <c r="BC52" s="3358"/>
      <c r="BD52" s="3380"/>
      <c r="BE52" s="3383"/>
      <c r="BF52" s="3364"/>
      <c r="BG52" s="3367"/>
      <c r="BH52" s="3369"/>
      <c r="BI52" s="3367"/>
      <c r="BJ52" s="3371"/>
    </row>
    <row r="53" spans="1:62" s="1200" customFormat="1" ht="17.25" customHeight="1" x14ac:dyDescent="0.3">
      <c r="A53" s="3262"/>
      <c r="B53" s="3263"/>
      <c r="C53" s="3264"/>
      <c r="D53" s="3262"/>
      <c r="E53" s="3263"/>
      <c r="F53" s="3264"/>
      <c r="G53" s="3265"/>
      <c r="H53" s="3266"/>
      <c r="I53" s="3267"/>
      <c r="J53" s="3352"/>
      <c r="K53" s="3285"/>
      <c r="L53" s="3346"/>
      <c r="M53" s="3352"/>
      <c r="N53" s="3352"/>
      <c r="O53" s="3297"/>
      <c r="P53" s="3303"/>
      <c r="Q53" s="3285"/>
      <c r="R53" s="3387"/>
      <c r="S53" s="3355"/>
      <c r="T53" s="3285"/>
      <c r="U53" s="3285"/>
      <c r="V53" s="3285"/>
      <c r="W53" s="3355"/>
      <c r="X53" s="3375"/>
      <c r="Y53" s="3375"/>
      <c r="Z53" s="3297"/>
      <c r="AA53" s="3285"/>
      <c r="AB53" s="3309"/>
      <c r="AC53" s="3309"/>
      <c r="AD53" s="3309"/>
      <c r="AE53" s="3309"/>
      <c r="AF53" s="3309"/>
      <c r="AG53" s="3309"/>
      <c r="AH53" s="3309"/>
      <c r="AI53" s="3309"/>
      <c r="AJ53" s="3309"/>
      <c r="AK53" s="3309"/>
      <c r="AL53" s="3309"/>
      <c r="AM53" s="3309"/>
      <c r="AN53" s="3309"/>
      <c r="AO53" s="3309"/>
      <c r="AP53" s="3309"/>
      <c r="AQ53" s="3309"/>
      <c r="AR53" s="3309"/>
      <c r="AS53" s="3309"/>
      <c r="AT53" s="3309"/>
      <c r="AU53" s="3309"/>
      <c r="AV53" s="3309"/>
      <c r="AW53" s="3309"/>
      <c r="AX53" s="3309"/>
      <c r="AY53" s="3321"/>
      <c r="AZ53" s="1204"/>
      <c r="BA53" s="3378"/>
      <c r="BB53" s="3378"/>
      <c r="BC53" s="3359"/>
      <c r="BD53" s="3381"/>
      <c r="BE53" s="3384"/>
      <c r="BF53" s="3365"/>
      <c r="BG53" s="3368"/>
      <c r="BH53" s="3369"/>
      <c r="BI53" s="3368"/>
      <c r="BJ53" s="3372"/>
    </row>
    <row r="54" spans="1:62" s="1200" customFormat="1" ht="17.25" customHeight="1" x14ac:dyDescent="0.3">
      <c r="A54" s="3262"/>
      <c r="B54" s="3263"/>
      <c r="C54" s="3264"/>
      <c r="D54" s="3262"/>
      <c r="E54" s="3263"/>
      <c r="F54" s="3264"/>
      <c r="G54" s="3274">
        <v>9</v>
      </c>
      <c r="H54" s="3276" t="s">
        <v>515</v>
      </c>
      <c r="I54" s="3277"/>
      <c r="J54" s="3277"/>
      <c r="K54" s="3277"/>
      <c r="L54" s="3277"/>
      <c r="M54" s="3277"/>
      <c r="N54" s="3277"/>
      <c r="O54" s="3277"/>
      <c r="P54" s="3277"/>
      <c r="Q54" s="1205"/>
      <c r="R54" s="1205"/>
      <c r="S54" s="1206"/>
      <c r="T54" s="1207"/>
      <c r="U54" s="1207"/>
      <c r="V54" s="1207"/>
      <c r="W54" s="1206"/>
      <c r="X54" s="1206"/>
      <c r="Y54" s="1206"/>
      <c r="Z54" s="1205"/>
      <c r="AA54" s="1207"/>
      <c r="AB54" s="1205"/>
      <c r="AC54" s="1205"/>
      <c r="AD54" s="1205"/>
      <c r="AE54" s="1205"/>
      <c r="AF54" s="1205"/>
      <c r="AG54" s="1205"/>
      <c r="AH54" s="1205"/>
      <c r="AI54" s="1205"/>
      <c r="AJ54" s="1205"/>
      <c r="AK54" s="1205"/>
      <c r="AL54" s="1205"/>
      <c r="AM54" s="1205"/>
      <c r="AN54" s="1205"/>
      <c r="AO54" s="1205"/>
      <c r="AP54" s="1205"/>
      <c r="AQ54" s="1205"/>
      <c r="AR54" s="1205"/>
      <c r="AS54" s="1205"/>
      <c r="AT54" s="1205"/>
      <c r="AU54" s="1205"/>
      <c r="AV54" s="1205"/>
      <c r="AW54" s="1205"/>
      <c r="AX54" s="1205"/>
      <c r="AY54" s="1205"/>
      <c r="AZ54" s="1205"/>
      <c r="BA54" s="1208"/>
      <c r="BB54" s="1208"/>
      <c r="BC54" s="1205"/>
      <c r="BD54" s="1207"/>
      <c r="BE54" s="1207"/>
      <c r="BF54" s="3388"/>
      <c r="BG54" s="3388"/>
      <c r="BH54" s="3388"/>
      <c r="BI54" s="3388"/>
      <c r="BJ54" s="3390"/>
    </row>
    <row r="55" spans="1:62" s="1200" customFormat="1" ht="17.25" customHeight="1" x14ac:dyDescent="0.3">
      <c r="A55" s="3262"/>
      <c r="B55" s="3263"/>
      <c r="C55" s="3264"/>
      <c r="D55" s="3262"/>
      <c r="E55" s="3263"/>
      <c r="F55" s="3264"/>
      <c r="G55" s="3275"/>
      <c r="H55" s="3278"/>
      <c r="I55" s="3279"/>
      <c r="J55" s="3279"/>
      <c r="K55" s="3279"/>
      <c r="L55" s="3279"/>
      <c r="M55" s="3279"/>
      <c r="N55" s="3279"/>
      <c r="O55" s="3279"/>
      <c r="P55" s="3279"/>
      <c r="Q55" s="1209"/>
      <c r="R55" s="1209"/>
      <c r="S55" s="1210"/>
      <c r="T55" s="1211"/>
      <c r="U55" s="1211"/>
      <c r="V55" s="1211"/>
      <c r="W55" s="1210"/>
      <c r="X55" s="1210"/>
      <c r="Y55" s="1210"/>
      <c r="Z55" s="1209"/>
      <c r="AA55" s="1211"/>
      <c r="AB55" s="1209"/>
      <c r="AC55" s="1209"/>
      <c r="AD55" s="1209"/>
      <c r="AE55" s="1209"/>
      <c r="AF55" s="1209"/>
      <c r="AG55" s="1209"/>
      <c r="AH55" s="1209"/>
      <c r="AI55" s="1209"/>
      <c r="AJ55" s="1209"/>
      <c r="AK55" s="1209"/>
      <c r="AL55" s="1209"/>
      <c r="AM55" s="1209"/>
      <c r="AN55" s="1209"/>
      <c r="AO55" s="1209"/>
      <c r="AP55" s="1209"/>
      <c r="AQ55" s="1209"/>
      <c r="AR55" s="1209"/>
      <c r="AS55" s="1209"/>
      <c r="AT55" s="1209"/>
      <c r="AU55" s="1209"/>
      <c r="AV55" s="1209"/>
      <c r="AW55" s="1209"/>
      <c r="AX55" s="1209"/>
      <c r="AY55" s="1209"/>
      <c r="AZ55" s="1209"/>
      <c r="BA55" s="1212"/>
      <c r="BB55" s="1212"/>
      <c r="BC55" s="1209"/>
      <c r="BD55" s="1211"/>
      <c r="BE55" s="1211"/>
      <c r="BF55" s="3389"/>
      <c r="BG55" s="3389"/>
      <c r="BH55" s="3389"/>
      <c r="BI55" s="3389"/>
      <c r="BJ55" s="3391"/>
    </row>
    <row r="56" spans="1:62" s="1200" customFormat="1" ht="17.25" customHeight="1" x14ac:dyDescent="0.3">
      <c r="A56" s="3262"/>
      <c r="B56" s="3263"/>
      <c r="C56" s="3264"/>
      <c r="D56" s="3262"/>
      <c r="E56" s="3263"/>
      <c r="F56" s="3264"/>
      <c r="G56" s="3392"/>
      <c r="H56" s="3393"/>
      <c r="I56" s="3394"/>
      <c r="J56" s="3350">
        <v>43</v>
      </c>
      <c r="K56" s="3283" t="s">
        <v>516</v>
      </c>
      <c r="L56" s="3344" t="s">
        <v>18</v>
      </c>
      <c r="M56" s="3401">
        <v>3</v>
      </c>
      <c r="N56" s="3401">
        <v>0</v>
      </c>
      <c r="O56" s="3295" t="s">
        <v>517</v>
      </c>
      <c r="P56" s="3301" t="s">
        <v>518</v>
      </c>
      <c r="Q56" s="3283" t="s">
        <v>519</v>
      </c>
      <c r="R56" s="3404">
        <f>+S56/415200000</f>
        <v>0.18578998073217726</v>
      </c>
      <c r="S56" s="3407">
        <v>77140000</v>
      </c>
      <c r="T56" s="3283" t="s">
        <v>520</v>
      </c>
      <c r="U56" s="3410" t="s">
        <v>521</v>
      </c>
      <c r="V56" s="3410" t="s">
        <v>522</v>
      </c>
      <c r="W56" s="3353">
        <f>40000000-10000000+46140000</f>
        <v>76140000</v>
      </c>
      <c r="X56" s="3373">
        <v>13760000</v>
      </c>
      <c r="Y56" s="3373">
        <v>4100000</v>
      </c>
      <c r="Z56" s="3295" t="s">
        <v>489</v>
      </c>
      <c r="AA56" s="3283" t="s">
        <v>490</v>
      </c>
      <c r="AB56" s="3413">
        <v>64.149000000000001</v>
      </c>
      <c r="AC56" s="3413"/>
      <c r="AD56" s="3413" t="s">
        <v>502</v>
      </c>
      <c r="AE56" s="3413"/>
      <c r="AF56" s="3413" t="s">
        <v>503</v>
      </c>
      <c r="AG56" s="3413"/>
      <c r="AH56" s="3413" t="s">
        <v>504</v>
      </c>
      <c r="AI56" s="3413"/>
      <c r="AJ56" s="3413" t="s">
        <v>505</v>
      </c>
      <c r="AK56" s="3413"/>
      <c r="AL56" s="3413" t="s">
        <v>506</v>
      </c>
      <c r="AM56" s="3413"/>
      <c r="AN56" s="3413">
        <v>13.208</v>
      </c>
      <c r="AO56" s="3413"/>
      <c r="AP56" s="3444">
        <v>1827</v>
      </c>
      <c r="AQ56" s="3444"/>
      <c r="AR56" s="3413"/>
      <c r="AS56" s="3413"/>
      <c r="AT56" s="3413"/>
      <c r="AU56" s="3413"/>
      <c r="AV56" s="3413">
        <v>16.896999999999998</v>
      </c>
      <c r="AW56" s="3413"/>
      <c r="AX56" s="3413">
        <v>81.384</v>
      </c>
      <c r="AY56" s="3413"/>
      <c r="AZ56" s="3441">
        <v>2</v>
      </c>
      <c r="BA56" s="3373">
        <v>13760000</v>
      </c>
      <c r="BB56" s="3373">
        <v>4100000</v>
      </c>
      <c r="BC56" s="3425">
        <f>BB56/BA56</f>
        <v>0.29796511627906974</v>
      </c>
      <c r="BD56" s="3426" t="s">
        <v>490</v>
      </c>
      <c r="BE56" s="3429" t="s">
        <v>523</v>
      </c>
      <c r="BF56" s="3432">
        <v>42745</v>
      </c>
      <c r="BG56" s="3418">
        <v>42760</v>
      </c>
      <c r="BH56" s="3421">
        <v>43094</v>
      </c>
      <c r="BI56" s="3418">
        <v>42931</v>
      </c>
      <c r="BJ56" s="3422" t="s">
        <v>508</v>
      </c>
    </row>
    <row r="57" spans="1:62" s="1200" customFormat="1" ht="17.25" customHeight="1" x14ac:dyDescent="0.3">
      <c r="A57" s="3262"/>
      <c r="B57" s="3263"/>
      <c r="C57" s="3264"/>
      <c r="D57" s="3262"/>
      <c r="E57" s="3263"/>
      <c r="F57" s="3264"/>
      <c r="G57" s="3395"/>
      <c r="H57" s="3396"/>
      <c r="I57" s="3397"/>
      <c r="J57" s="3351"/>
      <c r="K57" s="3284"/>
      <c r="L57" s="3345"/>
      <c r="M57" s="3402"/>
      <c r="N57" s="3402"/>
      <c r="O57" s="3296"/>
      <c r="P57" s="3302"/>
      <c r="Q57" s="3284"/>
      <c r="R57" s="3405"/>
      <c r="S57" s="3408"/>
      <c r="T57" s="3284"/>
      <c r="U57" s="3411"/>
      <c r="V57" s="3411"/>
      <c r="W57" s="3354"/>
      <c r="X57" s="3374"/>
      <c r="Y57" s="3374"/>
      <c r="Z57" s="3345"/>
      <c r="AA57" s="3416"/>
      <c r="AB57" s="3414"/>
      <c r="AC57" s="3414"/>
      <c r="AD57" s="3414"/>
      <c r="AE57" s="3414"/>
      <c r="AF57" s="3414"/>
      <c r="AG57" s="3414"/>
      <c r="AH57" s="3414"/>
      <c r="AI57" s="3414"/>
      <c r="AJ57" s="3414"/>
      <c r="AK57" s="3414"/>
      <c r="AL57" s="3414"/>
      <c r="AM57" s="3414"/>
      <c r="AN57" s="3414"/>
      <c r="AO57" s="3414"/>
      <c r="AP57" s="3445"/>
      <c r="AQ57" s="3445"/>
      <c r="AR57" s="3414"/>
      <c r="AS57" s="3414"/>
      <c r="AT57" s="3414"/>
      <c r="AU57" s="3414"/>
      <c r="AV57" s="3414"/>
      <c r="AW57" s="3414"/>
      <c r="AX57" s="3414"/>
      <c r="AY57" s="3414"/>
      <c r="AZ57" s="3442"/>
      <c r="BA57" s="3374"/>
      <c r="BB57" s="3374"/>
      <c r="BC57" s="3425"/>
      <c r="BD57" s="3427"/>
      <c r="BE57" s="3430"/>
      <c r="BF57" s="3433"/>
      <c r="BG57" s="3419"/>
      <c r="BH57" s="3421"/>
      <c r="BI57" s="3419"/>
      <c r="BJ57" s="3423"/>
    </row>
    <row r="58" spans="1:62" s="1200" customFormat="1" ht="17.25" customHeight="1" x14ac:dyDescent="0.3">
      <c r="A58" s="3262"/>
      <c r="B58" s="3263"/>
      <c r="C58" s="3264"/>
      <c r="D58" s="3262"/>
      <c r="E58" s="3263"/>
      <c r="F58" s="3264"/>
      <c r="G58" s="3395"/>
      <c r="H58" s="3396"/>
      <c r="I58" s="3397"/>
      <c r="J58" s="3351"/>
      <c r="K58" s="3284"/>
      <c r="L58" s="3345"/>
      <c r="M58" s="3402"/>
      <c r="N58" s="3402"/>
      <c r="O58" s="3296"/>
      <c r="P58" s="3302"/>
      <c r="Q58" s="3284"/>
      <c r="R58" s="3405"/>
      <c r="S58" s="3408"/>
      <c r="T58" s="3284"/>
      <c r="U58" s="3411"/>
      <c r="V58" s="3411"/>
      <c r="W58" s="3354"/>
      <c r="X58" s="3374"/>
      <c r="Y58" s="3374"/>
      <c r="Z58" s="3345"/>
      <c r="AA58" s="3416"/>
      <c r="AB58" s="3414"/>
      <c r="AC58" s="3414"/>
      <c r="AD58" s="3414"/>
      <c r="AE58" s="3414"/>
      <c r="AF58" s="3414"/>
      <c r="AG58" s="3414"/>
      <c r="AH58" s="3414"/>
      <c r="AI58" s="3414"/>
      <c r="AJ58" s="3414"/>
      <c r="AK58" s="3414"/>
      <c r="AL58" s="3414"/>
      <c r="AM58" s="3414"/>
      <c r="AN58" s="3414"/>
      <c r="AO58" s="3414"/>
      <c r="AP58" s="3445"/>
      <c r="AQ58" s="3445"/>
      <c r="AR58" s="3414"/>
      <c r="AS58" s="3414"/>
      <c r="AT58" s="3414"/>
      <c r="AU58" s="3414"/>
      <c r="AV58" s="3414"/>
      <c r="AW58" s="3414"/>
      <c r="AX58" s="3414"/>
      <c r="AY58" s="3414"/>
      <c r="AZ58" s="3442"/>
      <c r="BA58" s="3374"/>
      <c r="BB58" s="3374"/>
      <c r="BC58" s="3425"/>
      <c r="BD58" s="3427"/>
      <c r="BE58" s="3430"/>
      <c r="BF58" s="3433"/>
      <c r="BG58" s="3419"/>
      <c r="BH58" s="3421"/>
      <c r="BI58" s="3419"/>
      <c r="BJ58" s="3423"/>
    </row>
    <row r="59" spans="1:62" s="1200" customFormat="1" ht="24.75" customHeight="1" x14ac:dyDescent="0.3">
      <c r="A59" s="3262"/>
      <c r="B59" s="3263"/>
      <c r="C59" s="3264"/>
      <c r="D59" s="3262"/>
      <c r="E59" s="3263"/>
      <c r="F59" s="3264"/>
      <c r="G59" s="3395"/>
      <c r="H59" s="3396"/>
      <c r="I59" s="3397"/>
      <c r="J59" s="3351"/>
      <c r="K59" s="3284"/>
      <c r="L59" s="3345"/>
      <c r="M59" s="3402"/>
      <c r="N59" s="3402"/>
      <c r="O59" s="3296"/>
      <c r="P59" s="3302"/>
      <c r="Q59" s="3284"/>
      <c r="R59" s="3405"/>
      <c r="S59" s="3408"/>
      <c r="T59" s="3284"/>
      <c r="U59" s="3411"/>
      <c r="V59" s="3412"/>
      <c r="W59" s="3355"/>
      <c r="X59" s="3375"/>
      <c r="Y59" s="3375"/>
      <c r="Z59" s="3345"/>
      <c r="AA59" s="3416"/>
      <c r="AB59" s="3414"/>
      <c r="AC59" s="3414"/>
      <c r="AD59" s="3414"/>
      <c r="AE59" s="3414"/>
      <c r="AF59" s="3414"/>
      <c r="AG59" s="3414"/>
      <c r="AH59" s="3414"/>
      <c r="AI59" s="3414"/>
      <c r="AJ59" s="3414"/>
      <c r="AK59" s="3414"/>
      <c r="AL59" s="3414"/>
      <c r="AM59" s="3414"/>
      <c r="AN59" s="3414"/>
      <c r="AO59" s="3414"/>
      <c r="AP59" s="3445"/>
      <c r="AQ59" s="3445"/>
      <c r="AR59" s="3414"/>
      <c r="AS59" s="3414"/>
      <c r="AT59" s="3414"/>
      <c r="AU59" s="3414"/>
      <c r="AV59" s="3414"/>
      <c r="AW59" s="3414"/>
      <c r="AX59" s="3414"/>
      <c r="AY59" s="3414"/>
      <c r="AZ59" s="3442"/>
      <c r="BA59" s="3374"/>
      <c r="BB59" s="3374"/>
      <c r="BC59" s="3425"/>
      <c r="BD59" s="3427"/>
      <c r="BE59" s="3430"/>
      <c r="BF59" s="3433"/>
      <c r="BG59" s="3419"/>
      <c r="BH59" s="3421"/>
      <c r="BI59" s="3419"/>
      <c r="BJ59" s="3423"/>
    </row>
    <row r="60" spans="1:62" s="1200" customFormat="1" ht="51.75" customHeight="1" x14ac:dyDescent="0.3">
      <c r="A60" s="3262"/>
      <c r="B60" s="3263"/>
      <c r="C60" s="3264"/>
      <c r="D60" s="3262"/>
      <c r="E60" s="3263"/>
      <c r="F60" s="3264"/>
      <c r="G60" s="3395"/>
      <c r="H60" s="3396"/>
      <c r="I60" s="3397"/>
      <c r="J60" s="3351"/>
      <c r="K60" s="3284"/>
      <c r="L60" s="3345"/>
      <c r="M60" s="3402"/>
      <c r="N60" s="3402"/>
      <c r="O60" s="3296"/>
      <c r="P60" s="3302"/>
      <c r="Q60" s="3284"/>
      <c r="R60" s="3405"/>
      <c r="S60" s="3408"/>
      <c r="T60" s="3284"/>
      <c r="U60" s="3411"/>
      <c r="V60" s="3410" t="s">
        <v>524</v>
      </c>
      <c r="W60" s="3353">
        <v>1000000</v>
      </c>
      <c r="X60" s="3373"/>
      <c r="Y60" s="3373"/>
      <c r="Z60" s="3345"/>
      <c r="AA60" s="3416"/>
      <c r="AB60" s="3414"/>
      <c r="AC60" s="3414"/>
      <c r="AD60" s="3414"/>
      <c r="AE60" s="3414"/>
      <c r="AF60" s="3414"/>
      <c r="AG60" s="3414"/>
      <c r="AH60" s="3414"/>
      <c r="AI60" s="3414"/>
      <c r="AJ60" s="3414"/>
      <c r="AK60" s="3414"/>
      <c r="AL60" s="3414"/>
      <c r="AM60" s="3414"/>
      <c r="AN60" s="3414"/>
      <c r="AO60" s="3414"/>
      <c r="AP60" s="3445"/>
      <c r="AQ60" s="3445"/>
      <c r="AR60" s="3414"/>
      <c r="AS60" s="3414"/>
      <c r="AT60" s="3414"/>
      <c r="AU60" s="3414"/>
      <c r="AV60" s="3414"/>
      <c r="AW60" s="3414"/>
      <c r="AX60" s="3414"/>
      <c r="AY60" s="3414"/>
      <c r="AZ60" s="3442"/>
      <c r="BA60" s="3374"/>
      <c r="BB60" s="3374"/>
      <c r="BC60" s="3425"/>
      <c r="BD60" s="3427"/>
      <c r="BE60" s="3430"/>
      <c r="BF60" s="3433"/>
      <c r="BG60" s="3419"/>
      <c r="BH60" s="3421"/>
      <c r="BI60" s="3419"/>
      <c r="BJ60" s="3423"/>
    </row>
    <row r="61" spans="1:62" s="1200" customFormat="1" ht="17.25" customHeight="1" x14ac:dyDescent="0.3">
      <c r="A61" s="3262"/>
      <c r="B61" s="3263"/>
      <c r="C61" s="3264"/>
      <c r="D61" s="3262"/>
      <c r="E61" s="3263"/>
      <c r="F61" s="3264"/>
      <c r="G61" s="3395"/>
      <c r="H61" s="3396"/>
      <c r="I61" s="3397"/>
      <c r="J61" s="3352"/>
      <c r="K61" s="3285"/>
      <c r="L61" s="3346"/>
      <c r="M61" s="3403"/>
      <c r="N61" s="3403"/>
      <c r="O61" s="3296"/>
      <c r="P61" s="3302"/>
      <c r="Q61" s="3284"/>
      <c r="R61" s="3406"/>
      <c r="S61" s="3409"/>
      <c r="T61" s="3284"/>
      <c r="U61" s="3412"/>
      <c r="V61" s="3411"/>
      <c r="W61" s="3355"/>
      <c r="X61" s="3375"/>
      <c r="Y61" s="3375"/>
      <c r="Z61" s="3345"/>
      <c r="AA61" s="3416"/>
      <c r="AB61" s="3414"/>
      <c r="AC61" s="3414"/>
      <c r="AD61" s="3414"/>
      <c r="AE61" s="3414"/>
      <c r="AF61" s="3414"/>
      <c r="AG61" s="3414"/>
      <c r="AH61" s="3414"/>
      <c r="AI61" s="3414"/>
      <c r="AJ61" s="3414"/>
      <c r="AK61" s="3414"/>
      <c r="AL61" s="3414"/>
      <c r="AM61" s="3414"/>
      <c r="AN61" s="3414"/>
      <c r="AO61" s="3414"/>
      <c r="AP61" s="3445"/>
      <c r="AQ61" s="3445"/>
      <c r="AR61" s="3414"/>
      <c r="AS61" s="3414"/>
      <c r="AT61" s="3414"/>
      <c r="AU61" s="3414"/>
      <c r="AV61" s="3414"/>
      <c r="AW61" s="3414"/>
      <c r="AX61" s="3414"/>
      <c r="AY61" s="3414"/>
      <c r="AZ61" s="3443"/>
      <c r="BA61" s="3375"/>
      <c r="BB61" s="3375"/>
      <c r="BC61" s="3425"/>
      <c r="BD61" s="3427"/>
      <c r="BE61" s="3430"/>
      <c r="BF61" s="3434"/>
      <c r="BG61" s="3420"/>
      <c r="BH61" s="3421"/>
      <c r="BI61" s="3420"/>
      <c r="BJ61" s="3423"/>
    </row>
    <row r="62" spans="1:62" s="1200" customFormat="1" ht="17.25" customHeight="1" x14ac:dyDescent="0.3">
      <c r="A62" s="3262"/>
      <c r="B62" s="3263"/>
      <c r="C62" s="3264"/>
      <c r="D62" s="3262"/>
      <c r="E62" s="3263"/>
      <c r="F62" s="3264"/>
      <c r="G62" s="3395"/>
      <c r="H62" s="3396"/>
      <c r="I62" s="3397"/>
      <c r="J62" s="3350">
        <v>44</v>
      </c>
      <c r="K62" s="3283" t="s">
        <v>525</v>
      </c>
      <c r="L62" s="3344" t="s">
        <v>18</v>
      </c>
      <c r="M62" s="3435">
        <v>1</v>
      </c>
      <c r="N62" s="3438">
        <v>0.25</v>
      </c>
      <c r="O62" s="3296"/>
      <c r="P62" s="3302"/>
      <c r="Q62" s="3284"/>
      <c r="R62" s="3404">
        <f>+S62/415200000</f>
        <v>0.12798651252408477</v>
      </c>
      <c r="S62" s="3407">
        <v>53140000</v>
      </c>
      <c r="T62" s="3284"/>
      <c r="U62" s="3410" t="s">
        <v>526</v>
      </c>
      <c r="V62" s="3410" t="s">
        <v>527</v>
      </c>
      <c r="W62" s="3353">
        <f>40000000-7000000+20140000</f>
        <v>53140000</v>
      </c>
      <c r="X62" s="3373">
        <v>31540000</v>
      </c>
      <c r="Y62" s="3373">
        <v>4100000</v>
      </c>
      <c r="Z62" s="3345"/>
      <c r="AA62" s="3416"/>
      <c r="AB62" s="3414"/>
      <c r="AC62" s="3414"/>
      <c r="AD62" s="3414"/>
      <c r="AE62" s="3414"/>
      <c r="AF62" s="3414"/>
      <c r="AG62" s="3414"/>
      <c r="AH62" s="3414"/>
      <c r="AI62" s="3414"/>
      <c r="AJ62" s="3414"/>
      <c r="AK62" s="3414"/>
      <c r="AL62" s="3414"/>
      <c r="AM62" s="3414"/>
      <c r="AN62" s="3414"/>
      <c r="AO62" s="3414"/>
      <c r="AP62" s="3445"/>
      <c r="AQ62" s="3445"/>
      <c r="AR62" s="3414"/>
      <c r="AS62" s="3414"/>
      <c r="AT62" s="3414"/>
      <c r="AU62" s="3414"/>
      <c r="AV62" s="3414"/>
      <c r="AW62" s="3414"/>
      <c r="AX62" s="3414"/>
      <c r="AY62" s="3414"/>
      <c r="AZ62" s="3441">
        <v>3</v>
      </c>
      <c r="BA62" s="3373">
        <v>31540000</v>
      </c>
      <c r="BB62" s="3373">
        <v>4100000</v>
      </c>
      <c r="BC62" s="3425">
        <f>BB62/BA62</f>
        <v>0.12999365884590997</v>
      </c>
      <c r="BD62" s="3427"/>
      <c r="BE62" s="3430"/>
      <c r="BF62" s="3432">
        <v>42745</v>
      </c>
      <c r="BG62" s="3418">
        <v>42760</v>
      </c>
      <c r="BH62" s="3421">
        <v>43094</v>
      </c>
      <c r="BI62" s="3418">
        <v>42955</v>
      </c>
      <c r="BJ62" s="3423"/>
    </row>
    <row r="63" spans="1:62" s="1200" customFormat="1" ht="17.25" customHeight="1" x14ac:dyDescent="0.3">
      <c r="A63" s="3262"/>
      <c r="B63" s="3263"/>
      <c r="C63" s="3264"/>
      <c r="D63" s="3262"/>
      <c r="E63" s="3263"/>
      <c r="F63" s="3264"/>
      <c r="G63" s="3395"/>
      <c r="H63" s="3396"/>
      <c r="I63" s="3397"/>
      <c r="J63" s="3351"/>
      <c r="K63" s="3284"/>
      <c r="L63" s="3345"/>
      <c r="M63" s="3436"/>
      <c r="N63" s="3439"/>
      <c r="O63" s="3296"/>
      <c r="P63" s="3302"/>
      <c r="Q63" s="3284"/>
      <c r="R63" s="3405"/>
      <c r="S63" s="3408"/>
      <c r="T63" s="3284"/>
      <c r="U63" s="3411"/>
      <c r="V63" s="3411"/>
      <c r="W63" s="3354"/>
      <c r="X63" s="3374"/>
      <c r="Y63" s="3374"/>
      <c r="Z63" s="3345"/>
      <c r="AA63" s="3416"/>
      <c r="AB63" s="3414"/>
      <c r="AC63" s="3414"/>
      <c r="AD63" s="3414"/>
      <c r="AE63" s="3414"/>
      <c r="AF63" s="3414"/>
      <c r="AG63" s="3414"/>
      <c r="AH63" s="3414"/>
      <c r="AI63" s="3414"/>
      <c r="AJ63" s="3414"/>
      <c r="AK63" s="3414"/>
      <c r="AL63" s="3414"/>
      <c r="AM63" s="3414"/>
      <c r="AN63" s="3414"/>
      <c r="AO63" s="3414"/>
      <c r="AP63" s="3445"/>
      <c r="AQ63" s="3445"/>
      <c r="AR63" s="3414"/>
      <c r="AS63" s="3414"/>
      <c r="AT63" s="3414"/>
      <c r="AU63" s="3414"/>
      <c r="AV63" s="3414"/>
      <c r="AW63" s="3414"/>
      <c r="AX63" s="3414"/>
      <c r="AY63" s="3414"/>
      <c r="AZ63" s="3442"/>
      <c r="BA63" s="3374"/>
      <c r="BB63" s="3374"/>
      <c r="BC63" s="3425"/>
      <c r="BD63" s="3427"/>
      <c r="BE63" s="3430"/>
      <c r="BF63" s="3433"/>
      <c r="BG63" s="3419"/>
      <c r="BH63" s="3421"/>
      <c r="BI63" s="3419"/>
      <c r="BJ63" s="3423"/>
    </row>
    <row r="64" spans="1:62" s="1200" customFormat="1" ht="17.25" customHeight="1" x14ac:dyDescent="0.3">
      <c r="A64" s="3262"/>
      <c r="B64" s="3263"/>
      <c r="C64" s="3264"/>
      <c r="D64" s="3262"/>
      <c r="E64" s="3263"/>
      <c r="F64" s="3264"/>
      <c r="G64" s="3395"/>
      <c r="H64" s="3396"/>
      <c r="I64" s="3397"/>
      <c r="J64" s="3351"/>
      <c r="K64" s="3284"/>
      <c r="L64" s="3345"/>
      <c r="M64" s="3436"/>
      <c r="N64" s="3439"/>
      <c r="O64" s="3296"/>
      <c r="P64" s="3302"/>
      <c r="Q64" s="3284"/>
      <c r="R64" s="3405"/>
      <c r="S64" s="3408"/>
      <c r="T64" s="3284"/>
      <c r="U64" s="3411"/>
      <c r="V64" s="3411"/>
      <c r="W64" s="3354"/>
      <c r="X64" s="3374"/>
      <c r="Y64" s="3374"/>
      <c r="Z64" s="3345"/>
      <c r="AA64" s="3416"/>
      <c r="AB64" s="3414"/>
      <c r="AC64" s="3414"/>
      <c r="AD64" s="3414"/>
      <c r="AE64" s="3414"/>
      <c r="AF64" s="3414"/>
      <c r="AG64" s="3414"/>
      <c r="AH64" s="3414"/>
      <c r="AI64" s="3414"/>
      <c r="AJ64" s="3414"/>
      <c r="AK64" s="3414"/>
      <c r="AL64" s="3414"/>
      <c r="AM64" s="3414"/>
      <c r="AN64" s="3414"/>
      <c r="AO64" s="3414"/>
      <c r="AP64" s="3445"/>
      <c r="AQ64" s="3445"/>
      <c r="AR64" s="3414"/>
      <c r="AS64" s="3414"/>
      <c r="AT64" s="3414"/>
      <c r="AU64" s="3414"/>
      <c r="AV64" s="3414"/>
      <c r="AW64" s="3414"/>
      <c r="AX64" s="3414"/>
      <c r="AY64" s="3414"/>
      <c r="AZ64" s="3442"/>
      <c r="BA64" s="3374"/>
      <c r="BB64" s="3374"/>
      <c r="BC64" s="3425"/>
      <c r="BD64" s="3427"/>
      <c r="BE64" s="3430"/>
      <c r="BF64" s="3433"/>
      <c r="BG64" s="3419"/>
      <c r="BH64" s="3421"/>
      <c r="BI64" s="3419"/>
      <c r="BJ64" s="3423"/>
    </row>
    <row r="65" spans="1:62" s="1200" customFormat="1" ht="17.25" customHeight="1" x14ac:dyDescent="0.3">
      <c r="A65" s="3262"/>
      <c r="B65" s="3263"/>
      <c r="C65" s="3264"/>
      <c r="D65" s="3262"/>
      <c r="E65" s="3263"/>
      <c r="F65" s="3264"/>
      <c r="G65" s="3395"/>
      <c r="H65" s="3396"/>
      <c r="I65" s="3397"/>
      <c r="J65" s="3351"/>
      <c r="K65" s="3284"/>
      <c r="L65" s="3345"/>
      <c r="M65" s="3436"/>
      <c r="N65" s="3439"/>
      <c r="O65" s="3296"/>
      <c r="P65" s="3302"/>
      <c r="Q65" s="3284"/>
      <c r="R65" s="3405"/>
      <c r="S65" s="3408"/>
      <c r="T65" s="3284"/>
      <c r="U65" s="3411"/>
      <c r="V65" s="3411"/>
      <c r="W65" s="3354"/>
      <c r="X65" s="3374"/>
      <c r="Y65" s="3374"/>
      <c r="Z65" s="3345"/>
      <c r="AA65" s="3416"/>
      <c r="AB65" s="3414"/>
      <c r="AC65" s="3414"/>
      <c r="AD65" s="3414"/>
      <c r="AE65" s="3414"/>
      <c r="AF65" s="3414"/>
      <c r="AG65" s="3414"/>
      <c r="AH65" s="3414"/>
      <c r="AI65" s="3414"/>
      <c r="AJ65" s="3414"/>
      <c r="AK65" s="3414"/>
      <c r="AL65" s="3414"/>
      <c r="AM65" s="3414"/>
      <c r="AN65" s="3414"/>
      <c r="AO65" s="3414"/>
      <c r="AP65" s="3445"/>
      <c r="AQ65" s="3445"/>
      <c r="AR65" s="3414"/>
      <c r="AS65" s="3414"/>
      <c r="AT65" s="3414"/>
      <c r="AU65" s="3414"/>
      <c r="AV65" s="3414"/>
      <c r="AW65" s="3414"/>
      <c r="AX65" s="3414"/>
      <c r="AY65" s="3414"/>
      <c r="AZ65" s="3442"/>
      <c r="BA65" s="3374"/>
      <c r="BB65" s="3374"/>
      <c r="BC65" s="3425"/>
      <c r="BD65" s="3427"/>
      <c r="BE65" s="3430"/>
      <c r="BF65" s="3433"/>
      <c r="BG65" s="3419"/>
      <c r="BH65" s="3421"/>
      <c r="BI65" s="3419"/>
      <c r="BJ65" s="3423"/>
    </row>
    <row r="66" spans="1:62" s="1200" customFormat="1" ht="17.25" customHeight="1" x14ac:dyDescent="0.3">
      <c r="A66" s="3262"/>
      <c r="B66" s="3263"/>
      <c r="C66" s="3264"/>
      <c r="D66" s="3262"/>
      <c r="E66" s="3263"/>
      <c r="F66" s="3264"/>
      <c r="G66" s="3395"/>
      <c r="H66" s="3396"/>
      <c r="I66" s="3397"/>
      <c r="J66" s="3351"/>
      <c r="K66" s="3284"/>
      <c r="L66" s="3345"/>
      <c r="M66" s="3436"/>
      <c r="N66" s="3439"/>
      <c r="O66" s="3296"/>
      <c r="P66" s="3302"/>
      <c r="Q66" s="3284"/>
      <c r="R66" s="3405"/>
      <c r="S66" s="3408"/>
      <c r="T66" s="3284"/>
      <c r="U66" s="3411"/>
      <c r="V66" s="3411"/>
      <c r="W66" s="3354"/>
      <c r="X66" s="3374"/>
      <c r="Y66" s="3374"/>
      <c r="Z66" s="3345"/>
      <c r="AA66" s="3416"/>
      <c r="AB66" s="3414"/>
      <c r="AC66" s="3414"/>
      <c r="AD66" s="3414"/>
      <c r="AE66" s="3414"/>
      <c r="AF66" s="3414"/>
      <c r="AG66" s="3414"/>
      <c r="AH66" s="3414"/>
      <c r="AI66" s="3414"/>
      <c r="AJ66" s="3414"/>
      <c r="AK66" s="3414"/>
      <c r="AL66" s="3414"/>
      <c r="AM66" s="3414"/>
      <c r="AN66" s="3414"/>
      <c r="AO66" s="3414"/>
      <c r="AP66" s="3445"/>
      <c r="AQ66" s="3445"/>
      <c r="AR66" s="3414"/>
      <c r="AS66" s="3414"/>
      <c r="AT66" s="3414"/>
      <c r="AU66" s="3414"/>
      <c r="AV66" s="3414"/>
      <c r="AW66" s="3414"/>
      <c r="AX66" s="3414"/>
      <c r="AY66" s="3414"/>
      <c r="AZ66" s="3442"/>
      <c r="BA66" s="3374"/>
      <c r="BB66" s="3374"/>
      <c r="BC66" s="3425"/>
      <c r="BD66" s="3427"/>
      <c r="BE66" s="3430"/>
      <c r="BF66" s="3433"/>
      <c r="BG66" s="3419"/>
      <c r="BH66" s="3421"/>
      <c r="BI66" s="3419"/>
      <c r="BJ66" s="3423"/>
    </row>
    <row r="67" spans="1:62" s="1200" customFormat="1" ht="17.25" customHeight="1" x14ac:dyDescent="0.3">
      <c r="A67" s="3262"/>
      <c r="B67" s="3263"/>
      <c r="C67" s="3264"/>
      <c r="D67" s="3262"/>
      <c r="E67" s="3263"/>
      <c r="F67" s="3264"/>
      <c r="G67" s="3395"/>
      <c r="H67" s="3396"/>
      <c r="I67" s="3397"/>
      <c r="J67" s="3351"/>
      <c r="K67" s="3284"/>
      <c r="L67" s="3345"/>
      <c r="M67" s="3436"/>
      <c r="N67" s="3439"/>
      <c r="O67" s="3296"/>
      <c r="P67" s="3302"/>
      <c r="Q67" s="3284"/>
      <c r="R67" s="3405"/>
      <c r="S67" s="3408"/>
      <c r="T67" s="3284"/>
      <c r="U67" s="3411"/>
      <c r="V67" s="3411"/>
      <c r="W67" s="3354"/>
      <c r="X67" s="3374"/>
      <c r="Y67" s="3374"/>
      <c r="Z67" s="3345"/>
      <c r="AA67" s="3416"/>
      <c r="AB67" s="3414"/>
      <c r="AC67" s="3414"/>
      <c r="AD67" s="3414"/>
      <c r="AE67" s="3414"/>
      <c r="AF67" s="3414"/>
      <c r="AG67" s="3414"/>
      <c r="AH67" s="3414"/>
      <c r="AI67" s="3414"/>
      <c r="AJ67" s="3414"/>
      <c r="AK67" s="3414"/>
      <c r="AL67" s="3414"/>
      <c r="AM67" s="3414"/>
      <c r="AN67" s="3414"/>
      <c r="AO67" s="3414"/>
      <c r="AP67" s="3445"/>
      <c r="AQ67" s="3445"/>
      <c r="AR67" s="3414"/>
      <c r="AS67" s="3414"/>
      <c r="AT67" s="3414"/>
      <c r="AU67" s="3414"/>
      <c r="AV67" s="3414"/>
      <c r="AW67" s="3414"/>
      <c r="AX67" s="3414"/>
      <c r="AY67" s="3414"/>
      <c r="AZ67" s="3442"/>
      <c r="BA67" s="3374"/>
      <c r="BB67" s="3374"/>
      <c r="BC67" s="3425"/>
      <c r="BD67" s="3427"/>
      <c r="BE67" s="3430"/>
      <c r="BF67" s="3433"/>
      <c r="BG67" s="3419"/>
      <c r="BH67" s="3421"/>
      <c r="BI67" s="3419"/>
      <c r="BJ67" s="3423"/>
    </row>
    <row r="68" spans="1:62" s="1200" customFormat="1" ht="17.25" customHeight="1" x14ac:dyDescent="0.3">
      <c r="A68" s="3262"/>
      <c r="B68" s="3263"/>
      <c r="C68" s="3264"/>
      <c r="D68" s="3262"/>
      <c r="E68" s="3263"/>
      <c r="F68" s="3264"/>
      <c r="G68" s="3395"/>
      <c r="H68" s="3396"/>
      <c r="I68" s="3397"/>
      <c r="J68" s="3352"/>
      <c r="K68" s="3285"/>
      <c r="L68" s="3346"/>
      <c r="M68" s="3437"/>
      <c r="N68" s="3440"/>
      <c r="O68" s="3296"/>
      <c r="P68" s="3302"/>
      <c r="Q68" s="3284"/>
      <c r="R68" s="3406"/>
      <c r="S68" s="3409"/>
      <c r="T68" s="3284"/>
      <c r="U68" s="3412"/>
      <c r="V68" s="3412"/>
      <c r="W68" s="3355"/>
      <c r="X68" s="3375"/>
      <c r="Y68" s="3375"/>
      <c r="Z68" s="3345"/>
      <c r="AA68" s="3416"/>
      <c r="AB68" s="3414"/>
      <c r="AC68" s="3414"/>
      <c r="AD68" s="3414"/>
      <c r="AE68" s="3414"/>
      <c r="AF68" s="3414"/>
      <c r="AG68" s="3414"/>
      <c r="AH68" s="3414"/>
      <c r="AI68" s="3414"/>
      <c r="AJ68" s="3414"/>
      <c r="AK68" s="3414"/>
      <c r="AL68" s="3414"/>
      <c r="AM68" s="3414"/>
      <c r="AN68" s="3414"/>
      <c r="AO68" s="3414"/>
      <c r="AP68" s="3445"/>
      <c r="AQ68" s="3445"/>
      <c r="AR68" s="3414"/>
      <c r="AS68" s="3414"/>
      <c r="AT68" s="3414"/>
      <c r="AU68" s="3414"/>
      <c r="AV68" s="3414"/>
      <c r="AW68" s="3414"/>
      <c r="AX68" s="3414"/>
      <c r="AY68" s="3414"/>
      <c r="AZ68" s="3442"/>
      <c r="BA68" s="3375"/>
      <c r="BB68" s="3375"/>
      <c r="BC68" s="3425"/>
      <c r="BD68" s="3427"/>
      <c r="BE68" s="3430"/>
      <c r="BF68" s="3434"/>
      <c r="BG68" s="3420"/>
      <c r="BH68" s="3421"/>
      <c r="BI68" s="3420"/>
      <c r="BJ68" s="3423"/>
    </row>
    <row r="69" spans="1:62" s="1200" customFormat="1" ht="17.25" customHeight="1" x14ac:dyDescent="0.3">
      <c r="A69" s="3262"/>
      <c r="B69" s="3263"/>
      <c r="C69" s="3264"/>
      <c r="D69" s="3262"/>
      <c r="E69" s="3263"/>
      <c r="F69" s="3264"/>
      <c r="G69" s="3395"/>
      <c r="H69" s="3396"/>
      <c r="I69" s="3397"/>
      <c r="J69" s="3350">
        <v>45</v>
      </c>
      <c r="K69" s="3283" t="s">
        <v>528</v>
      </c>
      <c r="L69" s="3344" t="s">
        <v>18</v>
      </c>
      <c r="M69" s="3401">
        <v>3</v>
      </c>
      <c r="N69" s="3401">
        <v>0</v>
      </c>
      <c r="O69" s="3296"/>
      <c r="P69" s="3302"/>
      <c r="Q69" s="3284"/>
      <c r="R69" s="3404">
        <f>+S69/415200000</f>
        <v>0.16840077071290943</v>
      </c>
      <c r="S69" s="3407">
        <v>69920000</v>
      </c>
      <c r="T69" s="3284"/>
      <c r="U69" s="3410" t="s">
        <v>521</v>
      </c>
      <c r="V69" s="3410" t="s">
        <v>529</v>
      </c>
      <c r="W69" s="3353">
        <f>40000000+17000000+11920000</f>
        <v>68920000</v>
      </c>
      <c r="X69" s="3373">
        <v>2640000</v>
      </c>
      <c r="Y69" s="3373"/>
      <c r="Z69" s="3345"/>
      <c r="AA69" s="3416"/>
      <c r="AB69" s="3414"/>
      <c r="AC69" s="3414"/>
      <c r="AD69" s="3414"/>
      <c r="AE69" s="3414"/>
      <c r="AF69" s="3414"/>
      <c r="AG69" s="3414"/>
      <c r="AH69" s="3414"/>
      <c r="AI69" s="3414"/>
      <c r="AJ69" s="3414"/>
      <c r="AK69" s="3414"/>
      <c r="AL69" s="3414"/>
      <c r="AM69" s="3414"/>
      <c r="AN69" s="3414"/>
      <c r="AO69" s="3414"/>
      <c r="AP69" s="3445"/>
      <c r="AQ69" s="3445"/>
      <c r="AR69" s="3414"/>
      <c r="AS69" s="3414"/>
      <c r="AT69" s="3414"/>
      <c r="AU69" s="3414"/>
      <c r="AV69" s="3414"/>
      <c r="AW69" s="3414"/>
      <c r="AX69" s="3414"/>
      <c r="AY69" s="3414"/>
      <c r="AZ69" s="3447">
        <v>1</v>
      </c>
      <c r="BA69" s="3373">
        <v>2640000</v>
      </c>
      <c r="BB69" s="3373"/>
      <c r="BC69" s="3425">
        <v>0</v>
      </c>
      <c r="BD69" s="3427"/>
      <c r="BE69" s="3430"/>
      <c r="BF69" s="3432">
        <v>42745</v>
      </c>
      <c r="BG69" s="3418">
        <v>42781</v>
      </c>
      <c r="BH69" s="3421">
        <v>43094</v>
      </c>
      <c r="BI69" s="3418">
        <v>42961</v>
      </c>
      <c r="BJ69" s="3423"/>
    </row>
    <row r="70" spans="1:62" s="1200" customFormat="1" ht="30.75" customHeight="1" x14ac:dyDescent="0.3">
      <c r="A70" s="3262"/>
      <c r="B70" s="3263"/>
      <c r="C70" s="3264"/>
      <c r="D70" s="3262"/>
      <c r="E70" s="3263"/>
      <c r="F70" s="3264"/>
      <c r="G70" s="3395"/>
      <c r="H70" s="3396"/>
      <c r="I70" s="3397"/>
      <c r="J70" s="3351"/>
      <c r="K70" s="3284"/>
      <c r="L70" s="3345"/>
      <c r="M70" s="3402"/>
      <c r="N70" s="3402"/>
      <c r="O70" s="3296"/>
      <c r="P70" s="3302"/>
      <c r="Q70" s="3284"/>
      <c r="R70" s="3405"/>
      <c r="S70" s="3408"/>
      <c r="T70" s="3284"/>
      <c r="U70" s="3411"/>
      <c r="V70" s="3411"/>
      <c r="W70" s="3354"/>
      <c r="X70" s="3374"/>
      <c r="Y70" s="3374"/>
      <c r="Z70" s="3345"/>
      <c r="AA70" s="3416"/>
      <c r="AB70" s="3414"/>
      <c r="AC70" s="3414"/>
      <c r="AD70" s="3414"/>
      <c r="AE70" s="3414"/>
      <c r="AF70" s="3414"/>
      <c r="AG70" s="3414"/>
      <c r="AH70" s="3414"/>
      <c r="AI70" s="3414"/>
      <c r="AJ70" s="3414"/>
      <c r="AK70" s="3414"/>
      <c r="AL70" s="3414"/>
      <c r="AM70" s="3414"/>
      <c r="AN70" s="3414"/>
      <c r="AO70" s="3414"/>
      <c r="AP70" s="3445"/>
      <c r="AQ70" s="3445"/>
      <c r="AR70" s="3414"/>
      <c r="AS70" s="3414"/>
      <c r="AT70" s="3414"/>
      <c r="AU70" s="3414"/>
      <c r="AV70" s="3414"/>
      <c r="AW70" s="3414"/>
      <c r="AX70" s="3414"/>
      <c r="AY70" s="3414"/>
      <c r="AZ70" s="3447"/>
      <c r="BA70" s="3374"/>
      <c r="BB70" s="3374"/>
      <c r="BC70" s="3425"/>
      <c r="BD70" s="3427"/>
      <c r="BE70" s="3430"/>
      <c r="BF70" s="3433"/>
      <c r="BG70" s="3419"/>
      <c r="BH70" s="3421"/>
      <c r="BI70" s="3419"/>
      <c r="BJ70" s="3423"/>
    </row>
    <row r="71" spans="1:62" s="1200" customFormat="1" ht="24" customHeight="1" x14ac:dyDescent="0.3">
      <c r="A71" s="3262"/>
      <c r="B71" s="3263"/>
      <c r="C71" s="3264"/>
      <c r="D71" s="3262"/>
      <c r="E71" s="3263"/>
      <c r="F71" s="3264"/>
      <c r="G71" s="3395"/>
      <c r="H71" s="3396"/>
      <c r="I71" s="3397"/>
      <c r="J71" s="3351"/>
      <c r="K71" s="3284"/>
      <c r="L71" s="3345"/>
      <c r="M71" s="3402"/>
      <c r="N71" s="3402"/>
      <c r="O71" s="3296"/>
      <c r="P71" s="3302"/>
      <c r="Q71" s="3284"/>
      <c r="R71" s="3405"/>
      <c r="S71" s="3408"/>
      <c r="T71" s="3284"/>
      <c r="U71" s="3411"/>
      <c r="V71" s="3412"/>
      <c r="W71" s="3355"/>
      <c r="X71" s="3375"/>
      <c r="Y71" s="3375"/>
      <c r="Z71" s="3345"/>
      <c r="AA71" s="3416"/>
      <c r="AB71" s="3414"/>
      <c r="AC71" s="3414"/>
      <c r="AD71" s="3414"/>
      <c r="AE71" s="3414"/>
      <c r="AF71" s="3414"/>
      <c r="AG71" s="3414"/>
      <c r="AH71" s="3414"/>
      <c r="AI71" s="3414"/>
      <c r="AJ71" s="3414"/>
      <c r="AK71" s="3414"/>
      <c r="AL71" s="3414"/>
      <c r="AM71" s="3414"/>
      <c r="AN71" s="3414"/>
      <c r="AO71" s="3414"/>
      <c r="AP71" s="3445"/>
      <c r="AQ71" s="3445"/>
      <c r="AR71" s="3414"/>
      <c r="AS71" s="3414"/>
      <c r="AT71" s="3414"/>
      <c r="AU71" s="3414"/>
      <c r="AV71" s="3414"/>
      <c r="AW71" s="3414"/>
      <c r="AX71" s="3414"/>
      <c r="AY71" s="3414"/>
      <c r="AZ71" s="3447"/>
      <c r="BA71" s="3374"/>
      <c r="BB71" s="3374"/>
      <c r="BC71" s="3425"/>
      <c r="BD71" s="3427"/>
      <c r="BE71" s="3430"/>
      <c r="BF71" s="3433"/>
      <c r="BG71" s="3419"/>
      <c r="BH71" s="3421"/>
      <c r="BI71" s="3419"/>
      <c r="BJ71" s="3423"/>
    </row>
    <row r="72" spans="1:62" s="1200" customFormat="1" ht="17.25" customHeight="1" x14ac:dyDescent="0.3">
      <c r="A72" s="3262"/>
      <c r="B72" s="3263"/>
      <c r="C72" s="3264"/>
      <c r="D72" s="3262"/>
      <c r="E72" s="3263"/>
      <c r="F72" s="3264"/>
      <c r="G72" s="3395"/>
      <c r="H72" s="3396"/>
      <c r="I72" s="3397"/>
      <c r="J72" s="3351"/>
      <c r="K72" s="3284"/>
      <c r="L72" s="3345"/>
      <c r="M72" s="3402"/>
      <c r="N72" s="3402"/>
      <c r="O72" s="3296"/>
      <c r="P72" s="3302"/>
      <c r="Q72" s="3284"/>
      <c r="R72" s="3405"/>
      <c r="S72" s="3408"/>
      <c r="T72" s="3284"/>
      <c r="U72" s="3411"/>
      <c r="V72" s="3410" t="s">
        <v>524</v>
      </c>
      <c r="W72" s="3353">
        <v>1000000</v>
      </c>
      <c r="X72" s="3373"/>
      <c r="Y72" s="3373"/>
      <c r="Z72" s="3345"/>
      <c r="AA72" s="3416"/>
      <c r="AB72" s="3414"/>
      <c r="AC72" s="3414"/>
      <c r="AD72" s="3414"/>
      <c r="AE72" s="3414"/>
      <c r="AF72" s="3414"/>
      <c r="AG72" s="3414"/>
      <c r="AH72" s="3414"/>
      <c r="AI72" s="3414"/>
      <c r="AJ72" s="3414"/>
      <c r="AK72" s="3414"/>
      <c r="AL72" s="3414"/>
      <c r="AM72" s="3414"/>
      <c r="AN72" s="3414"/>
      <c r="AO72" s="3414"/>
      <c r="AP72" s="3445"/>
      <c r="AQ72" s="3445"/>
      <c r="AR72" s="3414"/>
      <c r="AS72" s="3414"/>
      <c r="AT72" s="3414"/>
      <c r="AU72" s="3414"/>
      <c r="AV72" s="3414"/>
      <c r="AW72" s="3414"/>
      <c r="AX72" s="3414"/>
      <c r="AY72" s="3414"/>
      <c r="AZ72" s="3447"/>
      <c r="BA72" s="3374"/>
      <c r="BB72" s="3374"/>
      <c r="BC72" s="3425"/>
      <c r="BD72" s="3427"/>
      <c r="BE72" s="3430"/>
      <c r="BF72" s="3433"/>
      <c r="BG72" s="3419"/>
      <c r="BH72" s="3421"/>
      <c r="BI72" s="3419"/>
      <c r="BJ72" s="3423"/>
    </row>
    <row r="73" spans="1:62" s="1200" customFormat="1" ht="32.25" customHeight="1" x14ac:dyDescent="0.3">
      <c r="A73" s="3262"/>
      <c r="B73" s="3263"/>
      <c r="C73" s="3264"/>
      <c r="D73" s="3262"/>
      <c r="E73" s="3263"/>
      <c r="F73" s="3264"/>
      <c r="G73" s="3395"/>
      <c r="H73" s="3396"/>
      <c r="I73" s="3397"/>
      <c r="J73" s="3351"/>
      <c r="K73" s="3284"/>
      <c r="L73" s="3345"/>
      <c r="M73" s="3402"/>
      <c r="N73" s="3402"/>
      <c r="O73" s="3296"/>
      <c r="P73" s="3302"/>
      <c r="Q73" s="3284"/>
      <c r="R73" s="3405"/>
      <c r="S73" s="3408"/>
      <c r="T73" s="3284"/>
      <c r="U73" s="3411"/>
      <c r="V73" s="3411"/>
      <c r="W73" s="3354"/>
      <c r="X73" s="3374"/>
      <c r="Y73" s="3374"/>
      <c r="Z73" s="3345"/>
      <c r="AA73" s="3416"/>
      <c r="AB73" s="3414"/>
      <c r="AC73" s="3414"/>
      <c r="AD73" s="3414"/>
      <c r="AE73" s="3414"/>
      <c r="AF73" s="3414"/>
      <c r="AG73" s="3414"/>
      <c r="AH73" s="3414"/>
      <c r="AI73" s="3414"/>
      <c r="AJ73" s="3414"/>
      <c r="AK73" s="3414"/>
      <c r="AL73" s="3414"/>
      <c r="AM73" s="3414"/>
      <c r="AN73" s="3414"/>
      <c r="AO73" s="3414"/>
      <c r="AP73" s="3445"/>
      <c r="AQ73" s="3445"/>
      <c r="AR73" s="3414"/>
      <c r="AS73" s="3414"/>
      <c r="AT73" s="3414"/>
      <c r="AU73" s="3414"/>
      <c r="AV73" s="3414"/>
      <c r="AW73" s="3414"/>
      <c r="AX73" s="3414"/>
      <c r="AY73" s="3414"/>
      <c r="AZ73" s="3447"/>
      <c r="BA73" s="3374"/>
      <c r="BB73" s="3374"/>
      <c r="BC73" s="3425"/>
      <c r="BD73" s="3427"/>
      <c r="BE73" s="3430"/>
      <c r="BF73" s="3433"/>
      <c r="BG73" s="3419"/>
      <c r="BH73" s="3421"/>
      <c r="BI73" s="3419"/>
      <c r="BJ73" s="3423"/>
    </row>
    <row r="74" spans="1:62" s="1200" customFormat="1" ht="30" customHeight="1" x14ac:dyDescent="0.3">
      <c r="A74" s="3262"/>
      <c r="B74" s="3263"/>
      <c r="C74" s="3264"/>
      <c r="D74" s="3262"/>
      <c r="E74" s="3263"/>
      <c r="F74" s="3264"/>
      <c r="G74" s="3395"/>
      <c r="H74" s="3396"/>
      <c r="I74" s="3397"/>
      <c r="J74" s="3352"/>
      <c r="K74" s="3285"/>
      <c r="L74" s="3346"/>
      <c r="M74" s="3403"/>
      <c r="N74" s="3403"/>
      <c r="O74" s="3296"/>
      <c r="P74" s="3302"/>
      <c r="Q74" s="3284"/>
      <c r="R74" s="3406"/>
      <c r="S74" s="3409"/>
      <c r="T74" s="3284"/>
      <c r="U74" s="3411"/>
      <c r="V74" s="3412"/>
      <c r="W74" s="3355"/>
      <c r="X74" s="3375"/>
      <c r="Y74" s="3375"/>
      <c r="Z74" s="3345"/>
      <c r="AA74" s="3416"/>
      <c r="AB74" s="3414"/>
      <c r="AC74" s="3414"/>
      <c r="AD74" s="3414"/>
      <c r="AE74" s="3414"/>
      <c r="AF74" s="3414"/>
      <c r="AG74" s="3414"/>
      <c r="AH74" s="3414"/>
      <c r="AI74" s="3414"/>
      <c r="AJ74" s="3414"/>
      <c r="AK74" s="3414"/>
      <c r="AL74" s="3414"/>
      <c r="AM74" s="3414"/>
      <c r="AN74" s="3414"/>
      <c r="AO74" s="3414"/>
      <c r="AP74" s="3445"/>
      <c r="AQ74" s="3445"/>
      <c r="AR74" s="3414"/>
      <c r="AS74" s="3414"/>
      <c r="AT74" s="3414"/>
      <c r="AU74" s="3414"/>
      <c r="AV74" s="3414"/>
      <c r="AW74" s="3414"/>
      <c r="AX74" s="3414"/>
      <c r="AY74" s="3414"/>
      <c r="AZ74" s="3447"/>
      <c r="BA74" s="3375"/>
      <c r="BB74" s="3375"/>
      <c r="BC74" s="3425"/>
      <c r="BD74" s="3427"/>
      <c r="BE74" s="3430"/>
      <c r="BF74" s="3434"/>
      <c r="BG74" s="3420"/>
      <c r="BH74" s="3421"/>
      <c r="BI74" s="3420"/>
      <c r="BJ74" s="3423"/>
    </row>
    <row r="75" spans="1:62" s="1200" customFormat="1" ht="17.25" customHeight="1" x14ac:dyDescent="0.3">
      <c r="A75" s="3262"/>
      <c r="B75" s="3263"/>
      <c r="C75" s="3264"/>
      <c r="D75" s="3262"/>
      <c r="E75" s="3263"/>
      <c r="F75" s="3264"/>
      <c r="G75" s="3395"/>
      <c r="H75" s="3396"/>
      <c r="I75" s="3397"/>
      <c r="J75" s="3350">
        <v>46</v>
      </c>
      <c r="K75" s="3283" t="s">
        <v>530</v>
      </c>
      <c r="L75" s="3344" t="s">
        <v>18</v>
      </c>
      <c r="M75" s="3435">
        <v>1</v>
      </c>
      <c r="N75" s="3435">
        <v>0</v>
      </c>
      <c r="O75" s="3296"/>
      <c r="P75" s="3302"/>
      <c r="Q75" s="3284"/>
      <c r="R75" s="3404">
        <f>+S75/415200000</f>
        <v>0.51782273603082851</v>
      </c>
      <c r="S75" s="3407">
        <v>215000000</v>
      </c>
      <c r="T75" s="3284"/>
      <c r="U75" s="3411"/>
      <c r="V75" s="3410" t="s">
        <v>531</v>
      </c>
      <c r="W75" s="3353">
        <f>50000000+165000000</f>
        <v>215000000</v>
      </c>
      <c r="X75" s="3373">
        <v>1250000</v>
      </c>
      <c r="Y75" s="3373"/>
      <c r="Z75" s="3345"/>
      <c r="AA75" s="3416"/>
      <c r="AB75" s="3414"/>
      <c r="AC75" s="3414"/>
      <c r="AD75" s="3414"/>
      <c r="AE75" s="3414"/>
      <c r="AF75" s="3414"/>
      <c r="AG75" s="3414"/>
      <c r="AH75" s="3414"/>
      <c r="AI75" s="3414"/>
      <c r="AJ75" s="3414"/>
      <c r="AK75" s="3414"/>
      <c r="AL75" s="3414"/>
      <c r="AM75" s="3414"/>
      <c r="AN75" s="3414"/>
      <c r="AO75" s="3414"/>
      <c r="AP75" s="3445"/>
      <c r="AQ75" s="3445"/>
      <c r="AR75" s="3414"/>
      <c r="AS75" s="3414"/>
      <c r="AT75" s="3414"/>
      <c r="AU75" s="3414"/>
      <c r="AV75" s="3414"/>
      <c r="AW75" s="3414"/>
      <c r="AX75" s="3414"/>
      <c r="AY75" s="3414"/>
      <c r="AZ75" s="3441"/>
      <c r="BA75" s="3373">
        <v>1250000</v>
      </c>
      <c r="BB75" s="3373"/>
      <c r="BC75" s="3448">
        <v>0</v>
      </c>
      <c r="BD75" s="3427"/>
      <c r="BE75" s="3430"/>
      <c r="BF75" s="3432">
        <v>42745</v>
      </c>
      <c r="BG75" s="3418"/>
      <c r="BH75" s="3421"/>
      <c r="BI75" s="3418"/>
      <c r="BJ75" s="3423"/>
    </row>
    <row r="76" spans="1:62" s="1200" customFormat="1" ht="17.25" customHeight="1" x14ac:dyDescent="0.3">
      <c r="A76" s="3262"/>
      <c r="B76" s="3263"/>
      <c r="C76" s="3264"/>
      <c r="D76" s="3262"/>
      <c r="E76" s="3263"/>
      <c r="F76" s="3264"/>
      <c r="G76" s="3395"/>
      <c r="H76" s="3396"/>
      <c r="I76" s="3397"/>
      <c r="J76" s="3351"/>
      <c r="K76" s="3284"/>
      <c r="L76" s="3345"/>
      <c r="M76" s="3436"/>
      <c r="N76" s="3436"/>
      <c r="O76" s="3296"/>
      <c r="P76" s="3302"/>
      <c r="Q76" s="3284"/>
      <c r="R76" s="3405"/>
      <c r="S76" s="3408"/>
      <c r="T76" s="3284"/>
      <c r="U76" s="3411"/>
      <c r="V76" s="3411"/>
      <c r="W76" s="3354"/>
      <c r="X76" s="3374"/>
      <c r="Y76" s="3374"/>
      <c r="Z76" s="3345"/>
      <c r="AA76" s="3416"/>
      <c r="AB76" s="3414"/>
      <c r="AC76" s="3414"/>
      <c r="AD76" s="3414"/>
      <c r="AE76" s="3414"/>
      <c r="AF76" s="3414"/>
      <c r="AG76" s="3414"/>
      <c r="AH76" s="3414"/>
      <c r="AI76" s="3414"/>
      <c r="AJ76" s="3414"/>
      <c r="AK76" s="3414"/>
      <c r="AL76" s="3414"/>
      <c r="AM76" s="3414"/>
      <c r="AN76" s="3414"/>
      <c r="AO76" s="3414"/>
      <c r="AP76" s="3445"/>
      <c r="AQ76" s="3445"/>
      <c r="AR76" s="3414"/>
      <c r="AS76" s="3414"/>
      <c r="AT76" s="3414"/>
      <c r="AU76" s="3414"/>
      <c r="AV76" s="3414"/>
      <c r="AW76" s="3414"/>
      <c r="AX76" s="3414"/>
      <c r="AY76" s="3414"/>
      <c r="AZ76" s="3442"/>
      <c r="BA76" s="3374"/>
      <c r="BB76" s="3374"/>
      <c r="BC76" s="3449"/>
      <c r="BD76" s="3427"/>
      <c r="BE76" s="3430"/>
      <c r="BF76" s="3433"/>
      <c r="BG76" s="3419"/>
      <c r="BH76" s="3421"/>
      <c r="BI76" s="3419"/>
      <c r="BJ76" s="3423"/>
    </row>
    <row r="77" spans="1:62" s="1200" customFormat="1" ht="17.25" customHeight="1" x14ac:dyDescent="0.3">
      <c r="A77" s="3262"/>
      <c r="B77" s="3263"/>
      <c r="C77" s="3264"/>
      <c r="D77" s="3262"/>
      <c r="E77" s="3263"/>
      <c r="F77" s="3264"/>
      <c r="G77" s="3395"/>
      <c r="H77" s="3396"/>
      <c r="I77" s="3397"/>
      <c r="J77" s="3351"/>
      <c r="K77" s="3284"/>
      <c r="L77" s="3345"/>
      <c r="M77" s="3436"/>
      <c r="N77" s="3436"/>
      <c r="O77" s="3296"/>
      <c r="P77" s="3302"/>
      <c r="Q77" s="3284"/>
      <c r="R77" s="3405"/>
      <c r="S77" s="3408"/>
      <c r="T77" s="3284"/>
      <c r="U77" s="3411"/>
      <c r="V77" s="3411"/>
      <c r="W77" s="3354"/>
      <c r="X77" s="3374"/>
      <c r="Y77" s="3374"/>
      <c r="Z77" s="3345"/>
      <c r="AA77" s="3416"/>
      <c r="AB77" s="3414"/>
      <c r="AC77" s="3414"/>
      <c r="AD77" s="3414"/>
      <c r="AE77" s="3414"/>
      <c r="AF77" s="3414"/>
      <c r="AG77" s="3414"/>
      <c r="AH77" s="3414"/>
      <c r="AI77" s="3414"/>
      <c r="AJ77" s="3414"/>
      <c r="AK77" s="3414"/>
      <c r="AL77" s="3414"/>
      <c r="AM77" s="3414"/>
      <c r="AN77" s="3414"/>
      <c r="AO77" s="3414"/>
      <c r="AP77" s="3445"/>
      <c r="AQ77" s="3445"/>
      <c r="AR77" s="3414"/>
      <c r="AS77" s="3414"/>
      <c r="AT77" s="3414"/>
      <c r="AU77" s="3414"/>
      <c r="AV77" s="3414"/>
      <c r="AW77" s="3414"/>
      <c r="AX77" s="3414"/>
      <c r="AY77" s="3414"/>
      <c r="AZ77" s="3442"/>
      <c r="BA77" s="3374"/>
      <c r="BB77" s="3374"/>
      <c r="BC77" s="3449"/>
      <c r="BD77" s="3427"/>
      <c r="BE77" s="3430"/>
      <c r="BF77" s="3433"/>
      <c r="BG77" s="3419"/>
      <c r="BH77" s="3421"/>
      <c r="BI77" s="3419"/>
      <c r="BJ77" s="3423"/>
    </row>
    <row r="78" spans="1:62" s="1200" customFormat="1" ht="17.25" customHeight="1" x14ac:dyDescent="0.3">
      <c r="A78" s="3262"/>
      <c r="B78" s="3263"/>
      <c r="C78" s="3264"/>
      <c r="D78" s="3262"/>
      <c r="E78" s="3263"/>
      <c r="F78" s="3264"/>
      <c r="G78" s="3395"/>
      <c r="H78" s="3396"/>
      <c r="I78" s="3397"/>
      <c r="J78" s="3351"/>
      <c r="K78" s="3284"/>
      <c r="L78" s="3345"/>
      <c r="M78" s="3436"/>
      <c r="N78" s="3436"/>
      <c r="O78" s="3296"/>
      <c r="P78" s="3302"/>
      <c r="Q78" s="3284"/>
      <c r="R78" s="3405"/>
      <c r="S78" s="3408"/>
      <c r="T78" s="3284"/>
      <c r="U78" s="3411"/>
      <c r="V78" s="3411"/>
      <c r="W78" s="3354"/>
      <c r="X78" s="3374"/>
      <c r="Y78" s="3374"/>
      <c r="Z78" s="3345"/>
      <c r="AA78" s="3416"/>
      <c r="AB78" s="3414"/>
      <c r="AC78" s="3414"/>
      <c r="AD78" s="3414"/>
      <c r="AE78" s="3414"/>
      <c r="AF78" s="3414"/>
      <c r="AG78" s="3414"/>
      <c r="AH78" s="3414"/>
      <c r="AI78" s="3414"/>
      <c r="AJ78" s="3414"/>
      <c r="AK78" s="3414"/>
      <c r="AL78" s="3414"/>
      <c r="AM78" s="3414"/>
      <c r="AN78" s="3414"/>
      <c r="AO78" s="3414"/>
      <c r="AP78" s="3445"/>
      <c r="AQ78" s="3445"/>
      <c r="AR78" s="3414"/>
      <c r="AS78" s="3414"/>
      <c r="AT78" s="3414"/>
      <c r="AU78" s="3414"/>
      <c r="AV78" s="3414"/>
      <c r="AW78" s="3414"/>
      <c r="AX78" s="3414"/>
      <c r="AY78" s="3414"/>
      <c r="AZ78" s="3442"/>
      <c r="BA78" s="3374"/>
      <c r="BB78" s="3374"/>
      <c r="BC78" s="3449"/>
      <c r="BD78" s="3427"/>
      <c r="BE78" s="3430"/>
      <c r="BF78" s="3433"/>
      <c r="BG78" s="3419"/>
      <c r="BH78" s="3421"/>
      <c r="BI78" s="3419"/>
      <c r="BJ78" s="3423"/>
    </row>
    <row r="79" spans="1:62" s="1200" customFormat="1" ht="17.25" customHeight="1" x14ac:dyDescent="0.3">
      <c r="A79" s="3262"/>
      <c r="B79" s="3263"/>
      <c r="C79" s="3264"/>
      <c r="D79" s="3262"/>
      <c r="E79" s="3263"/>
      <c r="F79" s="3264"/>
      <c r="G79" s="3395"/>
      <c r="H79" s="3396"/>
      <c r="I79" s="3397"/>
      <c r="J79" s="3351"/>
      <c r="K79" s="3284"/>
      <c r="L79" s="3345"/>
      <c r="M79" s="3436"/>
      <c r="N79" s="3436"/>
      <c r="O79" s="3296"/>
      <c r="P79" s="3302"/>
      <c r="Q79" s="3284"/>
      <c r="R79" s="3405"/>
      <c r="S79" s="3408"/>
      <c r="T79" s="3284"/>
      <c r="U79" s="3411"/>
      <c r="V79" s="3411"/>
      <c r="W79" s="3354"/>
      <c r="X79" s="3374"/>
      <c r="Y79" s="3374"/>
      <c r="Z79" s="3345"/>
      <c r="AA79" s="3416"/>
      <c r="AB79" s="3414"/>
      <c r="AC79" s="3414"/>
      <c r="AD79" s="3414"/>
      <c r="AE79" s="3414"/>
      <c r="AF79" s="3414"/>
      <c r="AG79" s="3414"/>
      <c r="AH79" s="3414"/>
      <c r="AI79" s="3414"/>
      <c r="AJ79" s="3414"/>
      <c r="AK79" s="3414"/>
      <c r="AL79" s="3414"/>
      <c r="AM79" s="3414"/>
      <c r="AN79" s="3414"/>
      <c r="AO79" s="3414"/>
      <c r="AP79" s="3445"/>
      <c r="AQ79" s="3445"/>
      <c r="AR79" s="3414"/>
      <c r="AS79" s="3414"/>
      <c r="AT79" s="3414"/>
      <c r="AU79" s="3414"/>
      <c r="AV79" s="3414"/>
      <c r="AW79" s="3414"/>
      <c r="AX79" s="3414"/>
      <c r="AY79" s="3414"/>
      <c r="AZ79" s="3442"/>
      <c r="BA79" s="3374"/>
      <c r="BB79" s="3374"/>
      <c r="BC79" s="3449"/>
      <c r="BD79" s="3427"/>
      <c r="BE79" s="3430"/>
      <c r="BF79" s="3433"/>
      <c r="BG79" s="3419"/>
      <c r="BH79" s="3421"/>
      <c r="BI79" s="3419"/>
      <c r="BJ79" s="3423"/>
    </row>
    <row r="80" spans="1:62" s="1200" customFormat="1" ht="17.25" customHeight="1" x14ac:dyDescent="0.3">
      <c r="A80" s="3262"/>
      <c r="B80" s="3263"/>
      <c r="C80" s="3264"/>
      <c r="D80" s="3262"/>
      <c r="E80" s="3263"/>
      <c r="F80" s="3264"/>
      <c r="G80" s="3398"/>
      <c r="H80" s="3399"/>
      <c r="I80" s="3400"/>
      <c r="J80" s="3352"/>
      <c r="K80" s="3285"/>
      <c r="L80" s="3346"/>
      <c r="M80" s="3437"/>
      <c r="N80" s="3437"/>
      <c r="O80" s="3297"/>
      <c r="P80" s="3303"/>
      <c r="Q80" s="3285"/>
      <c r="R80" s="3406"/>
      <c r="S80" s="3409"/>
      <c r="T80" s="3285"/>
      <c r="U80" s="3412"/>
      <c r="V80" s="3412"/>
      <c r="W80" s="3355"/>
      <c r="X80" s="3375"/>
      <c r="Y80" s="3375"/>
      <c r="Z80" s="3346"/>
      <c r="AA80" s="3417"/>
      <c r="AB80" s="3415"/>
      <c r="AC80" s="3415"/>
      <c r="AD80" s="3415"/>
      <c r="AE80" s="3415"/>
      <c r="AF80" s="3415"/>
      <c r="AG80" s="3415"/>
      <c r="AH80" s="3415"/>
      <c r="AI80" s="3415"/>
      <c r="AJ80" s="3415"/>
      <c r="AK80" s="3415"/>
      <c r="AL80" s="3415"/>
      <c r="AM80" s="3415"/>
      <c r="AN80" s="3415"/>
      <c r="AO80" s="3415"/>
      <c r="AP80" s="3446"/>
      <c r="AQ80" s="3446"/>
      <c r="AR80" s="3415"/>
      <c r="AS80" s="3415"/>
      <c r="AT80" s="3415"/>
      <c r="AU80" s="3415"/>
      <c r="AV80" s="3415"/>
      <c r="AW80" s="3415"/>
      <c r="AX80" s="3415"/>
      <c r="AY80" s="3415"/>
      <c r="AZ80" s="3443"/>
      <c r="BA80" s="3375"/>
      <c r="BB80" s="3375"/>
      <c r="BC80" s="3450"/>
      <c r="BD80" s="3428"/>
      <c r="BE80" s="3431"/>
      <c r="BF80" s="3434"/>
      <c r="BG80" s="3420"/>
      <c r="BH80" s="3421"/>
      <c r="BI80" s="3420"/>
      <c r="BJ80" s="3424"/>
    </row>
    <row r="81" spans="1:62" s="1200" customFormat="1" ht="17.25" customHeight="1" x14ac:dyDescent="0.3">
      <c r="A81" s="3262"/>
      <c r="B81" s="3263"/>
      <c r="C81" s="3264"/>
      <c r="D81" s="3262"/>
      <c r="E81" s="3263"/>
      <c r="F81" s="3264"/>
      <c r="G81" s="3274">
        <v>10</v>
      </c>
      <c r="H81" s="3276" t="s">
        <v>532</v>
      </c>
      <c r="I81" s="3277"/>
      <c r="J81" s="3277"/>
      <c r="K81" s="3277"/>
      <c r="L81" s="3277"/>
      <c r="M81" s="1205"/>
      <c r="N81" s="1205"/>
      <c r="O81" s="1205"/>
      <c r="P81" s="1205"/>
      <c r="Q81" s="1205"/>
      <c r="R81" s="1205"/>
      <c r="S81" s="1206"/>
      <c r="T81" s="1207"/>
      <c r="U81" s="1207"/>
      <c r="V81" s="1207"/>
      <c r="W81" s="1206"/>
      <c r="X81" s="1206"/>
      <c r="Y81" s="1206"/>
      <c r="Z81" s="1205"/>
      <c r="AA81" s="1207"/>
      <c r="AB81" s="1205"/>
      <c r="AC81" s="1205"/>
      <c r="AD81" s="1205"/>
      <c r="AE81" s="1205"/>
      <c r="AF81" s="1205"/>
      <c r="AG81" s="1205"/>
      <c r="AH81" s="1205"/>
      <c r="AI81" s="1205"/>
      <c r="AJ81" s="1205"/>
      <c r="AK81" s="1205"/>
      <c r="AL81" s="1205"/>
      <c r="AM81" s="1205"/>
      <c r="AN81" s="1205"/>
      <c r="AO81" s="1205"/>
      <c r="AP81" s="1205"/>
      <c r="AQ81" s="1205"/>
      <c r="AR81" s="1205"/>
      <c r="AS81" s="1205"/>
      <c r="AT81" s="1205"/>
      <c r="AU81" s="1205"/>
      <c r="AV81" s="1205"/>
      <c r="AW81" s="1205"/>
      <c r="AX81" s="1205"/>
      <c r="AY81" s="1205"/>
      <c r="AZ81" s="1205"/>
      <c r="BA81" s="1208"/>
      <c r="BB81" s="1208"/>
      <c r="BC81" s="1205"/>
      <c r="BD81" s="1207"/>
      <c r="BE81" s="1207"/>
      <c r="BF81" s="3388"/>
      <c r="BG81" s="3388"/>
      <c r="BH81" s="3388"/>
      <c r="BI81" s="3388"/>
      <c r="BJ81" s="3390"/>
    </row>
    <row r="82" spans="1:62" s="1200" customFormat="1" ht="17.25" customHeight="1" x14ac:dyDescent="0.3">
      <c r="A82" s="3262"/>
      <c r="B82" s="3263"/>
      <c r="C82" s="3264"/>
      <c r="D82" s="3262"/>
      <c r="E82" s="3263"/>
      <c r="F82" s="3264"/>
      <c r="G82" s="3275"/>
      <c r="H82" s="3278"/>
      <c r="I82" s="3279"/>
      <c r="J82" s="3279"/>
      <c r="K82" s="3279"/>
      <c r="L82" s="3279"/>
      <c r="M82" s="1209"/>
      <c r="N82" s="1209"/>
      <c r="O82" s="1209"/>
      <c r="P82" s="1209"/>
      <c r="Q82" s="1209"/>
      <c r="R82" s="1209"/>
      <c r="S82" s="1210"/>
      <c r="T82" s="1211"/>
      <c r="U82" s="1211"/>
      <c r="V82" s="1211"/>
      <c r="W82" s="1210"/>
      <c r="X82" s="1210"/>
      <c r="Y82" s="1210"/>
      <c r="Z82" s="1209"/>
      <c r="AA82" s="1211"/>
      <c r="AB82" s="1209"/>
      <c r="AC82" s="1209"/>
      <c r="AD82" s="1209"/>
      <c r="AE82" s="1209"/>
      <c r="AF82" s="1209"/>
      <c r="AG82" s="1209"/>
      <c r="AH82" s="1209"/>
      <c r="AI82" s="1209"/>
      <c r="AJ82" s="1209"/>
      <c r="AK82" s="1209"/>
      <c r="AL82" s="1209"/>
      <c r="AM82" s="1209"/>
      <c r="AN82" s="1209"/>
      <c r="AO82" s="1209"/>
      <c r="AP82" s="1209"/>
      <c r="AQ82" s="1209"/>
      <c r="AR82" s="1209"/>
      <c r="AS82" s="1209"/>
      <c r="AT82" s="1209"/>
      <c r="AU82" s="1209"/>
      <c r="AV82" s="1209"/>
      <c r="AW82" s="1209"/>
      <c r="AX82" s="1209"/>
      <c r="AY82" s="1209"/>
      <c r="AZ82" s="1209"/>
      <c r="BA82" s="1212"/>
      <c r="BB82" s="1212"/>
      <c r="BC82" s="1209"/>
      <c r="BD82" s="1211"/>
      <c r="BE82" s="1211"/>
      <c r="BF82" s="3389"/>
      <c r="BG82" s="3389"/>
      <c r="BH82" s="3389"/>
      <c r="BI82" s="3389"/>
      <c r="BJ82" s="3391"/>
    </row>
    <row r="83" spans="1:62" s="1200" customFormat="1" ht="17.25" customHeight="1" x14ac:dyDescent="0.3">
      <c r="A83" s="3262"/>
      <c r="B83" s="3263"/>
      <c r="C83" s="3264"/>
      <c r="D83" s="3262"/>
      <c r="E83" s="3263"/>
      <c r="F83" s="3264"/>
      <c r="G83" s="3392"/>
      <c r="H83" s="3393"/>
      <c r="I83" s="3394"/>
      <c r="J83" s="3350">
        <v>47</v>
      </c>
      <c r="K83" s="3283" t="s">
        <v>533</v>
      </c>
      <c r="L83" s="3344" t="s">
        <v>18</v>
      </c>
      <c r="M83" s="3350">
        <v>24</v>
      </c>
      <c r="N83" s="3350">
        <v>0</v>
      </c>
      <c r="O83" s="3295" t="s">
        <v>534</v>
      </c>
      <c r="P83" s="3301" t="s">
        <v>535</v>
      </c>
      <c r="Q83" s="3283" t="s">
        <v>536</v>
      </c>
      <c r="R83" s="3404">
        <f>+S83/423920000</f>
        <v>0.39699707491979619</v>
      </c>
      <c r="S83" s="3373">
        <v>168295000</v>
      </c>
      <c r="T83" s="3283" t="s">
        <v>537</v>
      </c>
      <c r="U83" s="3410" t="s">
        <v>538</v>
      </c>
      <c r="V83" s="3410" t="s">
        <v>539</v>
      </c>
      <c r="W83" s="3353">
        <f>78750000+5625000+83920000</f>
        <v>168295000</v>
      </c>
      <c r="X83" s="3373">
        <v>5015000</v>
      </c>
      <c r="Y83" s="3373"/>
      <c r="Z83" s="3295" t="s">
        <v>489</v>
      </c>
      <c r="AA83" s="3283" t="s">
        <v>490</v>
      </c>
      <c r="AB83" s="3444">
        <v>64149</v>
      </c>
      <c r="AC83" s="3444"/>
      <c r="AD83" s="3444">
        <v>72224</v>
      </c>
      <c r="AE83" s="3444"/>
      <c r="AF83" s="3444">
        <v>27477</v>
      </c>
      <c r="AG83" s="3444"/>
      <c r="AH83" s="3444">
        <v>86843</v>
      </c>
      <c r="AI83" s="3444"/>
      <c r="AJ83" s="3444">
        <v>236429</v>
      </c>
      <c r="AK83" s="3444"/>
      <c r="AL83" s="3444">
        <v>81384</v>
      </c>
      <c r="AM83" s="3444"/>
      <c r="AN83" s="3444"/>
      <c r="AO83" s="3444"/>
      <c r="AP83" s="3444"/>
      <c r="AQ83" s="3444"/>
      <c r="AR83" s="3444"/>
      <c r="AS83" s="3444"/>
      <c r="AT83" s="3444"/>
      <c r="AU83" s="3444"/>
      <c r="AV83" s="3444"/>
      <c r="AW83" s="3444"/>
      <c r="AX83" s="3444"/>
      <c r="AY83" s="3444"/>
      <c r="AZ83" s="3441">
        <v>1</v>
      </c>
      <c r="BA83" s="3373">
        <v>5015000</v>
      </c>
      <c r="BB83" s="3373"/>
      <c r="BC83" s="3458">
        <v>0</v>
      </c>
      <c r="BD83" s="3459" t="s">
        <v>490</v>
      </c>
      <c r="BE83" s="3462" t="s">
        <v>523</v>
      </c>
      <c r="BF83" s="3432">
        <v>42745</v>
      </c>
      <c r="BG83" s="3418">
        <v>42781</v>
      </c>
      <c r="BH83" s="3454">
        <v>43094</v>
      </c>
      <c r="BI83" s="3418">
        <v>42961</v>
      </c>
      <c r="BJ83" s="3422" t="s">
        <v>508</v>
      </c>
    </row>
    <row r="84" spans="1:62" s="1200" customFormat="1" ht="17.25" customHeight="1" x14ac:dyDescent="0.3">
      <c r="A84" s="3262"/>
      <c r="B84" s="3263"/>
      <c r="C84" s="3264"/>
      <c r="D84" s="3262"/>
      <c r="E84" s="3263"/>
      <c r="F84" s="3264"/>
      <c r="G84" s="3395"/>
      <c r="H84" s="3396"/>
      <c r="I84" s="3397"/>
      <c r="J84" s="3351"/>
      <c r="K84" s="3284"/>
      <c r="L84" s="3345"/>
      <c r="M84" s="3351"/>
      <c r="N84" s="3351"/>
      <c r="O84" s="3296"/>
      <c r="P84" s="3302"/>
      <c r="Q84" s="3284"/>
      <c r="R84" s="3405"/>
      <c r="S84" s="3374"/>
      <c r="T84" s="3284"/>
      <c r="U84" s="3411"/>
      <c r="V84" s="3411"/>
      <c r="W84" s="3354"/>
      <c r="X84" s="3374"/>
      <c r="Y84" s="3374"/>
      <c r="Z84" s="3296"/>
      <c r="AA84" s="3416"/>
      <c r="AB84" s="3445"/>
      <c r="AC84" s="3445"/>
      <c r="AD84" s="3445"/>
      <c r="AE84" s="3445"/>
      <c r="AF84" s="3445"/>
      <c r="AG84" s="3445"/>
      <c r="AH84" s="3445"/>
      <c r="AI84" s="3445"/>
      <c r="AJ84" s="3445"/>
      <c r="AK84" s="3445"/>
      <c r="AL84" s="3445"/>
      <c r="AM84" s="3445"/>
      <c r="AN84" s="3445"/>
      <c r="AO84" s="3445"/>
      <c r="AP84" s="3445"/>
      <c r="AQ84" s="3445"/>
      <c r="AR84" s="3445"/>
      <c r="AS84" s="3445"/>
      <c r="AT84" s="3445"/>
      <c r="AU84" s="3445"/>
      <c r="AV84" s="3445"/>
      <c r="AW84" s="3445"/>
      <c r="AX84" s="3445"/>
      <c r="AY84" s="3445"/>
      <c r="AZ84" s="3442"/>
      <c r="BA84" s="3374"/>
      <c r="BB84" s="3374"/>
      <c r="BC84" s="3458"/>
      <c r="BD84" s="3460"/>
      <c r="BE84" s="3463"/>
      <c r="BF84" s="3433"/>
      <c r="BG84" s="3419"/>
      <c r="BH84" s="3454"/>
      <c r="BI84" s="3419"/>
      <c r="BJ84" s="3423"/>
    </row>
    <row r="85" spans="1:62" s="1200" customFormat="1" ht="17.25" customHeight="1" x14ac:dyDescent="0.3">
      <c r="A85" s="3262"/>
      <c r="B85" s="3263"/>
      <c r="C85" s="3264"/>
      <c r="D85" s="3262"/>
      <c r="E85" s="3263"/>
      <c r="F85" s="3264"/>
      <c r="G85" s="3395"/>
      <c r="H85" s="3396"/>
      <c r="I85" s="3397"/>
      <c r="J85" s="3351"/>
      <c r="K85" s="3284"/>
      <c r="L85" s="3345"/>
      <c r="M85" s="3351"/>
      <c r="N85" s="3351"/>
      <c r="O85" s="3296"/>
      <c r="P85" s="3302"/>
      <c r="Q85" s="3284"/>
      <c r="R85" s="3405"/>
      <c r="S85" s="3374"/>
      <c r="T85" s="3284"/>
      <c r="U85" s="3411"/>
      <c r="V85" s="3411"/>
      <c r="W85" s="3354"/>
      <c r="X85" s="3374"/>
      <c r="Y85" s="3374"/>
      <c r="Z85" s="3296"/>
      <c r="AA85" s="3416"/>
      <c r="AB85" s="3445"/>
      <c r="AC85" s="3445"/>
      <c r="AD85" s="3445"/>
      <c r="AE85" s="3445"/>
      <c r="AF85" s="3445"/>
      <c r="AG85" s="3445"/>
      <c r="AH85" s="3445"/>
      <c r="AI85" s="3445"/>
      <c r="AJ85" s="3445"/>
      <c r="AK85" s="3445"/>
      <c r="AL85" s="3445"/>
      <c r="AM85" s="3445"/>
      <c r="AN85" s="3445"/>
      <c r="AO85" s="3445"/>
      <c r="AP85" s="3445"/>
      <c r="AQ85" s="3445"/>
      <c r="AR85" s="3445"/>
      <c r="AS85" s="3445"/>
      <c r="AT85" s="3445"/>
      <c r="AU85" s="3445"/>
      <c r="AV85" s="3445"/>
      <c r="AW85" s="3445"/>
      <c r="AX85" s="3445"/>
      <c r="AY85" s="3445"/>
      <c r="AZ85" s="3442"/>
      <c r="BA85" s="3374"/>
      <c r="BB85" s="3374"/>
      <c r="BC85" s="3458"/>
      <c r="BD85" s="3460"/>
      <c r="BE85" s="3463"/>
      <c r="BF85" s="3433"/>
      <c r="BG85" s="3419"/>
      <c r="BH85" s="3454"/>
      <c r="BI85" s="3419"/>
      <c r="BJ85" s="3423"/>
    </row>
    <row r="86" spans="1:62" s="1200" customFormat="1" ht="17.25" customHeight="1" x14ac:dyDescent="0.3">
      <c r="A86" s="3262"/>
      <c r="B86" s="3263"/>
      <c r="C86" s="3264"/>
      <c r="D86" s="3262"/>
      <c r="E86" s="3263"/>
      <c r="F86" s="3264"/>
      <c r="G86" s="3395"/>
      <c r="H86" s="3396"/>
      <c r="I86" s="3397"/>
      <c r="J86" s="3351"/>
      <c r="K86" s="3284"/>
      <c r="L86" s="3345"/>
      <c r="M86" s="3351"/>
      <c r="N86" s="3351"/>
      <c r="O86" s="3296"/>
      <c r="P86" s="3302"/>
      <c r="Q86" s="3284"/>
      <c r="R86" s="3405"/>
      <c r="S86" s="3374"/>
      <c r="T86" s="3284"/>
      <c r="U86" s="3411"/>
      <c r="V86" s="3411"/>
      <c r="W86" s="3354"/>
      <c r="X86" s="3374"/>
      <c r="Y86" s="3374"/>
      <c r="Z86" s="3296"/>
      <c r="AA86" s="3416"/>
      <c r="AB86" s="3445"/>
      <c r="AC86" s="3445"/>
      <c r="AD86" s="3445"/>
      <c r="AE86" s="3445"/>
      <c r="AF86" s="3445"/>
      <c r="AG86" s="3445"/>
      <c r="AH86" s="3445"/>
      <c r="AI86" s="3445"/>
      <c r="AJ86" s="3445"/>
      <c r="AK86" s="3445"/>
      <c r="AL86" s="3445"/>
      <c r="AM86" s="3445"/>
      <c r="AN86" s="3445"/>
      <c r="AO86" s="3445"/>
      <c r="AP86" s="3445"/>
      <c r="AQ86" s="3445"/>
      <c r="AR86" s="3445"/>
      <c r="AS86" s="3445"/>
      <c r="AT86" s="3445"/>
      <c r="AU86" s="3445"/>
      <c r="AV86" s="3445"/>
      <c r="AW86" s="3445"/>
      <c r="AX86" s="3445"/>
      <c r="AY86" s="3445"/>
      <c r="AZ86" s="3442"/>
      <c r="BA86" s="3374"/>
      <c r="BB86" s="3374"/>
      <c r="BC86" s="3458"/>
      <c r="BD86" s="3460"/>
      <c r="BE86" s="3463"/>
      <c r="BF86" s="3433"/>
      <c r="BG86" s="3419"/>
      <c r="BH86" s="3454"/>
      <c r="BI86" s="3419"/>
      <c r="BJ86" s="3423"/>
    </row>
    <row r="87" spans="1:62" s="1200" customFormat="1" ht="17.25" customHeight="1" x14ac:dyDescent="0.3">
      <c r="A87" s="3262"/>
      <c r="B87" s="3263"/>
      <c r="C87" s="3264"/>
      <c r="D87" s="3262"/>
      <c r="E87" s="3263"/>
      <c r="F87" s="3264"/>
      <c r="G87" s="3395"/>
      <c r="H87" s="3396"/>
      <c r="I87" s="3397"/>
      <c r="J87" s="3351"/>
      <c r="K87" s="3284"/>
      <c r="L87" s="3345"/>
      <c r="M87" s="3351"/>
      <c r="N87" s="3351"/>
      <c r="O87" s="3296"/>
      <c r="P87" s="3302"/>
      <c r="Q87" s="3284"/>
      <c r="R87" s="3405"/>
      <c r="S87" s="3374"/>
      <c r="T87" s="3284"/>
      <c r="U87" s="3411"/>
      <c r="V87" s="3411"/>
      <c r="W87" s="3354"/>
      <c r="X87" s="3374"/>
      <c r="Y87" s="3374"/>
      <c r="Z87" s="3296"/>
      <c r="AA87" s="3416"/>
      <c r="AB87" s="3445"/>
      <c r="AC87" s="3445"/>
      <c r="AD87" s="3445"/>
      <c r="AE87" s="3445"/>
      <c r="AF87" s="3445"/>
      <c r="AG87" s="3445"/>
      <c r="AH87" s="3445"/>
      <c r="AI87" s="3445"/>
      <c r="AJ87" s="3445"/>
      <c r="AK87" s="3445"/>
      <c r="AL87" s="3445"/>
      <c r="AM87" s="3445"/>
      <c r="AN87" s="3445"/>
      <c r="AO87" s="3445"/>
      <c r="AP87" s="3445"/>
      <c r="AQ87" s="3445"/>
      <c r="AR87" s="3445"/>
      <c r="AS87" s="3445"/>
      <c r="AT87" s="3445"/>
      <c r="AU87" s="3445"/>
      <c r="AV87" s="3445"/>
      <c r="AW87" s="3445"/>
      <c r="AX87" s="3445"/>
      <c r="AY87" s="3445"/>
      <c r="AZ87" s="3442"/>
      <c r="BA87" s="3374"/>
      <c r="BB87" s="3374"/>
      <c r="BC87" s="3458"/>
      <c r="BD87" s="3460"/>
      <c r="BE87" s="3463"/>
      <c r="BF87" s="3433"/>
      <c r="BG87" s="3419"/>
      <c r="BH87" s="3454"/>
      <c r="BI87" s="3419"/>
      <c r="BJ87" s="3423"/>
    </row>
    <row r="88" spans="1:62" s="1200" customFormat="1" ht="17.25" customHeight="1" x14ac:dyDescent="0.3">
      <c r="A88" s="3262"/>
      <c r="B88" s="3263"/>
      <c r="C88" s="3264"/>
      <c r="D88" s="3262"/>
      <c r="E88" s="3263"/>
      <c r="F88" s="3264"/>
      <c r="G88" s="3395"/>
      <c r="H88" s="3396"/>
      <c r="I88" s="3397"/>
      <c r="J88" s="3352"/>
      <c r="K88" s="3285"/>
      <c r="L88" s="3345"/>
      <c r="M88" s="3352"/>
      <c r="N88" s="3352"/>
      <c r="O88" s="3296"/>
      <c r="P88" s="3302"/>
      <c r="Q88" s="3284"/>
      <c r="R88" s="3406"/>
      <c r="S88" s="3375"/>
      <c r="T88" s="3284"/>
      <c r="U88" s="3412"/>
      <c r="V88" s="3412"/>
      <c r="W88" s="3355"/>
      <c r="X88" s="3375"/>
      <c r="Y88" s="3375"/>
      <c r="Z88" s="3296"/>
      <c r="AA88" s="3416"/>
      <c r="AB88" s="3445"/>
      <c r="AC88" s="3445"/>
      <c r="AD88" s="3445"/>
      <c r="AE88" s="3445"/>
      <c r="AF88" s="3445"/>
      <c r="AG88" s="3445"/>
      <c r="AH88" s="3445"/>
      <c r="AI88" s="3445"/>
      <c r="AJ88" s="3445"/>
      <c r="AK88" s="3445"/>
      <c r="AL88" s="3445"/>
      <c r="AM88" s="3445"/>
      <c r="AN88" s="3445"/>
      <c r="AO88" s="3445"/>
      <c r="AP88" s="3445"/>
      <c r="AQ88" s="3445"/>
      <c r="AR88" s="3445"/>
      <c r="AS88" s="3445"/>
      <c r="AT88" s="3445"/>
      <c r="AU88" s="3445"/>
      <c r="AV88" s="3445"/>
      <c r="AW88" s="3445"/>
      <c r="AX88" s="3445"/>
      <c r="AY88" s="3445"/>
      <c r="AZ88" s="3443"/>
      <c r="BA88" s="3375"/>
      <c r="BB88" s="3375"/>
      <c r="BC88" s="3458"/>
      <c r="BD88" s="3460"/>
      <c r="BE88" s="3463"/>
      <c r="BF88" s="3434"/>
      <c r="BG88" s="3420"/>
      <c r="BH88" s="3454"/>
      <c r="BI88" s="3420"/>
      <c r="BJ88" s="3423"/>
    </row>
    <row r="89" spans="1:62" s="1200" customFormat="1" ht="17.25" customHeight="1" x14ac:dyDescent="0.3">
      <c r="A89" s="3262"/>
      <c r="B89" s="3263"/>
      <c r="C89" s="3264"/>
      <c r="D89" s="3262"/>
      <c r="E89" s="3263"/>
      <c r="F89" s="3264"/>
      <c r="G89" s="3395"/>
      <c r="H89" s="3396"/>
      <c r="I89" s="3397"/>
      <c r="J89" s="3350">
        <v>48</v>
      </c>
      <c r="K89" s="3283" t="s">
        <v>540</v>
      </c>
      <c r="L89" s="3345"/>
      <c r="M89" s="3350">
        <v>1</v>
      </c>
      <c r="N89" s="3455">
        <v>0.2</v>
      </c>
      <c r="O89" s="3296"/>
      <c r="P89" s="3302"/>
      <c r="Q89" s="3284"/>
      <c r="R89" s="3404">
        <f>+S89/423920000</f>
        <v>0.47178712964710323</v>
      </c>
      <c r="S89" s="3356">
        <v>200000000</v>
      </c>
      <c r="T89" s="3284"/>
      <c r="U89" s="3410" t="s">
        <v>541</v>
      </c>
      <c r="V89" s="3451" t="s">
        <v>542</v>
      </c>
      <c r="W89" s="3353">
        <f>205625000-5625000</f>
        <v>200000000</v>
      </c>
      <c r="X89" s="3373"/>
      <c r="Y89" s="3373"/>
      <c r="Z89" s="3296"/>
      <c r="AA89" s="3416"/>
      <c r="AB89" s="3445"/>
      <c r="AC89" s="3445"/>
      <c r="AD89" s="3445"/>
      <c r="AE89" s="3445"/>
      <c r="AF89" s="3445"/>
      <c r="AG89" s="3445"/>
      <c r="AH89" s="3445"/>
      <c r="AI89" s="3445"/>
      <c r="AJ89" s="3445"/>
      <c r="AK89" s="3445"/>
      <c r="AL89" s="3445"/>
      <c r="AM89" s="3445"/>
      <c r="AN89" s="3445"/>
      <c r="AO89" s="3445"/>
      <c r="AP89" s="3445"/>
      <c r="AQ89" s="3445"/>
      <c r="AR89" s="3445"/>
      <c r="AS89" s="3445"/>
      <c r="AT89" s="3445"/>
      <c r="AU89" s="3445"/>
      <c r="AV89" s="3445"/>
      <c r="AW89" s="3445"/>
      <c r="AX89" s="3445"/>
      <c r="AY89" s="3445"/>
      <c r="AZ89" s="1213"/>
      <c r="BA89" s="3373"/>
      <c r="BB89" s="3373"/>
      <c r="BC89" s="3458"/>
      <c r="BD89" s="3460"/>
      <c r="BE89" s="3463"/>
      <c r="BF89" s="3432">
        <v>42745</v>
      </c>
      <c r="BG89" s="3418"/>
      <c r="BH89" s="3454"/>
      <c r="BI89" s="3418"/>
      <c r="BJ89" s="3423"/>
    </row>
    <row r="90" spans="1:62" s="1200" customFormat="1" ht="17.25" customHeight="1" x14ac:dyDescent="0.3">
      <c r="A90" s="3262"/>
      <c r="B90" s="3263"/>
      <c r="C90" s="3264"/>
      <c r="D90" s="3262"/>
      <c r="E90" s="3263"/>
      <c r="F90" s="3264"/>
      <c r="G90" s="3395"/>
      <c r="H90" s="3396"/>
      <c r="I90" s="3397"/>
      <c r="J90" s="3351"/>
      <c r="K90" s="3284"/>
      <c r="L90" s="3345"/>
      <c r="M90" s="3351"/>
      <c r="N90" s="3456"/>
      <c r="O90" s="3296"/>
      <c r="P90" s="3302"/>
      <c r="Q90" s="3284"/>
      <c r="R90" s="3405"/>
      <c r="S90" s="3356"/>
      <c r="T90" s="3284"/>
      <c r="U90" s="3411"/>
      <c r="V90" s="3452"/>
      <c r="W90" s="3354"/>
      <c r="X90" s="3374"/>
      <c r="Y90" s="3374"/>
      <c r="Z90" s="3296"/>
      <c r="AA90" s="3416"/>
      <c r="AB90" s="3445"/>
      <c r="AC90" s="3445"/>
      <c r="AD90" s="3445"/>
      <c r="AE90" s="3445"/>
      <c r="AF90" s="3445"/>
      <c r="AG90" s="3445"/>
      <c r="AH90" s="3445"/>
      <c r="AI90" s="3445"/>
      <c r="AJ90" s="3445"/>
      <c r="AK90" s="3445"/>
      <c r="AL90" s="3445"/>
      <c r="AM90" s="3445"/>
      <c r="AN90" s="3445"/>
      <c r="AO90" s="3445"/>
      <c r="AP90" s="3445"/>
      <c r="AQ90" s="3445"/>
      <c r="AR90" s="3445"/>
      <c r="AS90" s="3445"/>
      <c r="AT90" s="3445"/>
      <c r="AU90" s="3445"/>
      <c r="AV90" s="3445"/>
      <c r="AW90" s="3445"/>
      <c r="AX90" s="3445"/>
      <c r="AY90" s="3445"/>
      <c r="AZ90" s="1214"/>
      <c r="BA90" s="3374"/>
      <c r="BB90" s="3374"/>
      <c r="BC90" s="3458"/>
      <c r="BD90" s="3460"/>
      <c r="BE90" s="3463"/>
      <c r="BF90" s="3433"/>
      <c r="BG90" s="3419"/>
      <c r="BH90" s="3454"/>
      <c r="BI90" s="3419"/>
      <c r="BJ90" s="3423"/>
    </row>
    <row r="91" spans="1:62" s="1200" customFormat="1" ht="17.25" customHeight="1" x14ac:dyDescent="0.3">
      <c r="A91" s="3262"/>
      <c r="B91" s="3263"/>
      <c r="C91" s="3264"/>
      <c r="D91" s="3262"/>
      <c r="E91" s="3263"/>
      <c r="F91" s="3264"/>
      <c r="G91" s="3395"/>
      <c r="H91" s="3396"/>
      <c r="I91" s="3397"/>
      <c r="J91" s="3351"/>
      <c r="K91" s="3284"/>
      <c r="L91" s="3345"/>
      <c r="M91" s="3351"/>
      <c r="N91" s="3456"/>
      <c r="O91" s="3296"/>
      <c r="P91" s="3302"/>
      <c r="Q91" s="3284"/>
      <c r="R91" s="3405"/>
      <c r="S91" s="3356"/>
      <c r="T91" s="3284"/>
      <c r="U91" s="3411"/>
      <c r="V91" s="3452"/>
      <c r="W91" s="3354"/>
      <c r="X91" s="3374"/>
      <c r="Y91" s="3374"/>
      <c r="Z91" s="3296"/>
      <c r="AA91" s="3416"/>
      <c r="AB91" s="3445"/>
      <c r="AC91" s="3445"/>
      <c r="AD91" s="3445"/>
      <c r="AE91" s="3445"/>
      <c r="AF91" s="3445"/>
      <c r="AG91" s="3445"/>
      <c r="AH91" s="3445"/>
      <c r="AI91" s="3445"/>
      <c r="AJ91" s="3445"/>
      <c r="AK91" s="3445"/>
      <c r="AL91" s="3445"/>
      <c r="AM91" s="3445"/>
      <c r="AN91" s="3445"/>
      <c r="AO91" s="3445"/>
      <c r="AP91" s="3445"/>
      <c r="AQ91" s="3445"/>
      <c r="AR91" s="3445"/>
      <c r="AS91" s="3445"/>
      <c r="AT91" s="3445"/>
      <c r="AU91" s="3445"/>
      <c r="AV91" s="3445"/>
      <c r="AW91" s="3445"/>
      <c r="AX91" s="3445"/>
      <c r="AY91" s="3445"/>
      <c r="AZ91" s="1214"/>
      <c r="BA91" s="3374"/>
      <c r="BB91" s="3374"/>
      <c r="BC91" s="3458"/>
      <c r="BD91" s="3460"/>
      <c r="BE91" s="3463"/>
      <c r="BF91" s="3433"/>
      <c r="BG91" s="3419"/>
      <c r="BH91" s="3454"/>
      <c r="BI91" s="3419"/>
      <c r="BJ91" s="3423"/>
    </row>
    <row r="92" spans="1:62" s="1200" customFormat="1" ht="17.25" customHeight="1" x14ac:dyDescent="0.3">
      <c r="A92" s="3262"/>
      <c r="B92" s="3263"/>
      <c r="C92" s="3264"/>
      <c r="D92" s="3262"/>
      <c r="E92" s="3263"/>
      <c r="F92" s="3264"/>
      <c r="G92" s="3395"/>
      <c r="H92" s="3396"/>
      <c r="I92" s="3397"/>
      <c r="J92" s="3352"/>
      <c r="K92" s="3285"/>
      <c r="L92" s="3345"/>
      <c r="M92" s="3352"/>
      <c r="N92" s="3457"/>
      <c r="O92" s="3296"/>
      <c r="P92" s="3302"/>
      <c r="Q92" s="3284"/>
      <c r="R92" s="3406"/>
      <c r="S92" s="3356"/>
      <c r="T92" s="3284"/>
      <c r="U92" s="3411"/>
      <c r="V92" s="3453"/>
      <c r="W92" s="3355"/>
      <c r="X92" s="3375"/>
      <c r="Y92" s="3375"/>
      <c r="Z92" s="3296"/>
      <c r="AA92" s="3416"/>
      <c r="AB92" s="3445"/>
      <c r="AC92" s="3445"/>
      <c r="AD92" s="3445"/>
      <c r="AE92" s="3445"/>
      <c r="AF92" s="3445"/>
      <c r="AG92" s="3445"/>
      <c r="AH92" s="3445"/>
      <c r="AI92" s="3445"/>
      <c r="AJ92" s="3445"/>
      <c r="AK92" s="3445"/>
      <c r="AL92" s="3445"/>
      <c r="AM92" s="3445"/>
      <c r="AN92" s="3445"/>
      <c r="AO92" s="3445"/>
      <c r="AP92" s="3445"/>
      <c r="AQ92" s="3445"/>
      <c r="AR92" s="3445"/>
      <c r="AS92" s="3445"/>
      <c r="AT92" s="3445"/>
      <c r="AU92" s="3445"/>
      <c r="AV92" s="3445"/>
      <c r="AW92" s="3445"/>
      <c r="AX92" s="3445"/>
      <c r="AY92" s="3445"/>
      <c r="AZ92" s="1215"/>
      <c r="BA92" s="3375"/>
      <c r="BB92" s="3375"/>
      <c r="BC92" s="3458"/>
      <c r="BD92" s="3460"/>
      <c r="BE92" s="3463"/>
      <c r="BF92" s="3434"/>
      <c r="BG92" s="3420"/>
      <c r="BH92" s="3454"/>
      <c r="BI92" s="3420"/>
      <c r="BJ92" s="3423"/>
    </row>
    <row r="93" spans="1:62" s="1200" customFormat="1" ht="17.25" customHeight="1" x14ac:dyDescent="0.3">
      <c r="A93" s="3262"/>
      <c r="B93" s="3263"/>
      <c r="C93" s="3264"/>
      <c r="D93" s="3262"/>
      <c r="E93" s="3263"/>
      <c r="F93" s="3264"/>
      <c r="G93" s="3395"/>
      <c r="H93" s="3396"/>
      <c r="I93" s="3397"/>
      <c r="J93" s="3350">
        <v>49</v>
      </c>
      <c r="K93" s="3283" t="s">
        <v>543</v>
      </c>
      <c r="L93" s="3345"/>
      <c r="M93" s="3350">
        <v>1</v>
      </c>
      <c r="N93" s="3350">
        <v>0</v>
      </c>
      <c r="O93" s="3296"/>
      <c r="P93" s="3302"/>
      <c r="Q93" s="3284"/>
      <c r="R93" s="3404">
        <f>+S93/423920000</f>
        <v>0.13121579543310058</v>
      </c>
      <c r="S93" s="3373">
        <v>55625000</v>
      </c>
      <c r="T93" s="3284"/>
      <c r="U93" s="3411"/>
      <c r="V93" s="3410" t="s">
        <v>544</v>
      </c>
      <c r="W93" s="3353">
        <f>25625000+30000000</f>
        <v>55625000</v>
      </c>
      <c r="X93" s="3373">
        <v>875000</v>
      </c>
      <c r="Y93" s="3373"/>
      <c r="Z93" s="3296"/>
      <c r="AA93" s="3416"/>
      <c r="AB93" s="3445"/>
      <c r="AC93" s="3445"/>
      <c r="AD93" s="3445"/>
      <c r="AE93" s="3445"/>
      <c r="AF93" s="3445"/>
      <c r="AG93" s="3445"/>
      <c r="AH93" s="3445"/>
      <c r="AI93" s="3445"/>
      <c r="AJ93" s="3445"/>
      <c r="AK93" s="3445"/>
      <c r="AL93" s="3445"/>
      <c r="AM93" s="3445"/>
      <c r="AN93" s="3445"/>
      <c r="AO93" s="3445"/>
      <c r="AP93" s="3445"/>
      <c r="AQ93" s="3445"/>
      <c r="AR93" s="3445"/>
      <c r="AS93" s="3445"/>
      <c r="AT93" s="3445"/>
      <c r="AU93" s="3445"/>
      <c r="AV93" s="3445"/>
      <c r="AW93" s="3445"/>
      <c r="AX93" s="3445"/>
      <c r="AY93" s="3445"/>
      <c r="AZ93" s="1213"/>
      <c r="BA93" s="3373">
        <v>875000</v>
      </c>
      <c r="BB93" s="3373"/>
      <c r="BC93" s="3467">
        <v>0</v>
      </c>
      <c r="BD93" s="3460"/>
      <c r="BE93" s="3463"/>
      <c r="BF93" s="3325">
        <v>42745</v>
      </c>
      <c r="BG93" s="3418"/>
      <c r="BH93" s="3454"/>
      <c r="BI93" s="3418"/>
      <c r="BJ93" s="3423"/>
    </row>
    <row r="94" spans="1:62" s="1200" customFormat="1" ht="17.25" customHeight="1" x14ac:dyDescent="0.3">
      <c r="A94" s="3262"/>
      <c r="B94" s="3263"/>
      <c r="C94" s="3264"/>
      <c r="D94" s="3262"/>
      <c r="E94" s="3263"/>
      <c r="F94" s="3264"/>
      <c r="G94" s="3395"/>
      <c r="H94" s="3396"/>
      <c r="I94" s="3397"/>
      <c r="J94" s="3351"/>
      <c r="K94" s="3284"/>
      <c r="L94" s="3345"/>
      <c r="M94" s="3351"/>
      <c r="N94" s="3351"/>
      <c r="O94" s="3296"/>
      <c r="P94" s="3302"/>
      <c r="Q94" s="3284"/>
      <c r="R94" s="3405"/>
      <c r="S94" s="3374"/>
      <c r="T94" s="3284"/>
      <c r="U94" s="3411"/>
      <c r="V94" s="3411"/>
      <c r="W94" s="3354"/>
      <c r="X94" s="3374"/>
      <c r="Y94" s="3374"/>
      <c r="Z94" s="3296"/>
      <c r="AA94" s="3416"/>
      <c r="AB94" s="3445"/>
      <c r="AC94" s="3445"/>
      <c r="AD94" s="3445"/>
      <c r="AE94" s="3445"/>
      <c r="AF94" s="3445"/>
      <c r="AG94" s="3445"/>
      <c r="AH94" s="3445"/>
      <c r="AI94" s="3445"/>
      <c r="AJ94" s="3445"/>
      <c r="AK94" s="3445"/>
      <c r="AL94" s="3445"/>
      <c r="AM94" s="3445"/>
      <c r="AN94" s="3445"/>
      <c r="AO94" s="3445"/>
      <c r="AP94" s="3445"/>
      <c r="AQ94" s="3445"/>
      <c r="AR94" s="3445"/>
      <c r="AS94" s="3445"/>
      <c r="AT94" s="3445"/>
      <c r="AU94" s="3445"/>
      <c r="AV94" s="3445"/>
      <c r="AW94" s="3445"/>
      <c r="AX94" s="3445"/>
      <c r="AY94" s="3445"/>
      <c r="AZ94" s="1214"/>
      <c r="BA94" s="3374"/>
      <c r="BB94" s="3374"/>
      <c r="BC94" s="3468"/>
      <c r="BD94" s="3460"/>
      <c r="BE94" s="3463"/>
      <c r="BF94" s="3325"/>
      <c r="BG94" s="3419"/>
      <c r="BH94" s="3454"/>
      <c r="BI94" s="3419"/>
      <c r="BJ94" s="3423"/>
    </row>
    <row r="95" spans="1:62" s="1200" customFormat="1" ht="17.25" customHeight="1" x14ac:dyDescent="0.3">
      <c r="A95" s="3262"/>
      <c r="B95" s="3263"/>
      <c r="C95" s="3264"/>
      <c r="D95" s="3262"/>
      <c r="E95" s="3263"/>
      <c r="F95" s="3264"/>
      <c r="G95" s="3395"/>
      <c r="H95" s="3396"/>
      <c r="I95" s="3397"/>
      <c r="J95" s="3351"/>
      <c r="K95" s="3284"/>
      <c r="L95" s="3345"/>
      <c r="M95" s="3351"/>
      <c r="N95" s="3351"/>
      <c r="O95" s="3296"/>
      <c r="P95" s="3302"/>
      <c r="Q95" s="3284"/>
      <c r="R95" s="3405"/>
      <c r="S95" s="3374"/>
      <c r="T95" s="3284"/>
      <c r="U95" s="3411"/>
      <c r="V95" s="3411"/>
      <c r="W95" s="3354"/>
      <c r="X95" s="3374"/>
      <c r="Y95" s="3374"/>
      <c r="Z95" s="3296"/>
      <c r="AA95" s="3416"/>
      <c r="AB95" s="3445"/>
      <c r="AC95" s="3445"/>
      <c r="AD95" s="3445"/>
      <c r="AE95" s="3445"/>
      <c r="AF95" s="3445"/>
      <c r="AG95" s="3445"/>
      <c r="AH95" s="3445"/>
      <c r="AI95" s="3445"/>
      <c r="AJ95" s="3445"/>
      <c r="AK95" s="3445"/>
      <c r="AL95" s="3445"/>
      <c r="AM95" s="3445"/>
      <c r="AN95" s="3445"/>
      <c r="AO95" s="3445"/>
      <c r="AP95" s="3445"/>
      <c r="AQ95" s="3445"/>
      <c r="AR95" s="3445"/>
      <c r="AS95" s="3445"/>
      <c r="AT95" s="3445"/>
      <c r="AU95" s="3445"/>
      <c r="AV95" s="3445"/>
      <c r="AW95" s="3445"/>
      <c r="AX95" s="3445"/>
      <c r="AY95" s="3445"/>
      <c r="AZ95" s="1214"/>
      <c r="BA95" s="3374"/>
      <c r="BB95" s="3374"/>
      <c r="BC95" s="3468"/>
      <c r="BD95" s="3460"/>
      <c r="BE95" s="3463"/>
      <c r="BF95" s="3325"/>
      <c r="BG95" s="3419"/>
      <c r="BH95" s="3454"/>
      <c r="BI95" s="3419"/>
      <c r="BJ95" s="3423"/>
    </row>
    <row r="96" spans="1:62" s="1200" customFormat="1" ht="17.25" customHeight="1" x14ac:dyDescent="0.3">
      <c r="A96" s="3262"/>
      <c r="B96" s="3263"/>
      <c r="C96" s="3264"/>
      <c r="D96" s="3262"/>
      <c r="E96" s="3263"/>
      <c r="F96" s="3264"/>
      <c r="G96" s="3395"/>
      <c r="H96" s="3396"/>
      <c r="I96" s="3397"/>
      <c r="J96" s="3351"/>
      <c r="K96" s="3284"/>
      <c r="L96" s="3345"/>
      <c r="M96" s="3351"/>
      <c r="N96" s="3351"/>
      <c r="O96" s="3296"/>
      <c r="P96" s="3302"/>
      <c r="Q96" s="3284"/>
      <c r="R96" s="3405"/>
      <c r="S96" s="3374"/>
      <c r="T96" s="3284"/>
      <c r="U96" s="3411"/>
      <c r="V96" s="3411"/>
      <c r="W96" s="3354"/>
      <c r="X96" s="3374"/>
      <c r="Y96" s="3374"/>
      <c r="Z96" s="3296"/>
      <c r="AA96" s="3416"/>
      <c r="AB96" s="3445"/>
      <c r="AC96" s="3445"/>
      <c r="AD96" s="3445"/>
      <c r="AE96" s="3445"/>
      <c r="AF96" s="3445"/>
      <c r="AG96" s="3445"/>
      <c r="AH96" s="3445"/>
      <c r="AI96" s="3445"/>
      <c r="AJ96" s="3445"/>
      <c r="AK96" s="3445"/>
      <c r="AL96" s="3445"/>
      <c r="AM96" s="3445"/>
      <c r="AN96" s="3445"/>
      <c r="AO96" s="3445"/>
      <c r="AP96" s="3445"/>
      <c r="AQ96" s="3445"/>
      <c r="AR96" s="3445"/>
      <c r="AS96" s="3445"/>
      <c r="AT96" s="3445"/>
      <c r="AU96" s="3445"/>
      <c r="AV96" s="3445"/>
      <c r="AW96" s="3445"/>
      <c r="AX96" s="3445"/>
      <c r="AY96" s="3445"/>
      <c r="AZ96" s="1214"/>
      <c r="BA96" s="3374"/>
      <c r="BB96" s="3374"/>
      <c r="BC96" s="3468"/>
      <c r="BD96" s="3460"/>
      <c r="BE96" s="3463"/>
      <c r="BF96" s="3325"/>
      <c r="BG96" s="3419"/>
      <c r="BH96" s="3454"/>
      <c r="BI96" s="3419"/>
      <c r="BJ96" s="3423"/>
    </row>
    <row r="97" spans="1:880" s="1200" customFormat="1" ht="17.25" customHeight="1" x14ac:dyDescent="0.3">
      <c r="A97" s="3262"/>
      <c r="B97" s="3263"/>
      <c r="C97" s="3264"/>
      <c r="D97" s="3265"/>
      <c r="E97" s="3266"/>
      <c r="F97" s="3267"/>
      <c r="G97" s="3398"/>
      <c r="H97" s="3399"/>
      <c r="I97" s="3400"/>
      <c r="J97" s="3352"/>
      <c r="K97" s="3285"/>
      <c r="L97" s="3346"/>
      <c r="M97" s="3352"/>
      <c r="N97" s="3352"/>
      <c r="O97" s="3297"/>
      <c r="P97" s="3303"/>
      <c r="Q97" s="3285"/>
      <c r="R97" s="3406"/>
      <c r="S97" s="3375"/>
      <c r="T97" s="3285"/>
      <c r="U97" s="3412"/>
      <c r="V97" s="3412"/>
      <c r="W97" s="3355"/>
      <c r="X97" s="3375"/>
      <c r="Y97" s="3375"/>
      <c r="Z97" s="3297"/>
      <c r="AA97" s="3417"/>
      <c r="AB97" s="3446"/>
      <c r="AC97" s="3446"/>
      <c r="AD97" s="3446"/>
      <c r="AE97" s="3446"/>
      <c r="AF97" s="3446"/>
      <c r="AG97" s="3446"/>
      <c r="AH97" s="3446"/>
      <c r="AI97" s="3446"/>
      <c r="AJ97" s="3446"/>
      <c r="AK97" s="3446"/>
      <c r="AL97" s="3446"/>
      <c r="AM97" s="3446"/>
      <c r="AN97" s="3446"/>
      <c r="AO97" s="3446"/>
      <c r="AP97" s="3446"/>
      <c r="AQ97" s="3446"/>
      <c r="AR97" s="3446"/>
      <c r="AS97" s="3446"/>
      <c r="AT97" s="3446"/>
      <c r="AU97" s="3446"/>
      <c r="AV97" s="3446"/>
      <c r="AW97" s="3446"/>
      <c r="AX97" s="3446"/>
      <c r="AY97" s="3446"/>
      <c r="AZ97" s="1215"/>
      <c r="BA97" s="3375"/>
      <c r="BB97" s="3375"/>
      <c r="BC97" s="3469"/>
      <c r="BD97" s="3461"/>
      <c r="BE97" s="3464"/>
      <c r="BF97" s="3325"/>
      <c r="BG97" s="3420"/>
      <c r="BH97" s="3454"/>
      <c r="BI97" s="3420"/>
      <c r="BJ97" s="3423"/>
    </row>
    <row r="98" spans="1:880" s="1200" customFormat="1" ht="17.25" customHeight="1" x14ac:dyDescent="0.3">
      <c r="A98" s="3262"/>
      <c r="B98" s="3263"/>
      <c r="C98" s="3264"/>
      <c r="D98" s="3268">
        <v>3</v>
      </c>
      <c r="E98" s="3270" t="s">
        <v>545</v>
      </c>
      <c r="F98" s="3271"/>
      <c r="G98" s="3271"/>
      <c r="H98" s="3271"/>
      <c r="I98" s="3271"/>
      <c r="J98" s="3271"/>
      <c r="K98" s="3271"/>
      <c r="L98" s="1216"/>
      <c r="M98" s="1216"/>
      <c r="N98" s="1216"/>
      <c r="O98" s="1216"/>
      <c r="P98" s="1216"/>
      <c r="Q98" s="1216"/>
      <c r="R98" s="1216"/>
      <c r="S98" s="1217"/>
      <c r="T98" s="1218"/>
      <c r="U98" s="1218"/>
      <c r="V98" s="1218"/>
      <c r="W98" s="1217"/>
      <c r="X98" s="1217"/>
      <c r="Y98" s="1217"/>
      <c r="Z98" s="1216"/>
      <c r="AA98" s="1218"/>
      <c r="AB98" s="1216"/>
      <c r="AC98" s="1216"/>
      <c r="AD98" s="1216"/>
      <c r="AE98" s="1216"/>
      <c r="AF98" s="1216"/>
      <c r="AG98" s="1216"/>
      <c r="AH98" s="1216"/>
      <c r="AI98" s="1216"/>
      <c r="AJ98" s="1216"/>
      <c r="AK98" s="1216"/>
      <c r="AL98" s="1216"/>
      <c r="AM98" s="1216"/>
      <c r="AN98" s="1216"/>
      <c r="AO98" s="1216"/>
      <c r="AP98" s="1216"/>
      <c r="AQ98" s="1216"/>
      <c r="AR98" s="1216"/>
      <c r="AS98" s="1216"/>
      <c r="AT98" s="1216"/>
      <c r="AU98" s="1216"/>
      <c r="AV98" s="1216"/>
      <c r="AW98" s="1216"/>
      <c r="AX98" s="1216"/>
      <c r="AY98" s="1216"/>
      <c r="AZ98" s="1216"/>
      <c r="BA98" s="1219"/>
      <c r="BB98" s="1219"/>
      <c r="BC98" s="1216"/>
      <c r="BD98" s="1218"/>
      <c r="BE98" s="1218"/>
      <c r="BF98" s="3465"/>
      <c r="BG98" s="3465"/>
      <c r="BH98" s="3465"/>
      <c r="BI98" s="3465"/>
      <c r="BJ98" s="3488"/>
    </row>
    <row r="99" spans="1:880" s="1200" customFormat="1" ht="17.25" customHeight="1" x14ac:dyDescent="0.3">
      <c r="A99" s="3262"/>
      <c r="B99" s="3263"/>
      <c r="C99" s="3264"/>
      <c r="D99" s="3269"/>
      <c r="E99" s="3272"/>
      <c r="F99" s="3273"/>
      <c r="G99" s="3273"/>
      <c r="H99" s="3273"/>
      <c r="I99" s="3273"/>
      <c r="J99" s="3273"/>
      <c r="K99" s="3273"/>
      <c r="L99" s="1220"/>
      <c r="M99" s="1220"/>
      <c r="N99" s="1220"/>
      <c r="O99" s="1220"/>
      <c r="P99" s="1220"/>
      <c r="Q99" s="1220"/>
      <c r="R99" s="1220"/>
      <c r="S99" s="1221"/>
      <c r="T99" s="1222"/>
      <c r="U99" s="1222"/>
      <c r="V99" s="1222"/>
      <c r="W99" s="1221"/>
      <c r="X99" s="1221"/>
      <c r="Y99" s="1221"/>
      <c r="Z99" s="1220"/>
      <c r="AA99" s="1222"/>
      <c r="AB99" s="1220"/>
      <c r="AC99" s="1220"/>
      <c r="AD99" s="1220"/>
      <c r="AE99" s="1220"/>
      <c r="AF99" s="1220"/>
      <c r="AG99" s="1220"/>
      <c r="AH99" s="1220"/>
      <c r="AI99" s="1220"/>
      <c r="AJ99" s="1220"/>
      <c r="AK99" s="1220"/>
      <c r="AL99" s="1220"/>
      <c r="AM99" s="1220"/>
      <c r="AN99" s="1220"/>
      <c r="AO99" s="1220"/>
      <c r="AP99" s="1220"/>
      <c r="AQ99" s="1220"/>
      <c r="AR99" s="1220"/>
      <c r="AS99" s="1220"/>
      <c r="AT99" s="1220"/>
      <c r="AU99" s="1220"/>
      <c r="AV99" s="1220"/>
      <c r="AW99" s="1220"/>
      <c r="AX99" s="1220"/>
      <c r="AY99" s="1220"/>
      <c r="AZ99" s="1220"/>
      <c r="BA99" s="1223"/>
      <c r="BB99" s="1223"/>
      <c r="BC99" s="1220"/>
      <c r="BD99" s="1222"/>
      <c r="BE99" s="1222"/>
      <c r="BF99" s="3466"/>
      <c r="BG99" s="3466"/>
      <c r="BH99" s="3466"/>
      <c r="BI99" s="3466"/>
      <c r="BJ99" s="3489"/>
    </row>
    <row r="100" spans="1:880" s="1232" customFormat="1" ht="33" customHeight="1" x14ac:dyDescent="0.3">
      <c r="A100" s="3262"/>
      <c r="B100" s="3263"/>
      <c r="C100" s="3264"/>
      <c r="D100" s="3470"/>
      <c r="E100" s="3471"/>
      <c r="F100" s="3471"/>
      <c r="G100" s="3471"/>
      <c r="H100" s="3471"/>
      <c r="I100" s="3472"/>
      <c r="J100" s="1224">
        <v>11</v>
      </c>
      <c r="K100" s="3473" t="s">
        <v>546</v>
      </c>
      <c r="L100" s="3474"/>
      <c r="M100" s="3474"/>
      <c r="N100" s="3474"/>
      <c r="O100" s="3474"/>
      <c r="P100" s="1225"/>
      <c r="Q100" s="1225"/>
      <c r="R100" s="1225"/>
      <c r="S100" s="1226"/>
      <c r="T100" s="1227"/>
      <c r="U100" s="1227"/>
      <c r="V100" s="1227"/>
      <c r="W100" s="1226"/>
      <c r="X100" s="1226"/>
      <c r="Y100" s="1226"/>
      <c r="Z100" s="1225"/>
      <c r="AA100" s="1227"/>
      <c r="AB100" s="1225"/>
      <c r="AC100" s="1225"/>
      <c r="AD100" s="1225"/>
      <c r="AE100" s="1225"/>
      <c r="AF100" s="1225"/>
      <c r="AG100" s="1225"/>
      <c r="AH100" s="1225"/>
      <c r="AI100" s="1225"/>
      <c r="AJ100" s="1225"/>
      <c r="AK100" s="1225"/>
      <c r="AL100" s="1225"/>
      <c r="AM100" s="1225"/>
      <c r="AN100" s="1225"/>
      <c r="AO100" s="1225"/>
      <c r="AP100" s="1225"/>
      <c r="AQ100" s="1225"/>
      <c r="AR100" s="1225"/>
      <c r="AS100" s="1225"/>
      <c r="AT100" s="1225"/>
      <c r="AU100" s="1225"/>
      <c r="AV100" s="1225"/>
      <c r="AW100" s="1225"/>
      <c r="AX100" s="1225"/>
      <c r="AY100" s="1225"/>
      <c r="AZ100" s="1225"/>
      <c r="BA100" s="1228"/>
      <c r="BB100" s="1228"/>
      <c r="BC100" s="1225"/>
      <c r="BD100" s="1227"/>
      <c r="BE100" s="1227"/>
      <c r="BF100" s="1229"/>
      <c r="BG100" s="1229"/>
      <c r="BH100" s="1229"/>
      <c r="BI100" s="1229"/>
      <c r="BJ100" s="1230"/>
      <c r="BK100" s="1231"/>
      <c r="BL100" s="1231"/>
      <c r="BM100" s="1231"/>
      <c r="BN100" s="1231"/>
      <c r="BO100" s="1231"/>
      <c r="BP100" s="1231"/>
      <c r="BQ100" s="1231"/>
      <c r="BR100" s="1231"/>
      <c r="BS100" s="1231"/>
      <c r="BT100" s="1231"/>
      <c r="BU100" s="1231"/>
      <c r="BV100" s="1231"/>
      <c r="BW100" s="1231"/>
      <c r="BX100" s="1231"/>
      <c r="BY100" s="1231"/>
      <c r="BZ100" s="1231"/>
      <c r="CA100" s="1231"/>
      <c r="CB100" s="1231"/>
      <c r="CC100" s="1231"/>
      <c r="CD100" s="1231"/>
      <c r="CE100" s="1231"/>
      <c r="CF100" s="1231"/>
      <c r="CG100" s="1231"/>
      <c r="CH100" s="1231"/>
      <c r="CI100" s="1231"/>
      <c r="CJ100" s="1231"/>
      <c r="CK100" s="1231"/>
      <c r="CL100" s="1231"/>
      <c r="CM100" s="1231"/>
      <c r="CN100" s="1231"/>
      <c r="CO100" s="1231"/>
      <c r="CP100" s="1231"/>
      <c r="CQ100" s="1231"/>
      <c r="CR100" s="1231"/>
      <c r="CS100" s="1231"/>
      <c r="CT100" s="1231"/>
      <c r="CU100" s="1231"/>
      <c r="CV100" s="1231"/>
      <c r="CW100" s="1231"/>
      <c r="CX100" s="1231"/>
      <c r="CY100" s="1231"/>
      <c r="CZ100" s="1231"/>
      <c r="DA100" s="1231"/>
      <c r="DB100" s="1231"/>
      <c r="DC100" s="1231"/>
      <c r="DD100" s="1231"/>
      <c r="DE100" s="1231"/>
      <c r="DF100" s="1231"/>
      <c r="DG100" s="1231"/>
      <c r="DH100" s="1231"/>
      <c r="DI100" s="1231"/>
      <c r="DJ100" s="1231"/>
      <c r="DK100" s="1231"/>
      <c r="DL100" s="1231"/>
      <c r="DM100" s="1231"/>
      <c r="DN100" s="1231"/>
      <c r="DO100" s="1231"/>
      <c r="DP100" s="1231"/>
      <c r="DQ100" s="1231"/>
      <c r="DR100" s="1231"/>
      <c r="DS100" s="1231"/>
      <c r="DT100" s="1231"/>
      <c r="DU100" s="1231"/>
      <c r="DV100" s="1231"/>
      <c r="DW100" s="1231"/>
      <c r="DX100" s="1231"/>
      <c r="DY100" s="1231"/>
      <c r="DZ100" s="1231"/>
      <c r="EA100" s="1231"/>
      <c r="EB100" s="1231"/>
      <c r="EC100" s="1231"/>
      <c r="ED100" s="1231"/>
      <c r="EE100" s="1231"/>
      <c r="EF100" s="1231"/>
      <c r="EG100" s="1231"/>
      <c r="EH100" s="1231"/>
      <c r="EI100" s="1231"/>
      <c r="EJ100" s="1231"/>
      <c r="EK100" s="1231"/>
      <c r="EL100" s="1231"/>
      <c r="EM100" s="1231"/>
      <c r="EN100" s="1231"/>
      <c r="EO100" s="1231"/>
      <c r="EP100" s="1231"/>
      <c r="EQ100" s="1231"/>
      <c r="ER100" s="1231"/>
      <c r="ES100" s="1231"/>
      <c r="ET100" s="1231"/>
      <c r="EU100" s="1231"/>
      <c r="EV100" s="1231"/>
      <c r="EW100" s="1231"/>
      <c r="EX100" s="1231"/>
      <c r="EY100" s="1231"/>
      <c r="EZ100" s="1231"/>
      <c r="FA100" s="1231"/>
      <c r="FB100" s="1231"/>
      <c r="FC100" s="1231"/>
      <c r="FD100" s="1231"/>
      <c r="FE100" s="1231"/>
      <c r="FF100" s="1231"/>
      <c r="FG100" s="1231"/>
      <c r="FH100" s="1231"/>
      <c r="FI100" s="1231"/>
      <c r="FJ100" s="1231"/>
      <c r="FK100" s="1231"/>
      <c r="FL100" s="1231"/>
      <c r="FM100" s="1231"/>
      <c r="FN100" s="1231"/>
      <c r="FO100" s="1231"/>
      <c r="FP100" s="1231"/>
      <c r="FQ100" s="1231"/>
      <c r="FR100" s="1231"/>
      <c r="FS100" s="1231"/>
      <c r="FT100" s="1231"/>
      <c r="FU100" s="1231"/>
      <c r="FV100" s="1231"/>
      <c r="FW100" s="1231"/>
      <c r="FX100" s="1231"/>
      <c r="FY100" s="1231"/>
      <c r="FZ100" s="1231"/>
      <c r="GA100" s="1231"/>
      <c r="GB100" s="1231"/>
      <c r="GC100" s="1231"/>
      <c r="GD100" s="1231"/>
      <c r="GE100" s="1231"/>
      <c r="GF100" s="1231"/>
      <c r="GG100" s="1231"/>
      <c r="GH100" s="1231"/>
      <c r="GI100" s="1231"/>
      <c r="GJ100" s="1231"/>
      <c r="GK100" s="1231"/>
      <c r="GL100" s="1231"/>
      <c r="GM100" s="1231"/>
      <c r="GN100" s="1231"/>
      <c r="GO100" s="1231"/>
      <c r="GP100" s="1231"/>
      <c r="GQ100" s="1231"/>
      <c r="GR100" s="1231"/>
      <c r="GS100" s="1231"/>
      <c r="GT100" s="1231"/>
      <c r="GU100" s="1231"/>
      <c r="GV100" s="1231"/>
      <c r="GW100" s="1231"/>
      <c r="GX100" s="1231"/>
      <c r="GY100" s="1231"/>
      <c r="GZ100" s="1231"/>
      <c r="HA100" s="1231"/>
      <c r="HB100" s="1231"/>
      <c r="HC100" s="1231"/>
      <c r="HD100" s="1231"/>
      <c r="HE100" s="1231"/>
      <c r="HF100" s="1231"/>
      <c r="HG100" s="1231"/>
      <c r="HH100" s="1231"/>
      <c r="HI100" s="1231"/>
      <c r="HJ100" s="1231"/>
      <c r="HK100" s="1231"/>
      <c r="HL100" s="1231"/>
      <c r="HM100" s="1231"/>
      <c r="HN100" s="1231"/>
      <c r="HO100" s="1231"/>
      <c r="HP100" s="1231"/>
      <c r="HQ100" s="1231"/>
      <c r="HR100" s="1231"/>
      <c r="HS100" s="1231"/>
      <c r="HT100" s="1231"/>
      <c r="HU100" s="1231"/>
      <c r="HV100" s="1231"/>
      <c r="HW100" s="1231"/>
      <c r="HX100" s="1231"/>
      <c r="HY100" s="1231"/>
      <c r="HZ100" s="1231"/>
      <c r="IA100" s="1231"/>
      <c r="IB100" s="1231"/>
      <c r="IC100" s="1231"/>
      <c r="ID100" s="1231"/>
      <c r="IE100" s="1231"/>
      <c r="IF100" s="1231"/>
      <c r="IG100" s="1231"/>
      <c r="IH100" s="1231"/>
      <c r="II100" s="1231"/>
      <c r="IJ100" s="1231"/>
      <c r="IK100" s="1231"/>
      <c r="IL100" s="1231"/>
      <c r="IM100" s="1231"/>
      <c r="IN100" s="1231"/>
      <c r="IO100" s="1231"/>
      <c r="IP100" s="1231"/>
      <c r="IQ100" s="1231"/>
      <c r="IR100" s="1231"/>
      <c r="IS100" s="1231"/>
      <c r="IT100" s="1231"/>
      <c r="IU100" s="1231"/>
      <c r="IV100" s="1231"/>
      <c r="IW100" s="1231"/>
      <c r="IX100" s="1231"/>
      <c r="IY100" s="1231"/>
      <c r="IZ100" s="1231"/>
      <c r="JA100" s="1231"/>
      <c r="JB100" s="1231"/>
      <c r="JC100" s="1231"/>
      <c r="JD100" s="1231"/>
      <c r="JE100" s="1231"/>
      <c r="JF100" s="1231"/>
      <c r="JG100" s="1231"/>
      <c r="JH100" s="1231"/>
      <c r="JI100" s="1231"/>
      <c r="JJ100" s="1231"/>
      <c r="JK100" s="1231"/>
      <c r="JL100" s="1231"/>
      <c r="JM100" s="1231"/>
      <c r="JN100" s="1231"/>
      <c r="JO100" s="1231"/>
      <c r="JP100" s="1231"/>
      <c r="JQ100" s="1231"/>
      <c r="JR100" s="1231"/>
      <c r="JS100" s="1231"/>
      <c r="JT100" s="1231"/>
      <c r="JU100" s="1231"/>
      <c r="JV100" s="1231"/>
      <c r="JW100" s="1231"/>
      <c r="JX100" s="1231"/>
      <c r="JY100" s="1231"/>
      <c r="JZ100" s="1231"/>
      <c r="KA100" s="1231"/>
      <c r="KB100" s="1231"/>
      <c r="KC100" s="1231"/>
      <c r="KD100" s="1231"/>
      <c r="KE100" s="1231"/>
      <c r="KF100" s="1231"/>
      <c r="KG100" s="1231"/>
      <c r="KH100" s="1231"/>
      <c r="KI100" s="1231"/>
      <c r="KJ100" s="1231"/>
      <c r="KK100" s="1231"/>
      <c r="KL100" s="1231"/>
      <c r="KM100" s="1231"/>
      <c r="KN100" s="1231"/>
      <c r="KO100" s="1231"/>
      <c r="KP100" s="1231"/>
      <c r="KQ100" s="1231"/>
      <c r="KR100" s="1231"/>
      <c r="KS100" s="1231"/>
      <c r="KT100" s="1231"/>
      <c r="KU100" s="1231"/>
      <c r="KV100" s="1231"/>
      <c r="KW100" s="1231"/>
      <c r="KX100" s="1231"/>
      <c r="KY100" s="1231"/>
      <c r="KZ100" s="1231"/>
      <c r="LA100" s="1231"/>
      <c r="LB100" s="1231"/>
      <c r="LC100" s="1231"/>
      <c r="LD100" s="1231"/>
      <c r="LE100" s="1231"/>
      <c r="LF100" s="1231"/>
      <c r="LG100" s="1231"/>
      <c r="LH100" s="1231"/>
      <c r="LI100" s="1231"/>
      <c r="LJ100" s="1231"/>
      <c r="LK100" s="1231"/>
      <c r="LL100" s="1231"/>
      <c r="LM100" s="1231"/>
      <c r="LN100" s="1231"/>
      <c r="LO100" s="1231"/>
      <c r="LP100" s="1231"/>
      <c r="LQ100" s="1231"/>
      <c r="LR100" s="1231"/>
      <c r="LS100" s="1231"/>
      <c r="LT100" s="1231"/>
      <c r="LU100" s="1231"/>
      <c r="LV100" s="1231"/>
      <c r="LW100" s="1231"/>
      <c r="LX100" s="1231"/>
      <c r="LY100" s="1231"/>
      <c r="LZ100" s="1231"/>
      <c r="MA100" s="1231"/>
      <c r="MB100" s="1231"/>
      <c r="MC100" s="1231"/>
      <c r="MD100" s="1231"/>
      <c r="ME100" s="1231"/>
      <c r="MF100" s="1231"/>
      <c r="MG100" s="1231"/>
      <c r="MH100" s="1231"/>
      <c r="MI100" s="1231"/>
      <c r="MJ100" s="1231"/>
      <c r="MK100" s="1231"/>
      <c r="ML100" s="1231"/>
      <c r="MM100" s="1231"/>
      <c r="MN100" s="1231"/>
      <c r="MO100" s="1231"/>
      <c r="MP100" s="1231"/>
      <c r="MQ100" s="1231"/>
      <c r="MR100" s="1231"/>
      <c r="MS100" s="1231"/>
      <c r="MT100" s="1231"/>
      <c r="MU100" s="1231"/>
      <c r="MV100" s="1231"/>
      <c r="MW100" s="1231"/>
      <c r="MX100" s="1231"/>
      <c r="MY100" s="1231"/>
      <c r="MZ100" s="1231"/>
      <c r="NA100" s="1231"/>
      <c r="NB100" s="1231"/>
      <c r="NC100" s="1231"/>
      <c r="ND100" s="1231"/>
      <c r="NE100" s="1231"/>
      <c r="NF100" s="1231"/>
      <c r="NG100" s="1231"/>
      <c r="NH100" s="1231"/>
      <c r="NI100" s="1231"/>
      <c r="NJ100" s="1231"/>
      <c r="NK100" s="1231"/>
      <c r="NL100" s="1231"/>
      <c r="NM100" s="1231"/>
      <c r="NN100" s="1231"/>
      <c r="NO100" s="1231"/>
      <c r="NP100" s="1231"/>
      <c r="NQ100" s="1231"/>
      <c r="NR100" s="1231"/>
      <c r="NS100" s="1231"/>
      <c r="NT100" s="1231"/>
      <c r="NU100" s="1231"/>
      <c r="NV100" s="1231"/>
      <c r="NW100" s="1231"/>
      <c r="NX100" s="1231"/>
      <c r="NY100" s="1231"/>
      <c r="NZ100" s="1231"/>
      <c r="OA100" s="1231"/>
      <c r="OB100" s="1231"/>
      <c r="OC100" s="1231"/>
      <c r="OD100" s="1231"/>
      <c r="OE100" s="1231"/>
      <c r="OF100" s="1231"/>
      <c r="OG100" s="1231"/>
      <c r="OH100" s="1231"/>
      <c r="OI100" s="1231"/>
      <c r="OJ100" s="1231"/>
      <c r="OK100" s="1231"/>
      <c r="OL100" s="1231"/>
      <c r="OM100" s="1231"/>
      <c r="ON100" s="1231"/>
      <c r="OO100" s="1231"/>
      <c r="OP100" s="1231"/>
      <c r="OQ100" s="1231"/>
      <c r="OR100" s="1231"/>
      <c r="OS100" s="1231"/>
      <c r="OT100" s="1231"/>
      <c r="OU100" s="1231"/>
      <c r="OV100" s="1231"/>
      <c r="OW100" s="1231"/>
      <c r="OX100" s="1231"/>
      <c r="OY100" s="1231"/>
      <c r="OZ100" s="1231"/>
      <c r="PA100" s="1231"/>
      <c r="PB100" s="1231"/>
      <c r="PC100" s="1231"/>
      <c r="PD100" s="1231"/>
      <c r="PE100" s="1231"/>
      <c r="PF100" s="1231"/>
      <c r="PG100" s="1231"/>
      <c r="PH100" s="1231"/>
      <c r="PI100" s="1231"/>
      <c r="PJ100" s="1231"/>
      <c r="PK100" s="1231"/>
      <c r="PL100" s="1231"/>
      <c r="PM100" s="1231"/>
      <c r="PN100" s="1231"/>
      <c r="PO100" s="1231"/>
      <c r="PP100" s="1231"/>
      <c r="PQ100" s="1231"/>
      <c r="PR100" s="1231"/>
      <c r="PS100" s="1231"/>
      <c r="PT100" s="1231"/>
      <c r="PU100" s="1231"/>
      <c r="PV100" s="1231"/>
      <c r="PW100" s="1231"/>
      <c r="PX100" s="1231"/>
      <c r="PY100" s="1231"/>
      <c r="PZ100" s="1231"/>
      <c r="QA100" s="1231"/>
      <c r="QB100" s="1231"/>
      <c r="QC100" s="1231"/>
      <c r="QD100" s="1231"/>
      <c r="QE100" s="1231"/>
      <c r="QF100" s="1231"/>
      <c r="QG100" s="1231"/>
      <c r="QH100" s="1231"/>
      <c r="QI100" s="1231"/>
      <c r="QJ100" s="1231"/>
      <c r="QK100" s="1231"/>
      <c r="QL100" s="1231"/>
      <c r="QM100" s="1231"/>
      <c r="QN100" s="1231"/>
      <c r="QO100" s="1231"/>
      <c r="QP100" s="1231"/>
      <c r="QQ100" s="1231"/>
      <c r="QR100" s="1231"/>
      <c r="QS100" s="1231"/>
      <c r="QT100" s="1231"/>
      <c r="QU100" s="1231"/>
      <c r="QV100" s="1231"/>
      <c r="QW100" s="1231"/>
      <c r="QX100" s="1231"/>
      <c r="QY100" s="1231"/>
      <c r="QZ100" s="1231"/>
      <c r="RA100" s="1231"/>
      <c r="RB100" s="1231"/>
      <c r="RC100" s="1231"/>
      <c r="RD100" s="1231"/>
      <c r="RE100" s="1231"/>
      <c r="RF100" s="1231"/>
      <c r="RG100" s="1231"/>
      <c r="RH100" s="1231"/>
      <c r="RI100" s="1231"/>
      <c r="RJ100" s="1231"/>
      <c r="RK100" s="1231"/>
      <c r="RL100" s="1231"/>
      <c r="RM100" s="1231"/>
      <c r="RN100" s="1231"/>
      <c r="RO100" s="1231"/>
      <c r="RP100" s="1231"/>
      <c r="RQ100" s="1231"/>
      <c r="RR100" s="1231"/>
      <c r="RS100" s="1231"/>
      <c r="RT100" s="1231"/>
      <c r="RU100" s="1231"/>
      <c r="RV100" s="1231"/>
      <c r="RW100" s="1231"/>
      <c r="RX100" s="1231"/>
      <c r="RY100" s="1231"/>
      <c r="RZ100" s="1231"/>
      <c r="SA100" s="1231"/>
      <c r="SB100" s="1231"/>
      <c r="SC100" s="1231"/>
      <c r="SD100" s="1231"/>
      <c r="SE100" s="1231"/>
      <c r="SF100" s="1231"/>
      <c r="SG100" s="1231"/>
      <c r="SH100" s="1231"/>
      <c r="SI100" s="1231"/>
      <c r="SJ100" s="1231"/>
      <c r="SK100" s="1231"/>
      <c r="SL100" s="1231"/>
      <c r="SM100" s="1231"/>
      <c r="SN100" s="1231"/>
      <c r="SO100" s="1231"/>
      <c r="SP100" s="1231"/>
      <c r="SQ100" s="1231"/>
      <c r="SR100" s="1231"/>
      <c r="SS100" s="1231"/>
      <c r="ST100" s="1231"/>
      <c r="SU100" s="1231"/>
      <c r="SV100" s="1231"/>
      <c r="SW100" s="1231"/>
      <c r="SX100" s="1231"/>
      <c r="SY100" s="1231"/>
      <c r="SZ100" s="1231"/>
      <c r="TA100" s="1231"/>
      <c r="TB100" s="1231"/>
      <c r="TC100" s="1231"/>
      <c r="TD100" s="1231"/>
      <c r="TE100" s="1231"/>
      <c r="TF100" s="1231"/>
      <c r="TG100" s="1231"/>
      <c r="TH100" s="1231"/>
      <c r="TI100" s="1231"/>
      <c r="TJ100" s="1231"/>
      <c r="TK100" s="1231"/>
      <c r="TL100" s="1231"/>
      <c r="TM100" s="1231"/>
      <c r="TN100" s="1231"/>
      <c r="TO100" s="1231"/>
      <c r="TP100" s="1231"/>
      <c r="TQ100" s="1231"/>
      <c r="TR100" s="1231"/>
      <c r="TS100" s="1231"/>
      <c r="TT100" s="1231"/>
      <c r="TU100" s="1231"/>
      <c r="TV100" s="1231"/>
      <c r="TW100" s="1231"/>
      <c r="TX100" s="1231"/>
      <c r="TY100" s="1231"/>
      <c r="TZ100" s="1231"/>
      <c r="UA100" s="1231"/>
      <c r="UB100" s="1231"/>
      <c r="UC100" s="1231"/>
      <c r="UD100" s="1231"/>
      <c r="UE100" s="1231"/>
      <c r="UF100" s="1231"/>
      <c r="UG100" s="1231"/>
      <c r="UH100" s="1231"/>
      <c r="UI100" s="1231"/>
      <c r="UJ100" s="1231"/>
      <c r="UK100" s="1231"/>
      <c r="UL100" s="1231"/>
      <c r="UM100" s="1231"/>
      <c r="UN100" s="1231"/>
      <c r="UO100" s="1231"/>
      <c r="UP100" s="1231"/>
      <c r="UQ100" s="1231"/>
      <c r="UR100" s="1231"/>
      <c r="US100" s="1231"/>
      <c r="UT100" s="1231"/>
      <c r="UU100" s="1231"/>
      <c r="UV100" s="1231"/>
      <c r="UW100" s="1231"/>
      <c r="UX100" s="1231"/>
      <c r="UY100" s="1231"/>
      <c r="UZ100" s="1231"/>
      <c r="VA100" s="1231"/>
      <c r="VB100" s="1231"/>
      <c r="VC100" s="1231"/>
      <c r="VD100" s="1231"/>
      <c r="VE100" s="1231"/>
      <c r="VF100" s="1231"/>
      <c r="VG100" s="1231"/>
      <c r="VH100" s="1231"/>
      <c r="VI100" s="1231"/>
      <c r="VJ100" s="1231"/>
      <c r="VK100" s="1231"/>
      <c r="VL100" s="1231"/>
      <c r="VM100" s="1231"/>
      <c r="VN100" s="1231"/>
      <c r="VO100" s="1231"/>
      <c r="VP100" s="1231"/>
      <c r="VQ100" s="1231"/>
      <c r="VR100" s="1231"/>
      <c r="VS100" s="1231"/>
      <c r="VT100" s="1231"/>
      <c r="VU100" s="1231"/>
      <c r="VV100" s="1231"/>
      <c r="VW100" s="1231"/>
      <c r="VX100" s="1231"/>
      <c r="VY100" s="1231"/>
      <c r="VZ100" s="1231"/>
      <c r="WA100" s="1231"/>
      <c r="WB100" s="1231"/>
      <c r="WC100" s="1231"/>
      <c r="WD100" s="1231"/>
      <c r="WE100" s="1231"/>
      <c r="WF100" s="1231"/>
      <c r="WG100" s="1231"/>
      <c r="WH100" s="1231"/>
      <c r="WI100" s="1231"/>
      <c r="WJ100" s="1231"/>
      <c r="WK100" s="1231"/>
      <c r="WL100" s="1231"/>
      <c r="WM100" s="1231"/>
      <c r="WN100" s="1231"/>
      <c r="WO100" s="1231"/>
      <c r="WP100" s="1231"/>
      <c r="WQ100" s="1231"/>
      <c r="WR100" s="1231"/>
      <c r="WS100" s="1231"/>
      <c r="WT100" s="1231"/>
      <c r="WU100" s="1231"/>
      <c r="WV100" s="1231"/>
      <c r="WW100" s="1231"/>
      <c r="WX100" s="1231"/>
      <c r="WY100" s="1231"/>
      <c r="WZ100" s="1231"/>
      <c r="XA100" s="1231"/>
      <c r="XB100" s="1231"/>
      <c r="XC100" s="1231"/>
      <c r="XD100" s="1231"/>
      <c r="XE100" s="1231"/>
      <c r="XF100" s="1231"/>
      <c r="XG100" s="1231"/>
      <c r="XH100" s="1231"/>
      <c r="XI100" s="1231"/>
      <c r="XJ100" s="1231"/>
      <c r="XK100" s="1231"/>
      <c r="XL100" s="1231"/>
      <c r="XM100" s="1231"/>
      <c r="XN100" s="1231"/>
      <c r="XO100" s="1231"/>
      <c r="XP100" s="1231"/>
      <c r="XQ100" s="1231"/>
      <c r="XR100" s="1231"/>
      <c r="XS100" s="1231"/>
      <c r="XT100" s="1231"/>
      <c r="XU100" s="1231"/>
      <c r="XV100" s="1231"/>
      <c r="XW100" s="1231"/>
      <c r="XX100" s="1231"/>
      <c r="XY100" s="1231"/>
      <c r="XZ100" s="1231"/>
      <c r="YA100" s="1231"/>
      <c r="YB100" s="1231"/>
      <c r="YC100" s="1231"/>
      <c r="YD100" s="1231"/>
      <c r="YE100" s="1231"/>
      <c r="YF100" s="1231"/>
      <c r="YG100" s="1231"/>
      <c r="YH100" s="1231"/>
      <c r="YI100" s="1231"/>
      <c r="YJ100" s="1231"/>
      <c r="YK100" s="1231"/>
      <c r="YL100" s="1231"/>
      <c r="YM100" s="1231"/>
      <c r="YN100" s="1231"/>
      <c r="YO100" s="1231"/>
      <c r="YP100" s="1231"/>
      <c r="YQ100" s="1231"/>
      <c r="YR100" s="1231"/>
      <c r="YS100" s="1231"/>
      <c r="YT100" s="1231"/>
      <c r="YU100" s="1231"/>
      <c r="YV100" s="1231"/>
      <c r="YW100" s="1231"/>
      <c r="YX100" s="1231"/>
      <c r="YY100" s="1231"/>
      <c r="YZ100" s="1231"/>
      <c r="ZA100" s="1231"/>
      <c r="ZB100" s="1231"/>
      <c r="ZC100" s="1231"/>
      <c r="ZD100" s="1231"/>
      <c r="ZE100" s="1231"/>
      <c r="ZF100" s="1231"/>
      <c r="ZG100" s="1231"/>
      <c r="ZH100" s="1231"/>
      <c r="ZI100" s="1231"/>
      <c r="ZJ100" s="1231"/>
      <c r="ZK100" s="1231"/>
      <c r="ZL100" s="1231"/>
      <c r="ZM100" s="1231"/>
      <c r="ZN100" s="1231"/>
      <c r="ZO100" s="1231"/>
      <c r="ZP100" s="1231"/>
      <c r="ZQ100" s="1231"/>
      <c r="ZR100" s="1231"/>
      <c r="ZS100" s="1231"/>
      <c r="ZT100" s="1231"/>
      <c r="ZU100" s="1231"/>
      <c r="ZV100" s="1231"/>
      <c r="ZW100" s="1231"/>
      <c r="ZX100" s="1231"/>
      <c r="ZY100" s="1231"/>
      <c r="ZZ100" s="1231"/>
      <c r="AAA100" s="1231"/>
      <c r="AAB100" s="1231"/>
      <c r="AAC100" s="1231"/>
      <c r="AAD100" s="1231"/>
      <c r="AAE100" s="1231"/>
      <c r="AAF100" s="1231"/>
      <c r="AAG100" s="1231"/>
      <c r="AAH100" s="1231"/>
      <c r="AAI100" s="1231"/>
      <c r="AAJ100" s="1231"/>
      <c r="AAK100" s="1231"/>
      <c r="AAL100" s="1231"/>
      <c r="AAM100" s="1231"/>
      <c r="AAN100" s="1231"/>
      <c r="AAO100" s="1231"/>
      <c r="AAP100" s="1231"/>
      <c r="AAQ100" s="1231"/>
      <c r="AAR100" s="1231"/>
      <c r="AAS100" s="1231"/>
      <c r="AAT100" s="1231"/>
      <c r="AAU100" s="1231"/>
      <c r="AAV100" s="1231"/>
      <c r="AAW100" s="1231"/>
      <c r="AAX100" s="1231"/>
      <c r="AAY100" s="1231"/>
      <c r="AAZ100" s="1231"/>
      <c r="ABA100" s="1231"/>
      <c r="ABB100" s="1231"/>
      <c r="ABC100" s="1231"/>
      <c r="ABD100" s="1231"/>
      <c r="ABE100" s="1231"/>
      <c r="ABF100" s="1231"/>
      <c r="ABG100" s="1231"/>
      <c r="ABH100" s="1231"/>
      <c r="ABI100" s="1231"/>
      <c r="ABJ100" s="1231"/>
      <c r="ABK100" s="1231"/>
      <c r="ABL100" s="1231"/>
      <c r="ABM100" s="1231"/>
      <c r="ABN100" s="1231"/>
      <c r="ABO100" s="1231"/>
      <c r="ABP100" s="1231"/>
      <c r="ABQ100" s="1231"/>
      <c r="ABR100" s="1231"/>
      <c r="ABS100" s="1231"/>
      <c r="ABT100" s="1231"/>
      <c r="ABU100" s="1231"/>
      <c r="ABV100" s="1231"/>
      <c r="ABW100" s="1231"/>
      <c r="ABX100" s="1231"/>
      <c r="ABY100" s="1231"/>
      <c r="ABZ100" s="1231"/>
      <c r="ACA100" s="1231"/>
      <c r="ACB100" s="1231"/>
      <c r="ACC100" s="1231"/>
      <c r="ACD100" s="1231"/>
      <c r="ACE100" s="1231"/>
      <c r="ACF100" s="1231"/>
      <c r="ACG100" s="1231"/>
      <c r="ACH100" s="1231"/>
      <c r="ACI100" s="1231"/>
      <c r="ACJ100" s="1231"/>
      <c r="ACK100" s="1231"/>
      <c r="ACL100" s="1231"/>
      <c r="ACM100" s="1231"/>
      <c r="ACN100" s="1231"/>
      <c r="ACO100" s="1231"/>
      <c r="ACP100" s="1231"/>
      <c r="ACQ100" s="1231"/>
      <c r="ACR100" s="1231"/>
      <c r="ACS100" s="1231"/>
      <c r="ACT100" s="1231"/>
      <c r="ACU100" s="1231"/>
      <c r="ACV100" s="1231"/>
      <c r="ACW100" s="1231"/>
      <c r="ACX100" s="1231"/>
      <c r="ACY100" s="1231"/>
      <c r="ACZ100" s="1231"/>
      <c r="ADA100" s="1231"/>
      <c r="ADB100" s="1231"/>
      <c r="ADC100" s="1231"/>
      <c r="ADD100" s="1231"/>
      <c r="ADE100" s="1231"/>
      <c r="ADF100" s="1231"/>
      <c r="ADG100" s="1231"/>
      <c r="ADH100" s="1231"/>
      <c r="ADI100" s="1231"/>
      <c r="ADJ100" s="1231"/>
      <c r="ADK100" s="1231"/>
      <c r="ADL100" s="1231"/>
      <c r="ADM100" s="1231"/>
      <c r="ADN100" s="1231"/>
      <c r="ADO100" s="1231"/>
      <c r="ADP100" s="1231"/>
      <c r="ADQ100" s="1231"/>
      <c r="ADR100" s="1231"/>
      <c r="ADS100" s="1231"/>
      <c r="ADT100" s="1231"/>
      <c r="ADU100" s="1231"/>
      <c r="ADV100" s="1231"/>
      <c r="ADW100" s="1231"/>
      <c r="ADX100" s="1231"/>
      <c r="ADY100" s="1231"/>
      <c r="ADZ100" s="1231"/>
      <c r="AEA100" s="1231"/>
      <c r="AEB100" s="1231"/>
      <c r="AEC100" s="1231"/>
      <c r="AED100" s="1231"/>
      <c r="AEE100" s="1231"/>
      <c r="AEF100" s="1231"/>
      <c r="AEG100" s="1231"/>
      <c r="AEH100" s="1231"/>
      <c r="AEI100" s="1231"/>
      <c r="AEJ100" s="1231"/>
      <c r="AEK100" s="1231"/>
      <c r="AEL100" s="1231"/>
      <c r="AEM100" s="1231"/>
      <c r="AEN100" s="1231"/>
      <c r="AEO100" s="1231"/>
      <c r="AEP100" s="1231"/>
      <c r="AEQ100" s="1231"/>
      <c r="AER100" s="1231"/>
      <c r="AES100" s="1231"/>
      <c r="AET100" s="1231"/>
      <c r="AEU100" s="1231"/>
      <c r="AEV100" s="1231"/>
      <c r="AEW100" s="1231"/>
      <c r="AEX100" s="1231"/>
      <c r="AEY100" s="1231"/>
      <c r="AEZ100" s="1231"/>
      <c r="AFA100" s="1231"/>
      <c r="AFB100" s="1231"/>
      <c r="AFC100" s="1231"/>
      <c r="AFD100" s="1231"/>
      <c r="AFE100" s="1231"/>
      <c r="AFF100" s="1231"/>
      <c r="AFG100" s="1231"/>
      <c r="AFH100" s="1231"/>
      <c r="AFI100" s="1231"/>
      <c r="AFJ100" s="1231"/>
      <c r="AFK100" s="1231"/>
      <c r="AFL100" s="1231"/>
      <c r="AFM100" s="1231"/>
      <c r="AFN100" s="1231"/>
      <c r="AFO100" s="1231"/>
      <c r="AFP100" s="1231"/>
      <c r="AFQ100" s="1231"/>
      <c r="AFR100" s="1231"/>
      <c r="AFS100" s="1231"/>
      <c r="AFT100" s="1231"/>
      <c r="AFU100" s="1231"/>
      <c r="AFV100" s="1231"/>
      <c r="AFW100" s="1231"/>
      <c r="AFX100" s="1231"/>
      <c r="AFY100" s="1231"/>
      <c r="AFZ100" s="1231"/>
      <c r="AGA100" s="1231"/>
      <c r="AGB100" s="1231"/>
      <c r="AGC100" s="1231"/>
      <c r="AGD100" s="1231"/>
      <c r="AGE100" s="1231"/>
      <c r="AGF100" s="1231"/>
      <c r="AGG100" s="1231"/>
      <c r="AGH100" s="1231"/>
      <c r="AGI100" s="1231"/>
      <c r="AGJ100" s="1231"/>
      <c r="AGK100" s="1231"/>
      <c r="AGL100" s="1231"/>
      <c r="AGM100" s="1231"/>
      <c r="AGN100" s="1231"/>
      <c r="AGO100" s="1231"/>
      <c r="AGP100" s="1231"/>
      <c r="AGQ100" s="1231"/>
      <c r="AGR100" s="1231"/>
      <c r="AGS100" s="1231"/>
      <c r="AGT100" s="1231"/>
      <c r="AGU100" s="1231"/>
      <c r="AGV100" s="1231"/>
    </row>
    <row r="101" spans="1:880" s="1200" customFormat="1" ht="17.25" customHeight="1" x14ac:dyDescent="0.3">
      <c r="A101" s="3262"/>
      <c r="B101" s="3263"/>
      <c r="C101" s="3264"/>
      <c r="D101" s="3475"/>
      <c r="E101" s="3476"/>
      <c r="F101" s="3476"/>
      <c r="G101" s="3476"/>
      <c r="H101" s="3476"/>
      <c r="I101" s="3477"/>
      <c r="J101" s="3350">
        <v>50</v>
      </c>
      <c r="K101" s="3283" t="s">
        <v>547</v>
      </c>
      <c r="L101" s="3344" t="s">
        <v>18</v>
      </c>
      <c r="M101" s="3350">
        <v>5</v>
      </c>
      <c r="N101" s="3350">
        <v>1</v>
      </c>
      <c r="O101" s="3295" t="s">
        <v>548</v>
      </c>
      <c r="P101" s="3301" t="s">
        <v>549</v>
      </c>
      <c r="Q101" s="3283" t="s">
        <v>550</v>
      </c>
      <c r="R101" s="3484">
        <f>+S101/298240000</f>
        <v>0.69822961373390557</v>
      </c>
      <c r="S101" s="3487">
        <v>208240000</v>
      </c>
      <c r="T101" s="3283" t="s">
        <v>551</v>
      </c>
      <c r="U101" s="3410" t="s">
        <v>552</v>
      </c>
      <c r="V101" s="3410" t="s">
        <v>553</v>
      </c>
      <c r="W101" s="3353">
        <f>90000000-30000000+148240000</f>
        <v>208240000</v>
      </c>
      <c r="X101" s="3373">
        <v>124900000</v>
      </c>
      <c r="Y101" s="3373">
        <v>5640000</v>
      </c>
      <c r="Z101" s="3295" t="s">
        <v>489</v>
      </c>
      <c r="AA101" s="3283" t="s">
        <v>490</v>
      </c>
      <c r="AB101" s="3490">
        <v>64149</v>
      </c>
      <c r="AC101" s="3490"/>
      <c r="AD101" s="3490">
        <v>72224</v>
      </c>
      <c r="AE101" s="3490"/>
      <c r="AF101" s="3490">
        <v>27477</v>
      </c>
      <c r="AG101" s="3490"/>
      <c r="AH101" s="3490">
        <v>86843</v>
      </c>
      <c r="AI101" s="3490"/>
      <c r="AJ101" s="3490">
        <v>236429</v>
      </c>
      <c r="AK101" s="3490"/>
      <c r="AL101" s="3490">
        <v>81384</v>
      </c>
      <c r="AM101" s="3490"/>
      <c r="AN101" s="3490">
        <v>13208</v>
      </c>
      <c r="AO101" s="3490"/>
      <c r="AP101" s="3490">
        <v>1827</v>
      </c>
      <c r="AQ101" s="3490"/>
      <c r="AR101" s="3490"/>
      <c r="AS101" s="3490"/>
      <c r="AT101" s="3503"/>
      <c r="AU101" s="3503"/>
      <c r="AV101" s="3490">
        <v>16897</v>
      </c>
      <c r="AW101" s="3490"/>
      <c r="AX101" s="3490">
        <v>81384</v>
      </c>
      <c r="AY101" s="3490"/>
      <c r="AZ101" s="3350">
        <v>5</v>
      </c>
      <c r="BA101" s="3373">
        <v>124900000</v>
      </c>
      <c r="BB101" s="3373">
        <v>5640000</v>
      </c>
      <c r="BC101" s="3494">
        <f>BB101/BA101</f>
        <v>4.5156124899919936E-2</v>
      </c>
      <c r="BD101" s="3495" t="s">
        <v>490</v>
      </c>
      <c r="BE101" s="3498" t="s">
        <v>554</v>
      </c>
      <c r="BF101" s="3432">
        <v>42745</v>
      </c>
      <c r="BG101" s="3418">
        <v>42760</v>
      </c>
      <c r="BH101" s="3454">
        <v>42358</v>
      </c>
      <c r="BI101" s="3418">
        <v>43089</v>
      </c>
      <c r="BJ101" s="3493" t="s">
        <v>508</v>
      </c>
    </row>
    <row r="102" spans="1:880" s="1200" customFormat="1" ht="17.25" customHeight="1" x14ac:dyDescent="0.3">
      <c r="A102" s="3262"/>
      <c r="B102" s="3263"/>
      <c r="C102" s="3264"/>
      <c r="D102" s="3478"/>
      <c r="E102" s="3479"/>
      <c r="F102" s="3479"/>
      <c r="G102" s="3479"/>
      <c r="H102" s="3479"/>
      <c r="I102" s="3480"/>
      <c r="J102" s="3351"/>
      <c r="K102" s="3284"/>
      <c r="L102" s="3345"/>
      <c r="M102" s="3351"/>
      <c r="N102" s="3351"/>
      <c r="O102" s="3296"/>
      <c r="P102" s="3302"/>
      <c r="Q102" s="3284"/>
      <c r="R102" s="3485"/>
      <c r="S102" s="3487"/>
      <c r="T102" s="3284"/>
      <c r="U102" s="3411"/>
      <c r="V102" s="3411"/>
      <c r="W102" s="3354"/>
      <c r="X102" s="3374"/>
      <c r="Y102" s="3374"/>
      <c r="Z102" s="3296"/>
      <c r="AA102" s="3284"/>
      <c r="AB102" s="3491"/>
      <c r="AC102" s="3491"/>
      <c r="AD102" s="3491"/>
      <c r="AE102" s="3491"/>
      <c r="AF102" s="3491"/>
      <c r="AG102" s="3491"/>
      <c r="AH102" s="3491"/>
      <c r="AI102" s="3491"/>
      <c r="AJ102" s="3491"/>
      <c r="AK102" s="3491"/>
      <c r="AL102" s="3491"/>
      <c r="AM102" s="3491"/>
      <c r="AN102" s="3491"/>
      <c r="AO102" s="3491"/>
      <c r="AP102" s="3491"/>
      <c r="AQ102" s="3491"/>
      <c r="AR102" s="3491"/>
      <c r="AS102" s="3491"/>
      <c r="AT102" s="3504"/>
      <c r="AU102" s="3504"/>
      <c r="AV102" s="3491"/>
      <c r="AW102" s="3491"/>
      <c r="AX102" s="3491"/>
      <c r="AY102" s="3491"/>
      <c r="AZ102" s="3351"/>
      <c r="BA102" s="3374"/>
      <c r="BB102" s="3374"/>
      <c r="BC102" s="3494"/>
      <c r="BD102" s="3496"/>
      <c r="BE102" s="3499"/>
      <c r="BF102" s="3433"/>
      <c r="BG102" s="3419"/>
      <c r="BH102" s="3454"/>
      <c r="BI102" s="3419"/>
      <c r="BJ102" s="3493"/>
    </row>
    <row r="103" spans="1:880" s="1200" customFormat="1" ht="17.25" customHeight="1" x14ac:dyDescent="0.3">
      <c r="A103" s="3262"/>
      <c r="B103" s="3263"/>
      <c r="C103" s="3264"/>
      <c r="D103" s="3478"/>
      <c r="E103" s="3479"/>
      <c r="F103" s="3479"/>
      <c r="G103" s="3479"/>
      <c r="H103" s="3479"/>
      <c r="I103" s="3480"/>
      <c r="J103" s="3351"/>
      <c r="K103" s="3284"/>
      <c r="L103" s="3345"/>
      <c r="M103" s="3351"/>
      <c r="N103" s="3351"/>
      <c r="O103" s="3296"/>
      <c r="P103" s="3302"/>
      <c r="Q103" s="3284"/>
      <c r="R103" s="3485"/>
      <c r="S103" s="3487"/>
      <c r="T103" s="3284"/>
      <c r="U103" s="3411"/>
      <c r="V103" s="3411"/>
      <c r="W103" s="3354"/>
      <c r="X103" s="3374"/>
      <c r="Y103" s="3374"/>
      <c r="Z103" s="3296"/>
      <c r="AA103" s="3284"/>
      <c r="AB103" s="3491"/>
      <c r="AC103" s="3491"/>
      <c r="AD103" s="3491"/>
      <c r="AE103" s="3491"/>
      <c r="AF103" s="3491"/>
      <c r="AG103" s="3491"/>
      <c r="AH103" s="3491"/>
      <c r="AI103" s="3491"/>
      <c r="AJ103" s="3491"/>
      <c r="AK103" s="3491"/>
      <c r="AL103" s="3491"/>
      <c r="AM103" s="3491"/>
      <c r="AN103" s="3491"/>
      <c r="AO103" s="3491"/>
      <c r="AP103" s="3491"/>
      <c r="AQ103" s="3491"/>
      <c r="AR103" s="3491"/>
      <c r="AS103" s="3491"/>
      <c r="AT103" s="3504"/>
      <c r="AU103" s="3504"/>
      <c r="AV103" s="3491"/>
      <c r="AW103" s="3491"/>
      <c r="AX103" s="3491"/>
      <c r="AY103" s="3491"/>
      <c r="AZ103" s="3351"/>
      <c r="BA103" s="3374"/>
      <c r="BB103" s="3374"/>
      <c r="BC103" s="3494"/>
      <c r="BD103" s="3496"/>
      <c r="BE103" s="3499"/>
      <c r="BF103" s="3433"/>
      <c r="BG103" s="3419"/>
      <c r="BH103" s="3454"/>
      <c r="BI103" s="3419"/>
      <c r="BJ103" s="3493"/>
    </row>
    <row r="104" spans="1:880" s="1200" customFormat="1" ht="17.25" customHeight="1" x14ac:dyDescent="0.3">
      <c r="A104" s="3262"/>
      <c r="B104" s="3263"/>
      <c r="C104" s="3264"/>
      <c r="D104" s="3478"/>
      <c r="E104" s="3479"/>
      <c r="F104" s="3479"/>
      <c r="G104" s="3479"/>
      <c r="H104" s="3479"/>
      <c r="I104" s="3480"/>
      <c r="J104" s="3351"/>
      <c r="K104" s="3284"/>
      <c r="L104" s="3345"/>
      <c r="M104" s="3351"/>
      <c r="N104" s="3351"/>
      <c r="O104" s="3296"/>
      <c r="P104" s="3302"/>
      <c r="Q104" s="3284"/>
      <c r="R104" s="3485"/>
      <c r="S104" s="3487"/>
      <c r="T104" s="3284"/>
      <c r="U104" s="3411"/>
      <c r="V104" s="3411"/>
      <c r="W104" s="3354"/>
      <c r="X104" s="3374"/>
      <c r="Y104" s="3374"/>
      <c r="Z104" s="3296"/>
      <c r="AA104" s="3284"/>
      <c r="AB104" s="3491"/>
      <c r="AC104" s="3491"/>
      <c r="AD104" s="3491"/>
      <c r="AE104" s="3491"/>
      <c r="AF104" s="3491"/>
      <c r="AG104" s="3491"/>
      <c r="AH104" s="3491"/>
      <c r="AI104" s="3491"/>
      <c r="AJ104" s="3491"/>
      <c r="AK104" s="3491"/>
      <c r="AL104" s="3491"/>
      <c r="AM104" s="3491"/>
      <c r="AN104" s="3491"/>
      <c r="AO104" s="3491"/>
      <c r="AP104" s="3491"/>
      <c r="AQ104" s="3491"/>
      <c r="AR104" s="3491"/>
      <c r="AS104" s="3491"/>
      <c r="AT104" s="3504"/>
      <c r="AU104" s="3504"/>
      <c r="AV104" s="3491"/>
      <c r="AW104" s="3491"/>
      <c r="AX104" s="3491"/>
      <c r="AY104" s="3491"/>
      <c r="AZ104" s="3351"/>
      <c r="BA104" s="3374"/>
      <c r="BB104" s="3374"/>
      <c r="BC104" s="3494"/>
      <c r="BD104" s="3496"/>
      <c r="BE104" s="3499"/>
      <c r="BF104" s="3433"/>
      <c r="BG104" s="3419"/>
      <c r="BH104" s="3454"/>
      <c r="BI104" s="3419"/>
      <c r="BJ104" s="3493"/>
    </row>
    <row r="105" spans="1:880" s="1200" customFormat="1" ht="17.25" customHeight="1" x14ac:dyDescent="0.3">
      <c r="A105" s="3262"/>
      <c r="B105" s="3263"/>
      <c r="C105" s="3264"/>
      <c r="D105" s="3478"/>
      <c r="E105" s="3479"/>
      <c r="F105" s="3479"/>
      <c r="G105" s="3479"/>
      <c r="H105" s="3479"/>
      <c r="I105" s="3480"/>
      <c r="J105" s="3351"/>
      <c r="K105" s="3284"/>
      <c r="L105" s="3345"/>
      <c r="M105" s="3351"/>
      <c r="N105" s="3351"/>
      <c r="O105" s="3296"/>
      <c r="P105" s="3302"/>
      <c r="Q105" s="3284"/>
      <c r="R105" s="3485"/>
      <c r="S105" s="3487"/>
      <c r="T105" s="3284"/>
      <c r="U105" s="3411"/>
      <c r="V105" s="3411"/>
      <c r="W105" s="3354"/>
      <c r="X105" s="3374"/>
      <c r="Y105" s="3374"/>
      <c r="Z105" s="3296"/>
      <c r="AA105" s="3284"/>
      <c r="AB105" s="3491"/>
      <c r="AC105" s="3491"/>
      <c r="AD105" s="3491"/>
      <c r="AE105" s="3491"/>
      <c r="AF105" s="3491"/>
      <c r="AG105" s="3491"/>
      <c r="AH105" s="3491"/>
      <c r="AI105" s="3491"/>
      <c r="AJ105" s="3491"/>
      <c r="AK105" s="3491"/>
      <c r="AL105" s="3491"/>
      <c r="AM105" s="3491"/>
      <c r="AN105" s="3491"/>
      <c r="AO105" s="3491"/>
      <c r="AP105" s="3491"/>
      <c r="AQ105" s="3491"/>
      <c r="AR105" s="3491"/>
      <c r="AS105" s="3491"/>
      <c r="AT105" s="3504"/>
      <c r="AU105" s="3504"/>
      <c r="AV105" s="3491"/>
      <c r="AW105" s="3491"/>
      <c r="AX105" s="3491"/>
      <c r="AY105" s="3491"/>
      <c r="AZ105" s="3351"/>
      <c r="BA105" s="3374"/>
      <c r="BB105" s="3374"/>
      <c r="BC105" s="3494"/>
      <c r="BD105" s="3496"/>
      <c r="BE105" s="3499"/>
      <c r="BF105" s="3433"/>
      <c r="BG105" s="3419"/>
      <c r="BH105" s="3454"/>
      <c r="BI105" s="3419"/>
      <c r="BJ105" s="3493"/>
    </row>
    <row r="106" spans="1:880" s="1200" customFormat="1" ht="17.25" customHeight="1" x14ac:dyDescent="0.3">
      <c r="A106" s="3262"/>
      <c r="B106" s="3263"/>
      <c r="C106" s="3264"/>
      <c r="D106" s="3478"/>
      <c r="E106" s="3479"/>
      <c r="F106" s="3479"/>
      <c r="G106" s="3479"/>
      <c r="H106" s="3479"/>
      <c r="I106" s="3480"/>
      <c r="J106" s="3352"/>
      <c r="K106" s="3285"/>
      <c r="L106" s="3346"/>
      <c r="M106" s="3352"/>
      <c r="N106" s="3352"/>
      <c r="O106" s="3296"/>
      <c r="P106" s="3302"/>
      <c r="Q106" s="3284"/>
      <c r="R106" s="3486"/>
      <c r="S106" s="3487"/>
      <c r="T106" s="3284"/>
      <c r="U106" s="3411"/>
      <c r="V106" s="3412"/>
      <c r="W106" s="3355"/>
      <c r="X106" s="3375"/>
      <c r="Y106" s="3375"/>
      <c r="Z106" s="3296"/>
      <c r="AA106" s="3284"/>
      <c r="AB106" s="3491"/>
      <c r="AC106" s="3491"/>
      <c r="AD106" s="3491"/>
      <c r="AE106" s="3491"/>
      <c r="AF106" s="3491"/>
      <c r="AG106" s="3491"/>
      <c r="AH106" s="3491"/>
      <c r="AI106" s="3491"/>
      <c r="AJ106" s="3491"/>
      <c r="AK106" s="3491"/>
      <c r="AL106" s="3491"/>
      <c r="AM106" s="3491"/>
      <c r="AN106" s="3491"/>
      <c r="AO106" s="3491"/>
      <c r="AP106" s="3491"/>
      <c r="AQ106" s="3491"/>
      <c r="AR106" s="3491"/>
      <c r="AS106" s="3491"/>
      <c r="AT106" s="3504"/>
      <c r="AU106" s="3504"/>
      <c r="AV106" s="3491"/>
      <c r="AW106" s="3491"/>
      <c r="AX106" s="3491"/>
      <c r="AY106" s="3491"/>
      <c r="AZ106" s="3352"/>
      <c r="BA106" s="3375"/>
      <c r="BB106" s="3375"/>
      <c r="BC106" s="3494"/>
      <c r="BD106" s="3496"/>
      <c r="BE106" s="3499"/>
      <c r="BF106" s="3434"/>
      <c r="BG106" s="3420"/>
      <c r="BH106" s="3454"/>
      <c r="BI106" s="3420"/>
      <c r="BJ106" s="3493"/>
      <c r="QL106" s="1231"/>
      <c r="QM106" s="1231"/>
      <c r="QN106" s="1231"/>
      <c r="QO106" s="1231"/>
      <c r="QP106" s="1231"/>
      <c r="QQ106" s="1231"/>
      <c r="QR106" s="1231"/>
      <c r="QS106" s="1231"/>
      <c r="QT106" s="1231"/>
      <c r="QU106" s="1231"/>
      <c r="QV106" s="1231"/>
      <c r="QW106" s="1231"/>
      <c r="QX106" s="1231"/>
      <c r="QY106" s="1231"/>
      <c r="QZ106" s="1231"/>
      <c r="RA106" s="1231"/>
      <c r="RB106" s="1231"/>
      <c r="RC106" s="1231"/>
      <c r="RD106" s="1231"/>
      <c r="RE106" s="1231"/>
      <c r="RF106" s="1231"/>
      <c r="RG106" s="1231"/>
      <c r="RH106" s="1231"/>
      <c r="RI106" s="1231"/>
      <c r="RJ106" s="1231"/>
      <c r="RK106" s="1231"/>
      <c r="RL106" s="1231"/>
      <c r="RM106" s="1231"/>
      <c r="RN106" s="1231"/>
      <c r="RO106" s="1231"/>
      <c r="RP106" s="1231"/>
      <c r="RQ106" s="1231"/>
      <c r="RR106" s="1231"/>
      <c r="RS106" s="1231"/>
      <c r="RT106" s="1231"/>
      <c r="RU106" s="1231"/>
      <c r="RV106" s="1231"/>
      <c r="RW106" s="1231"/>
      <c r="RX106" s="1231"/>
      <c r="RY106" s="1231"/>
      <c r="RZ106" s="1231"/>
      <c r="SA106" s="1231"/>
      <c r="SB106" s="1231"/>
      <c r="SC106" s="1231"/>
      <c r="SD106" s="1231"/>
      <c r="SE106" s="1231"/>
      <c r="SF106" s="1231"/>
      <c r="SG106" s="1231"/>
      <c r="SH106" s="1231"/>
      <c r="SI106" s="1231"/>
      <c r="SJ106" s="1231"/>
      <c r="SK106" s="1231"/>
      <c r="SL106" s="1231"/>
      <c r="SM106" s="1231"/>
    </row>
    <row r="107" spans="1:880" s="1200" customFormat="1" ht="17.25" customHeight="1" x14ac:dyDescent="0.3">
      <c r="A107" s="3262"/>
      <c r="B107" s="3263"/>
      <c r="C107" s="3264"/>
      <c r="D107" s="3478"/>
      <c r="E107" s="3479"/>
      <c r="F107" s="3479"/>
      <c r="G107" s="3479"/>
      <c r="H107" s="3479"/>
      <c r="I107" s="3480"/>
      <c r="J107" s="3350">
        <v>51</v>
      </c>
      <c r="K107" s="3283" t="s">
        <v>555</v>
      </c>
      <c r="L107" s="3344" t="s">
        <v>18</v>
      </c>
      <c r="M107" s="3350">
        <v>1</v>
      </c>
      <c r="N107" s="3350">
        <v>0</v>
      </c>
      <c r="O107" s="3296"/>
      <c r="P107" s="3302"/>
      <c r="Q107" s="3284"/>
      <c r="R107" s="3484">
        <f>+S107/298240000</f>
        <v>0.30177038626609443</v>
      </c>
      <c r="S107" s="3353">
        <v>90000000</v>
      </c>
      <c r="T107" s="3284"/>
      <c r="U107" s="3411"/>
      <c r="V107" s="3410" t="s">
        <v>556</v>
      </c>
      <c r="W107" s="3353">
        <f>60000000+30000000</f>
        <v>90000000</v>
      </c>
      <c r="X107" s="3373">
        <v>13200000</v>
      </c>
      <c r="Y107" s="3373">
        <v>2640000</v>
      </c>
      <c r="Z107" s="3296"/>
      <c r="AA107" s="3284"/>
      <c r="AB107" s="3491"/>
      <c r="AC107" s="3491"/>
      <c r="AD107" s="3491"/>
      <c r="AE107" s="3491"/>
      <c r="AF107" s="3491"/>
      <c r="AG107" s="3491"/>
      <c r="AH107" s="3491"/>
      <c r="AI107" s="3491"/>
      <c r="AJ107" s="3491"/>
      <c r="AK107" s="3491"/>
      <c r="AL107" s="3491"/>
      <c r="AM107" s="3491"/>
      <c r="AN107" s="3491"/>
      <c r="AO107" s="3491"/>
      <c r="AP107" s="3491"/>
      <c r="AQ107" s="3491"/>
      <c r="AR107" s="3491"/>
      <c r="AS107" s="3491"/>
      <c r="AT107" s="3504"/>
      <c r="AU107" s="3504"/>
      <c r="AV107" s="3491"/>
      <c r="AW107" s="3491"/>
      <c r="AX107" s="3491"/>
      <c r="AY107" s="3491"/>
      <c r="AZ107" s="3350">
        <v>1</v>
      </c>
      <c r="BA107" s="3373">
        <v>13200000</v>
      </c>
      <c r="BB107" s="3373">
        <v>2640000</v>
      </c>
      <c r="BC107" s="3501">
        <f>BB107/BA107</f>
        <v>0.2</v>
      </c>
      <c r="BD107" s="3496"/>
      <c r="BE107" s="3499"/>
      <c r="BF107" s="3432">
        <v>42745</v>
      </c>
      <c r="BG107" s="3418">
        <v>42780</v>
      </c>
      <c r="BH107" s="3454">
        <v>42358</v>
      </c>
      <c r="BI107" s="3418">
        <v>42930</v>
      </c>
      <c r="BJ107" s="3493"/>
      <c r="QL107" s="1231"/>
      <c r="QM107" s="1231"/>
      <c r="QN107" s="1231"/>
      <c r="QO107" s="1231"/>
      <c r="QP107" s="1231"/>
      <c r="QQ107" s="1231"/>
      <c r="QR107" s="1231"/>
      <c r="QS107" s="1231"/>
      <c r="QT107" s="1231"/>
      <c r="QU107" s="1231"/>
      <c r="QV107" s="1231"/>
      <c r="QW107" s="1231"/>
      <c r="QX107" s="1231"/>
      <c r="QY107" s="1231"/>
      <c r="QZ107" s="1231"/>
      <c r="RA107" s="1231"/>
      <c r="RB107" s="1231"/>
      <c r="RC107" s="1231"/>
      <c r="RD107" s="1231"/>
      <c r="RE107" s="1231"/>
      <c r="RF107" s="1231"/>
      <c r="RG107" s="1231"/>
      <c r="RH107" s="1231"/>
      <c r="RI107" s="1231"/>
      <c r="RJ107" s="1231"/>
      <c r="RK107" s="1231"/>
      <c r="RL107" s="1231"/>
      <c r="RM107" s="1231"/>
      <c r="RN107" s="1231"/>
      <c r="RO107" s="1231"/>
      <c r="RP107" s="1231"/>
      <c r="RQ107" s="1231"/>
      <c r="RR107" s="1231"/>
      <c r="RS107" s="1231"/>
      <c r="RT107" s="1231"/>
      <c r="RU107" s="1231"/>
      <c r="RV107" s="1231"/>
      <c r="RW107" s="1231"/>
      <c r="RX107" s="1231"/>
      <c r="RY107" s="1231"/>
      <c r="RZ107" s="1231"/>
      <c r="SA107" s="1231"/>
      <c r="SB107" s="1231"/>
      <c r="SC107" s="1231"/>
      <c r="SD107" s="1231"/>
      <c r="SE107" s="1231"/>
      <c r="SF107" s="1231"/>
      <c r="SG107" s="1231"/>
      <c r="SH107" s="1231"/>
      <c r="SI107" s="1231"/>
      <c r="SJ107" s="1231"/>
      <c r="SK107" s="1231"/>
      <c r="SL107" s="1231"/>
      <c r="SM107" s="1231"/>
    </row>
    <row r="108" spans="1:880" s="1200" customFormat="1" ht="45.75" customHeight="1" x14ac:dyDescent="0.3">
      <c r="A108" s="3262"/>
      <c r="B108" s="3263"/>
      <c r="C108" s="3264"/>
      <c r="D108" s="3478"/>
      <c r="E108" s="3479"/>
      <c r="F108" s="3479"/>
      <c r="G108" s="3479"/>
      <c r="H108" s="3479"/>
      <c r="I108" s="3480"/>
      <c r="J108" s="3352"/>
      <c r="K108" s="3285"/>
      <c r="L108" s="3346"/>
      <c r="M108" s="3352"/>
      <c r="N108" s="3352"/>
      <c r="O108" s="3297"/>
      <c r="P108" s="3303"/>
      <c r="Q108" s="3285"/>
      <c r="R108" s="3486"/>
      <c r="S108" s="3355"/>
      <c r="T108" s="3285"/>
      <c r="U108" s="3412"/>
      <c r="V108" s="3412"/>
      <c r="W108" s="3355"/>
      <c r="X108" s="3375"/>
      <c r="Y108" s="3375"/>
      <c r="Z108" s="3297"/>
      <c r="AA108" s="3285"/>
      <c r="AB108" s="3492"/>
      <c r="AC108" s="3492"/>
      <c r="AD108" s="3492"/>
      <c r="AE108" s="3492"/>
      <c r="AF108" s="3492"/>
      <c r="AG108" s="3492"/>
      <c r="AH108" s="3492"/>
      <c r="AI108" s="3492"/>
      <c r="AJ108" s="3492"/>
      <c r="AK108" s="3492"/>
      <c r="AL108" s="3492"/>
      <c r="AM108" s="3492"/>
      <c r="AN108" s="3492"/>
      <c r="AO108" s="3492"/>
      <c r="AP108" s="3492"/>
      <c r="AQ108" s="3492"/>
      <c r="AR108" s="3492"/>
      <c r="AS108" s="3492"/>
      <c r="AT108" s="3505"/>
      <c r="AU108" s="3505"/>
      <c r="AV108" s="3492"/>
      <c r="AW108" s="3492"/>
      <c r="AX108" s="3492"/>
      <c r="AY108" s="3492"/>
      <c r="AZ108" s="3352"/>
      <c r="BA108" s="3375"/>
      <c r="BB108" s="3375"/>
      <c r="BC108" s="3502"/>
      <c r="BD108" s="3497"/>
      <c r="BE108" s="3500"/>
      <c r="BF108" s="3434"/>
      <c r="BG108" s="3420"/>
      <c r="BH108" s="3454"/>
      <c r="BI108" s="3420"/>
      <c r="BJ108" s="3493"/>
      <c r="QL108" s="1231"/>
      <c r="QM108" s="1231"/>
      <c r="QN108" s="1231"/>
      <c r="QO108" s="1231"/>
      <c r="QP108" s="1231"/>
      <c r="QQ108" s="1231"/>
      <c r="QR108" s="1231"/>
      <c r="QS108" s="1231"/>
      <c r="QT108" s="1231"/>
      <c r="QU108" s="1231"/>
      <c r="QV108" s="1231"/>
      <c r="QW108" s="1231"/>
      <c r="QX108" s="1231"/>
      <c r="QY108" s="1231"/>
      <c r="QZ108" s="1231"/>
      <c r="RA108" s="1231"/>
      <c r="RB108" s="1231"/>
      <c r="RC108" s="1231"/>
      <c r="RD108" s="1231"/>
      <c r="RE108" s="1231"/>
      <c r="RF108" s="1231"/>
      <c r="RG108" s="1231"/>
      <c r="RH108" s="1231"/>
      <c r="RI108" s="1231"/>
      <c r="RJ108" s="1231"/>
      <c r="RK108" s="1231"/>
      <c r="RL108" s="1231"/>
      <c r="RM108" s="1231"/>
      <c r="RN108" s="1231"/>
      <c r="RO108" s="1231"/>
      <c r="RP108" s="1231"/>
      <c r="RQ108" s="1231"/>
      <c r="RR108" s="1231"/>
      <c r="RS108" s="1231"/>
      <c r="RT108" s="1231"/>
      <c r="RU108" s="1231"/>
      <c r="RV108" s="1231"/>
      <c r="RW108" s="1231"/>
      <c r="RX108" s="1231"/>
      <c r="RY108" s="1231"/>
      <c r="RZ108" s="1231"/>
      <c r="SA108" s="1231"/>
      <c r="SB108" s="1231"/>
      <c r="SC108" s="1231"/>
      <c r="SD108" s="1231"/>
      <c r="SE108" s="1231"/>
      <c r="SF108" s="1231"/>
      <c r="SG108" s="1231"/>
      <c r="SH108" s="1231"/>
      <c r="SI108" s="1231"/>
      <c r="SJ108" s="1231"/>
      <c r="SK108" s="1231"/>
      <c r="SL108" s="1231"/>
      <c r="SM108" s="1231"/>
    </row>
    <row r="109" spans="1:880" s="1200" customFormat="1" ht="17.25" customHeight="1" x14ac:dyDescent="0.3">
      <c r="A109" s="3262"/>
      <c r="B109" s="3263"/>
      <c r="C109" s="3264"/>
      <c r="D109" s="3478"/>
      <c r="E109" s="3479"/>
      <c r="F109" s="3479"/>
      <c r="G109" s="3479"/>
      <c r="H109" s="3479"/>
      <c r="I109" s="3480"/>
      <c r="J109" s="3274">
        <v>12</v>
      </c>
      <c r="K109" s="3276" t="s">
        <v>557</v>
      </c>
      <c r="L109" s="3277"/>
      <c r="M109" s="3277"/>
      <c r="N109" s="3277"/>
      <c r="O109" s="1205"/>
      <c r="P109" s="1205"/>
      <c r="Q109" s="1205"/>
      <c r="R109" s="1205"/>
      <c r="S109" s="1206"/>
      <c r="T109" s="1207"/>
      <c r="U109" s="1207"/>
      <c r="V109" s="1207"/>
      <c r="W109" s="1206"/>
      <c r="X109" s="1206"/>
      <c r="Y109" s="1206"/>
      <c r="Z109" s="1205"/>
      <c r="AA109" s="1207"/>
      <c r="AB109" s="1205"/>
      <c r="AC109" s="1205"/>
      <c r="AD109" s="1205"/>
      <c r="AE109" s="1205"/>
      <c r="AF109" s="1205"/>
      <c r="AG109" s="1205"/>
      <c r="AH109" s="1205"/>
      <c r="AI109" s="1205"/>
      <c r="AJ109" s="1205"/>
      <c r="AK109" s="1205"/>
      <c r="AL109" s="1205"/>
      <c r="AM109" s="1205"/>
      <c r="AN109" s="1205"/>
      <c r="AO109" s="1205"/>
      <c r="AP109" s="1205"/>
      <c r="AQ109" s="1205"/>
      <c r="AR109" s="1205"/>
      <c r="AS109" s="1205"/>
      <c r="AT109" s="1205"/>
      <c r="AU109" s="1205"/>
      <c r="AV109" s="1205"/>
      <c r="AW109" s="1205"/>
      <c r="AX109" s="1205"/>
      <c r="AY109" s="1205"/>
      <c r="AZ109" s="1205"/>
      <c r="BA109" s="1208"/>
      <c r="BB109" s="1208"/>
      <c r="BC109" s="1205"/>
      <c r="BD109" s="1207"/>
      <c r="BE109" s="1207"/>
      <c r="BF109" s="3388"/>
      <c r="BG109" s="3388"/>
      <c r="BH109" s="3388"/>
      <c r="BI109" s="3388"/>
      <c r="BJ109" s="3390"/>
      <c r="QL109" s="1231"/>
      <c r="QM109" s="1231"/>
      <c r="QN109" s="1231"/>
      <c r="QO109" s="1231"/>
      <c r="QP109" s="1231"/>
      <c r="QQ109" s="1231"/>
      <c r="QR109" s="1231"/>
      <c r="QS109" s="1231"/>
      <c r="QT109" s="1231"/>
      <c r="QU109" s="1231"/>
      <c r="QV109" s="1231"/>
      <c r="QW109" s="1231"/>
      <c r="QX109" s="1231"/>
      <c r="QY109" s="1231"/>
      <c r="QZ109" s="1231"/>
      <c r="RA109" s="1231"/>
      <c r="RB109" s="1231"/>
      <c r="RC109" s="1231"/>
      <c r="RD109" s="1231"/>
      <c r="RE109" s="1231"/>
      <c r="RF109" s="1231"/>
      <c r="RG109" s="1231"/>
      <c r="RH109" s="1231"/>
      <c r="RI109" s="1231"/>
      <c r="RJ109" s="1231"/>
      <c r="RK109" s="1231"/>
      <c r="RL109" s="1231"/>
      <c r="RM109" s="1231"/>
      <c r="RN109" s="1231"/>
      <c r="RO109" s="1231"/>
      <c r="RP109" s="1231"/>
      <c r="RQ109" s="1231"/>
      <c r="RR109" s="1231"/>
      <c r="RS109" s="1231"/>
      <c r="RT109" s="1231"/>
      <c r="RU109" s="1231"/>
      <c r="RV109" s="1231"/>
      <c r="RW109" s="1231"/>
      <c r="RX109" s="1231"/>
      <c r="RY109" s="1231"/>
      <c r="RZ109" s="1231"/>
      <c r="SA109" s="1231"/>
      <c r="SB109" s="1231"/>
      <c r="SC109" s="1231"/>
      <c r="SD109" s="1231"/>
      <c r="SE109" s="1231"/>
      <c r="SF109" s="1231"/>
      <c r="SG109" s="1231"/>
      <c r="SH109" s="1231"/>
      <c r="SI109" s="1231"/>
      <c r="SJ109" s="1231"/>
      <c r="SK109" s="1231"/>
      <c r="SL109" s="1231"/>
      <c r="SM109" s="1231"/>
    </row>
    <row r="110" spans="1:880" s="1200" customFormat="1" ht="17.25" customHeight="1" x14ac:dyDescent="0.3">
      <c r="A110" s="3262"/>
      <c r="B110" s="3263"/>
      <c r="C110" s="3264"/>
      <c r="D110" s="3478"/>
      <c r="E110" s="3479"/>
      <c r="F110" s="3479"/>
      <c r="G110" s="3479"/>
      <c r="H110" s="3479"/>
      <c r="I110" s="3480"/>
      <c r="J110" s="3275"/>
      <c r="K110" s="3278"/>
      <c r="L110" s="3279"/>
      <c r="M110" s="3279"/>
      <c r="N110" s="3279"/>
      <c r="O110" s="1209"/>
      <c r="P110" s="1209"/>
      <c r="Q110" s="1209"/>
      <c r="R110" s="1209"/>
      <c r="S110" s="1210"/>
      <c r="T110" s="1211"/>
      <c r="U110" s="1211"/>
      <c r="V110" s="1211"/>
      <c r="W110" s="1210"/>
      <c r="X110" s="1210"/>
      <c r="Y110" s="1210"/>
      <c r="Z110" s="1209"/>
      <c r="AA110" s="1211"/>
      <c r="AB110" s="1209"/>
      <c r="AC110" s="1209"/>
      <c r="AD110" s="1209"/>
      <c r="AE110" s="1209"/>
      <c r="AF110" s="1209"/>
      <c r="AG110" s="1209"/>
      <c r="AH110" s="1209"/>
      <c r="AI110" s="1209"/>
      <c r="AJ110" s="1209"/>
      <c r="AK110" s="1209"/>
      <c r="AL110" s="1209"/>
      <c r="AM110" s="1209"/>
      <c r="AN110" s="1209"/>
      <c r="AO110" s="1209"/>
      <c r="AP110" s="1209"/>
      <c r="AQ110" s="1209"/>
      <c r="AR110" s="1209"/>
      <c r="AS110" s="1209"/>
      <c r="AT110" s="1209"/>
      <c r="AU110" s="1209"/>
      <c r="AV110" s="1209"/>
      <c r="AW110" s="1209"/>
      <c r="AX110" s="1209"/>
      <c r="AY110" s="1209"/>
      <c r="AZ110" s="1209"/>
      <c r="BA110" s="1212"/>
      <c r="BB110" s="1212"/>
      <c r="BC110" s="1209"/>
      <c r="BD110" s="1211"/>
      <c r="BE110" s="1211"/>
      <c r="BF110" s="3389"/>
      <c r="BG110" s="3389"/>
      <c r="BH110" s="3389"/>
      <c r="BI110" s="3389"/>
      <c r="BJ110" s="3391"/>
      <c r="QL110" s="1231"/>
      <c r="QM110" s="1231"/>
      <c r="QN110" s="1231"/>
      <c r="QO110" s="1231"/>
      <c r="QP110" s="1231"/>
      <c r="QQ110" s="1231"/>
      <c r="QR110" s="1231"/>
      <c r="QS110" s="1231"/>
      <c r="QT110" s="1231"/>
      <c r="QU110" s="1231"/>
      <c r="QV110" s="1231"/>
      <c r="QW110" s="1231"/>
      <c r="QX110" s="1231"/>
      <c r="QY110" s="1231"/>
      <c r="QZ110" s="1231"/>
      <c r="RA110" s="1231"/>
      <c r="RB110" s="1231"/>
      <c r="RC110" s="1231"/>
      <c r="RD110" s="1231"/>
      <c r="RE110" s="1231"/>
      <c r="RF110" s="1231"/>
      <c r="RG110" s="1231"/>
      <c r="RH110" s="1231"/>
      <c r="RI110" s="1231"/>
      <c r="RJ110" s="1231"/>
      <c r="RK110" s="1231"/>
      <c r="RL110" s="1231"/>
      <c r="RM110" s="1231"/>
      <c r="RN110" s="1231"/>
      <c r="RO110" s="1231"/>
      <c r="RP110" s="1231"/>
      <c r="RQ110" s="1231"/>
      <c r="RR110" s="1231"/>
      <c r="RS110" s="1231"/>
      <c r="RT110" s="1231"/>
      <c r="RU110" s="1231"/>
      <c r="RV110" s="1231"/>
      <c r="RW110" s="1231"/>
      <c r="RX110" s="1231"/>
      <c r="RY110" s="1231"/>
      <c r="RZ110" s="1231"/>
      <c r="SA110" s="1231"/>
      <c r="SB110" s="1231"/>
      <c r="SC110" s="1231"/>
      <c r="SD110" s="1231"/>
      <c r="SE110" s="1231"/>
      <c r="SF110" s="1231"/>
      <c r="SG110" s="1231"/>
      <c r="SH110" s="1231"/>
      <c r="SI110" s="1231"/>
      <c r="SJ110" s="1231"/>
      <c r="SK110" s="1231"/>
      <c r="SL110" s="1231"/>
      <c r="SM110" s="1231"/>
    </row>
    <row r="111" spans="1:880" s="1200" customFormat="1" ht="17.25" customHeight="1" x14ac:dyDescent="0.3">
      <c r="A111" s="3262"/>
      <c r="B111" s="3263"/>
      <c r="C111" s="3264"/>
      <c r="D111" s="3478"/>
      <c r="E111" s="3479"/>
      <c r="F111" s="3479"/>
      <c r="G111" s="3479"/>
      <c r="H111" s="3479"/>
      <c r="I111" s="3480"/>
      <c r="J111" s="3350">
        <v>52</v>
      </c>
      <c r="K111" s="3283" t="s">
        <v>558</v>
      </c>
      <c r="L111" s="3344" t="s">
        <v>18</v>
      </c>
      <c r="M111" s="3350">
        <v>3</v>
      </c>
      <c r="N111" s="3350">
        <v>1</v>
      </c>
      <c r="O111" s="3295" t="s">
        <v>559</v>
      </c>
      <c r="P111" s="3301" t="s">
        <v>560</v>
      </c>
      <c r="Q111" s="3283" t="s">
        <v>561</v>
      </c>
      <c r="R111" s="3484">
        <f>+S111/245080000</f>
        <v>1</v>
      </c>
      <c r="S111" s="3373">
        <f>SUM(W111:W123)</f>
        <v>245080000</v>
      </c>
      <c r="T111" s="3283" t="s">
        <v>562</v>
      </c>
      <c r="U111" s="3283" t="s">
        <v>563</v>
      </c>
      <c r="V111" s="3283" t="s">
        <v>564</v>
      </c>
      <c r="W111" s="3353">
        <f>30000000+79400000</f>
        <v>109400000</v>
      </c>
      <c r="X111" s="3373">
        <v>6600000</v>
      </c>
      <c r="Y111" s="3373">
        <v>2640000</v>
      </c>
      <c r="Z111" s="3295" t="s">
        <v>489</v>
      </c>
      <c r="AA111" s="3283" t="s">
        <v>490</v>
      </c>
      <c r="AB111" s="3490">
        <v>64149</v>
      </c>
      <c r="AC111" s="3490"/>
      <c r="AD111" s="3490">
        <v>72224</v>
      </c>
      <c r="AE111" s="3490"/>
      <c r="AF111" s="3490">
        <v>27477</v>
      </c>
      <c r="AG111" s="3490"/>
      <c r="AH111" s="3490">
        <v>86843</v>
      </c>
      <c r="AI111" s="3490"/>
      <c r="AJ111" s="3490">
        <v>236429</v>
      </c>
      <c r="AK111" s="3490"/>
      <c r="AL111" s="3490">
        <v>81384</v>
      </c>
      <c r="AM111" s="3490"/>
      <c r="AN111" s="3490">
        <v>13208</v>
      </c>
      <c r="AO111" s="3490"/>
      <c r="AP111" s="3490">
        <v>1827</v>
      </c>
      <c r="AQ111" s="3490"/>
      <c r="AR111" s="3490"/>
      <c r="AS111" s="3490"/>
      <c r="AT111" s="3490"/>
      <c r="AU111" s="3490"/>
      <c r="AV111" s="3490">
        <v>16897</v>
      </c>
      <c r="AW111" s="3490"/>
      <c r="AX111" s="3490">
        <v>81384</v>
      </c>
      <c r="AY111" s="3319"/>
      <c r="AZ111" s="3322">
        <v>6</v>
      </c>
      <c r="BA111" s="3376">
        <v>81140000</v>
      </c>
      <c r="BB111" s="3376">
        <v>10820000</v>
      </c>
      <c r="BC111" s="3357">
        <f>BB111/BA111</f>
        <v>0.13334976583682523</v>
      </c>
      <c r="BD111" s="3379" t="s">
        <v>490</v>
      </c>
      <c r="BE111" s="3382" t="s">
        <v>554</v>
      </c>
      <c r="BF111" s="3432">
        <v>42745</v>
      </c>
      <c r="BG111" s="3418">
        <v>42776</v>
      </c>
      <c r="BH111" s="3454">
        <v>43094</v>
      </c>
      <c r="BI111" s="3418">
        <v>42788</v>
      </c>
      <c r="BJ111" s="3506" t="s">
        <v>508</v>
      </c>
      <c r="QL111" s="1231"/>
      <c r="QM111" s="1231"/>
      <c r="QN111" s="1231"/>
      <c r="QO111" s="1231"/>
      <c r="QP111" s="1231"/>
      <c r="QQ111" s="1231"/>
      <c r="QR111" s="1231"/>
      <c r="QS111" s="1231"/>
      <c r="QT111" s="1231"/>
      <c r="QU111" s="1231"/>
      <c r="QV111" s="1231"/>
      <c r="QW111" s="1231"/>
      <c r="QX111" s="1231"/>
      <c r="QY111" s="1231"/>
      <c r="QZ111" s="1231"/>
      <c r="RA111" s="1231"/>
      <c r="RB111" s="1231"/>
      <c r="RC111" s="1231"/>
      <c r="RD111" s="1231"/>
      <c r="RE111" s="1231"/>
      <c r="RF111" s="1231"/>
      <c r="RG111" s="1231"/>
      <c r="RH111" s="1231"/>
      <c r="RI111" s="1231"/>
      <c r="RJ111" s="1231"/>
      <c r="RK111" s="1231"/>
      <c r="RL111" s="1231"/>
      <c r="RM111" s="1231"/>
      <c r="RN111" s="1231"/>
      <c r="RO111" s="1231"/>
      <c r="RP111" s="1231"/>
      <c r="RQ111" s="1231"/>
      <c r="RR111" s="1231"/>
      <c r="RS111" s="1231"/>
      <c r="RT111" s="1231"/>
      <c r="RU111" s="1231"/>
      <c r="RV111" s="1231"/>
      <c r="RW111" s="1231"/>
      <c r="RX111" s="1231"/>
      <c r="RY111" s="1231"/>
      <c r="RZ111" s="1231"/>
      <c r="SA111" s="1231"/>
      <c r="SB111" s="1231"/>
      <c r="SC111" s="1231"/>
      <c r="SD111" s="1231"/>
      <c r="SE111" s="1231"/>
      <c r="SF111" s="1231"/>
      <c r="SG111" s="1231"/>
      <c r="SH111" s="1231"/>
      <c r="SI111" s="1231"/>
      <c r="SJ111" s="1231"/>
      <c r="SK111" s="1231"/>
      <c r="SL111" s="1231"/>
      <c r="SM111" s="1231"/>
    </row>
    <row r="112" spans="1:880" s="1200" customFormat="1" ht="17.25" customHeight="1" x14ac:dyDescent="0.3">
      <c r="A112" s="3262"/>
      <c r="B112" s="3263"/>
      <c r="C112" s="3264"/>
      <c r="D112" s="3478"/>
      <c r="E112" s="3479"/>
      <c r="F112" s="3479"/>
      <c r="G112" s="3479"/>
      <c r="H112" s="3479"/>
      <c r="I112" s="3480"/>
      <c r="J112" s="3351"/>
      <c r="K112" s="3284"/>
      <c r="L112" s="3345"/>
      <c r="M112" s="3351"/>
      <c r="N112" s="3351"/>
      <c r="O112" s="3296"/>
      <c r="P112" s="3302"/>
      <c r="Q112" s="3284"/>
      <c r="R112" s="3485"/>
      <c r="S112" s="3374"/>
      <c r="T112" s="3284"/>
      <c r="U112" s="3284"/>
      <c r="V112" s="3284"/>
      <c r="W112" s="3354"/>
      <c r="X112" s="3374"/>
      <c r="Y112" s="3374"/>
      <c r="Z112" s="3296"/>
      <c r="AA112" s="3284"/>
      <c r="AB112" s="3491"/>
      <c r="AC112" s="3491"/>
      <c r="AD112" s="3491"/>
      <c r="AE112" s="3491"/>
      <c r="AF112" s="3491"/>
      <c r="AG112" s="3491"/>
      <c r="AH112" s="3491"/>
      <c r="AI112" s="3491"/>
      <c r="AJ112" s="3491"/>
      <c r="AK112" s="3491"/>
      <c r="AL112" s="3491"/>
      <c r="AM112" s="3491"/>
      <c r="AN112" s="3491"/>
      <c r="AO112" s="3491"/>
      <c r="AP112" s="3491"/>
      <c r="AQ112" s="3491"/>
      <c r="AR112" s="3491"/>
      <c r="AS112" s="3491"/>
      <c r="AT112" s="3491"/>
      <c r="AU112" s="3491"/>
      <c r="AV112" s="3491"/>
      <c r="AW112" s="3491"/>
      <c r="AX112" s="3491"/>
      <c r="AY112" s="3320"/>
      <c r="AZ112" s="3323"/>
      <c r="BA112" s="3377"/>
      <c r="BB112" s="3377"/>
      <c r="BC112" s="3358"/>
      <c r="BD112" s="3510"/>
      <c r="BE112" s="3383"/>
      <c r="BF112" s="3433"/>
      <c r="BG112" s="3419"/>
      <c r="BH112" s="3454"/>
      <c r="BI112" s="3419"/>
      <c r="BJ112" s="3506"/>
      <c r="QL112" s="1231"/>
      <c r="QM112" s="1231"/>
      <c r="QN112" s="1231"/>
      <c r="QO112" s="1231"/>
      <c r="QP112" s="1231"/>
      <c r="QQ112" s="1231"/>
      <c r="QR112" s="1231"/>
      <c r="QS112" s="1231"/>
      <c r="QT112" s="1231"/>
      <c r="QU112" s="1231"/>
      <c r="QV112" s="1231"/>
      <c r="QW112" s="1231"/>
      <c r="QX112" s="1231"/>
      <c r="QY112" s="1231"/>
      <c r="QZ112" s="1231"/>
      <c r="RA112" s="1231"/>
      <c r="RB112" s="1231"/>
      <c r="RC112" s="1231"/>
      <c r="RD112" s="1231"/>
      <c r="RE112" s="1231"/>
      <c r="RF112" s="1231"/>
      <c r="RG112" s="1231"/>
      <c r="RH112" s="1231"/>
      <c r="RI112" s="1231"/>
      <c r="RJ112" s="1231"/>
      <c r="RK112" s="1231"/>
      <c r="RL112" s="1231"/>
      <c r="RM112" s="1231"/>
      <c r="RN112" s="1231"/>
      <c r="RO112" s="1231"/>
      <c r="RP112" s="1231"/>
      <c r="RQ112" s="1231"/>
      <c r="RR112" s="1231"/>
      <c r="RS112" s="1231"/>
      <c r="RT112" s="1231"/>
      <c r="RU112" s="1231"/>
      <c r="RV112" s="1231"/>
      <c r="RW112" s="1231"/>
      <c r="RX112" s="1231"/>
      <c r="RY112" s="1231"/>
      <c r="RZ112" s="1231"/>
      <c r="SA112" s="1231"/>
      <c r="SB112" s="1231"/>
      <c r="SC112" s="1231"/>
      <c r="SD112" s="1231"/>
      <c r="SE112" s="1231"/>
      <c r="SF112" s="1231"/>
      <c r="SG112" s="1231"/>
      <c r="SH112" s="1231"/>
      <c r="SI112" s="1231"/>
      <c r="SJ112" s="1231"/>
      <c r="SK112" s="1231"/>
      <c r="SL112" s="1231"/>
      <c r="SM112" s="1231"/>
    </row>
    <row r="113" spans="1:507" s="1200" customFormat="1" ht="17.25" customHeight="1" x14ac:dyDescent="0.3">
      <c r="A113" s="3262"/>
      <c r="B113" s="3263"/>
      <c r="C113" s="3264"/>
      <c r="D113" s="3478"/>
      <c r="E113" s="3479"/>
      <c r="F113" s="3479"/>
      <c r="G113" s="3479"/>
      <c r="H113" s="3479"/>
      <c r="I113" s="3480"/>
      <c r="J113" s="3351"/>
      <c r="K113" s="3284"/>
      <c r="L113" s="3345"/>
      <c r="M113" s="3351"/>
      <c r="N113" s="3351"/>
      <c r="O113" s="3296"/>
      <c r="P113" s="3302"/>
      <c r="Q113" s="3284"/>
      <c r="R113" s="3485"/>
      <c r="S113" s="3374"/>
      <c r="T113" s="3284"/>
      <c r="U113" s="3284"/>
      <c r="V113" s="3285"/>
      <c r="W113" s="3355"/>
      <c r="X113" s="3375"/>
      <c r="Y113" s="3375"/>
      <c r="Z113" s="3296"/>
      <c r="AA113" s="3284"/>
      <c r="AB113" s="3491"/>
      <c r="AC113" s="3491"/>
      <c r="AD113" s="3491"/>
      <c r="AE113" s="3491"/>
      <c r="AF113" s="3491"/>
      <c r="AG113" s="3491"/>
      <c r="AH113" s="3491"/>
      <c r="AI113" s="3491"/>
      <c r="AJ113" s="3491"/>
      <c r="AK113" s="3491"/>
      <c r="AL113" s="3491"/>
      <c r="AM113" s="3491"/>
      <c r="AN113" s="3491"/>
      <c r="AO113" s="3491"/>
      <c r="AP113" s="3491"/>
      <c r="AQ113" s="3491"/>
      <c r="AR113" s="3491"/>
      <c r="AS113" s="3491"/>
      <c r="AT113" s="3491"/>
      <c r="AU113" s="3491"/>
      <c r="AV113" s="3491"/>
      <c r="AW113" s="3491"/>
      <c r="AX113" s="3491"/>
      <c r="AY113" s="3320"/>
      <c r="AZ113" s="3323"/>
      <c r="BA113" s="3377"/>
      <c r="BB113" s="3377"/>
      <c r="BC113" s="3358"/>
      <c r="BD113" s="3510"/>
      <c r="BE113" s="3383"/>
      <c r="BF113" s="3433"/>
      <c r="BG113" s="3419"/>
      <c r="BH113" s="3454"/>
      <c r="BI113" s="3419"/>
      <c r="BJ113" s="3506"/>
      <c r="QL113" s="1231"/>
      <c r="QM113" s="1231"/>
      <c r="QN113" s="1231"/>
      <c r="QO113" s="1231"/>
      <c r="QP113" s="1231"/>
      <c r="QQ113" s="1231"/>
      <c r="QR113" s="1231"/>
      <c r="QS113" s="1231"/>
      <c r="QT113" s="1231"/>
      <c r="QU113" s="1231"/>
      <c r="QV113" s="1231"/>
      <c r="QW113" s="1231"/>
      <c r="QX113" s="1231"/>
      <c r="QY113" s="1231"/>
      <c r="QZ113" s="1231"/>
      <c r="RA113" s="1231"/>
      <c r="RB113" s="1231"/>
      <c r="RC113" s="1231"/>
      <c r="RD113" s="1231"/>
      <c r="RE113" s="1231"/>
      <c r="RF113" s="1231"/>
      <c r="RG113" s="1231"/>
      <c r="RH113" s="1231"/>
      <c r="RI113" s="1231"/>
      <c r="RJ113" s="1231"/>
      <c r="RK113" s="1231"/>
      <c r="RL113" s="1231"/>
      <c r="RM113" s="1231"/>
      <c r="RN113" s="1231"/>
      <c r="RO113" s="1231"/>
      <c r="RP113" s="1231"/>
      <c r="RQ113" s="1231"/>
      <c r="RR113" s="1231"/>
      <c r="RS113" s="1231"/>
      <c r="RT113" s="1231"/>
      <c r="RU113" s="1231"/>
      <c r="RV113" s="1231"/>
      <c r="RW113" s="1231"/>
      <c r="RX113" s="1231"/>
      <c r="RY113" s="1231"/>
      <c r="RZ113" s="1231"/>
      <c r="SA113" s="1231"/>
      <c r="SB113" s="1231"/>
      <c r="SC113" s="1231"/>
      <c r="SD113" s="1231"/>
      <c r="SE113" s="1231"/>
      <c r="SF113" s="1231"/>
      <c r="SG113" s="1231"/>
      <c r="SH113" s="1231"/>
      <c r="SI113" s="1231"/>
      <c r="SJ113" s="1231"/>
      <c r="SK113" s="1231"/>
      <c r="SL113" s="1231"/>
      <c r="SM113" s="1231"/>
    </row>
    <row r="114" spans="1:507" s="1200" customFormat="1" ht="17.25" customHeight="1" x14ac:dyDescent="0.3">
      <c r="A114" s="3262"/>
      <c r="B114" s="3263"/>
      <c r="C114" s="3264"/>
      <c r="D114" s="3478"/>
      <c r="E114" s="3479"/>
      <c r="F114" s="3479"/>
      <c r="G114" s="3479"/>
      <c r="H114" s="3479"/>
      <c r="I114" s="3480"/>
      <c r="J114" s="3351"/>
      <c r="K114" s="3284"/>
      <c r="L114" s="3345"/>
      <c r="M114" s="3351"/>
      <c r="N114" s="3351"/>
      <c r="O114" s="3296"/>
      <c r="P114" s="3302"/>
      <c r="Q114" s="3284"/>
      <c r="R114" s="3485"/>
      <c r="S114" s="3374"/>
      <c r="T114" s="3284"/>
      <c r="U114" s="3284"/>
      <c r="V114" s="3283" t="s">
        <v>565</v>
      </c>
      <c r="W114" s="3353">
        <f>20000000+33200000</f>
        <v>53200000</v>
      </c>
      <c r="X114" s="3373">
        <v>30000000</v>
      </c>
      <c r="Y114" s="3373">
        <v>3000000</v>
      </c>
      <c r="Z114" s="3296"/>
      <c r="AA114" s="3284"/>
      <c r="AB114" s="3491"/>
      <c r="AC114" s="3491"/>
      <c r="AD114" s="3491"/>
      <c r="AE114" s="3491"/>
      <c r="AF114" s="3491"/>
      <c r="AG114" s="3491"/>
      <c r="AH114" s="3491"/>
      <c r="AI114" s="3491"/>
      <c r="AJ114" s="3491"/>
      <c r="AK114" s="3491"/>
      <c r="AL114" s="3491"/>
      <c r="AM114" s="3491"/>
      <c r="AN114" s="3491"/>
      <c r="AO114" s="3491"/>
      <c r="AP114" s="3491"/>
      <c r="AQ114" s="3491"/>
      <c r="AR114" s="3491"/>
      <c r="AS114" s="3491"/>
      <c r="AT114" s="3491"/>
      <c r="AU114" s="3491"/>
      <c r="AV114" s="3491"/>
      <c r="AW114" s="3491"/>
      <c r="AX114" s="3491"/>
      <c r="AY114" s="3320"/>
      <c r="AZ114" s="3323"/>
      <c r="BA114" s="3377"/>
      <c r="BB114" s="3377"/>
      <c r="BC114" s="3358"/>
      <c r="BD114" s="3510"/>
      <c r="BE114" s="3383"/>
      <c r="BF114" s="3433"/>
      <c r="BG114" s="3419"/>
      <c r="BH114" s="3454"/>
      <c r="BI114" s="3419"/>
      <c r="BJ114" s="3506"/>
      <c r="QL114" s="1231"/>
      <c r="QM114" s="1231"/>
      <c r="QN114" s="1231"/>
      <c r="QO114" s="1231"/>
      <c r="QP114" s="1231"/>
      <c r="QQ114" s="1231"/>
      <c r="QR114" s="1231"/>
      <c r="QS114" s="1231"/>
      <c r="QT114" s="1231"/>
      <c r="QU114" s="1231"/>
      <c r="QV114" s="1231"/>
      <c r="QW114" s="1231"/>
      <c r="QX114" s="1231"/>
      <c r="QY114" s="1231"/>
      <c r="QZ114" s="1231"/>
      <c r="RA114" s="1231"/>
      <c r="RB114" s="1231"/>
      <c r="RC114" s="1231"/>
      <c r="RD114" s="1231"/>
      <c r="RE114" s="1231"/>
      <c r="RF114" s="1231"/>
      <c r="RG114" s="1231"/>
      <c r="RH114" s="1231"/>
      <c r="RI114" s="1231"/>
      <c r="RJ114" s="1231"/>
      <c r="RK114" s="1231"/>
      <c r="RL114" s="1231"/>
      <c r="RM114" s="1231"/>
      <c r="RN114" s="1231"/>
      <c r="RO114" s="1231"/>
      <c r="RP114" s="1231"/>
      <c r="RQ114" s="1231"/>
      <c r="RR114" s="1231"/>
      <c r="RS114" s="1231"/>
      <c r="RT114" s="1231"/>
      <c r="RU114" s="1231"/>
      <c r="RV114" s="1231"/>
      <c r="RW114" s="1231"/>
      <c r="RX114" s="1231"/>
      <c r="RY114" s="1231"/>
      <c r="RZ114" s="1231"/>
      <c r="SA114" s="1231"/>
      <c r="SB114" s="1231"/>
      <c r="SC114" s="1231"/>
      <c r="SD114" s="1231"/>
      <c r="SE114" s="1231"/>
      <c r="SF114" s="1231"/>
      <c r="SG114" s="1231"/>
      <c r="SH114" s="1231"/>
      <c r="SI114" s="1231"/>
      <c r="SJ114" s="1231"/>
      <c r="SK114" s="1231"/>
      <c r="SL114" s="1231"/>
      <c r="SM114" s="1231"/>
    </row>
    <row r="115" spans="1:507" s="1200" customFormat="1" ht="17.25" customHeight="1" x14ac:dyDescent="0.3">
      <c r="A115" s="3262"/>
      <c r="B115" s="3263"/>
      <c r="C115" s="3264"/>
      <c r="D115" s="3478"/>
      <c r="E115" s="3479"/>
      <c r="F115" s="3479"/>
      <c r="G115" s="3479"/>
      <c r="H115" s="3479"/>
      <c r="I115" s="3480"/>
      <c r="J115" s="3351"/>
      <c r="K115" s="3284"/>
      <c r="L115" s="3345"/>
      <c r="M115" s="3351"/>
      <c r="N115" s="3351"/>
      <c r="O115" s="3296"/>
      <c r="P115" s="3302"/>
      <c r="Q115" s="3284"/>
      <c r="R115" s="3485"/>
      <c r="S115" s="3374"/>
      <c r="T115" s="3284"/>
      <c r="U115" s="3284"/>
      <c r="V115" s="3285"/>
      <c r="W115" s="3355"/>
      <c r="X115" s="3375"/>
      <c r="Y115" s="3375"/>
      <c r="Z115" s="3296"/>
      <c r="AA115" s="3284"/>
      <c r="AB115" s="3491"/>
      <c r="AC115" s="3491"/>
      <c r="AD115" s="3491"/>
      <c r="AE115" s="3491"/>
      <c r="AF115" s="3491"/>
      <c r="AG115" s="3491"/>
      <c r="AH115" s="3491"/>
      <c r="AI115" s="3491"/>
      <c r="AJ115" s="3491"/>
      <c r="AK115" s="3491"/>
      <c r="AL115" s="3491"/>
      <c r="AM115" s="3491"/>
      <c r="AN115" s="3491"/>
      <c r="AO115" s="3491"/>
      <c r="AP115" s="3491"/>
      <c r="AQ115" s="3491"/>
      <c r="AR115" s="3491"/>
      <c r="AS115" s="3491"/>
      <c r="AT115" s="3491"/>
      <c r="AU115" s="3491"/>
      <c r="AV115" s="3491"/>
      <c r="AW115" s="3491"/>
      <c r="AX115" s="3491"/>
      <c r="AY115" s="3320"/>
      <c r="AZ115" s="3323"/>
      <c r="BA115" s="3377"/>
      <c r="BB115" s="3377"/>
      <c r="BC115" s="3358"/>
      <c r="BD115" s="3510"/>
      <c r="BE115" s="3383"/>
      <c r="BF115" s="3433"/>
      <c r="BG115" s="3419"/>
      <c r="BH115" s="3454"/>
      <c r="BI115" s="3419"/>
      <c r="BJ115" s="3506"/>
      <c r="QL115" s="1231"/>
      <c r="QM115" s="1231"/>
      <c r="QN115" s="1231"/>
      <c r="QO115" s="1231"/>
      <c r="QP115" s="1231"/>
      <c r="QQ115" s="1231"/>
      <c r="QR115" s="1231"/>
      <c r="QS115" s="1231"/>
      <c r="QT115" s="1231"/>
      <c r="QU115" s="1231"/>
      <c r="QV115" s="1231"/>
      <c r="QW115" s="1231"/>
      <c r="QX115" s="1231"/>
      <c r="QY115" s="1231"/>
      <c r="QZ115" s="1231"/>
      <c r="RA115" s="1231"/>
      <c r="RB115" s="1231"/>
      <c r="RC115" s="1231"/>
      <c r="RD115" s="1231"/>
      <c r="RE115" s="1231"/>
      <c r="RF115" s="1231"/>
      <c r="RG115" s="1231"/>
      <c r="RH115" s="1231"/>
      <c r="RI115" s="1231"/>
      <c r="RJ115" s="1231"/>
      <c r="RK115" s="1231"/>
      <c r="RL115" s="1231"/>
      <c r="RM115" s="1231"/>
      <c r="RN115" s="1231"/>
      <c r="RO115" s="1231"/>
      <c r="RP115" s="1231"/>
      <c r="RQ115" s="1231"/>
      <c r="RR115" s="1231"/>
      <c r="RS115" s="1231"/>
      <c r="RT115" s="1231"/>
      <c r="RU115" s="1231"/>
      <c r="RV115" s="1231"/>
      <c r="RW115" s="1231"/>
      <c r="RX115" s="1231"/>
      <c r="RY115" s="1231"/>
      <c r="RZ115" s="1231"/>
      <c r="SA115" s="1231"/>
      <c r="SB115" s="1231"/>
      <c r="SC115" s="1231"/>
      <c r="SD115" s="1231"/>
      <c r="SE115" s="1231"/>
      <c r="SF115" s="1231"/>
      <c r="SG115" s="1231"/>
      <c r="SH115" s="1231"/>
      <c r="SI115" s="1231"/>
      <c r="SJ115" s="1231"/>
      <c r="SK115" s="1231"/>
      <c r="SL115" s="1231"/>
      <c r="SM115" s="1231"/>
    </row>
    <row r="116" spans="1:507" s="1200" customFormat="1" ht="17.25" customHeight="1" x14ac:dyDescent="0.3">
      <c r="A116" s="3262"/>
      <c r="B116" s="3263"/>
      <c r="C116" s="3264"/>
      <c r="D116" s="3478"/>
      <c r="E116" s="3479"/>
      <c r="F116" s="3479"/>
      <c r="G116" s="3479"/>
      <c r="H116" s="3479"/>
      <c r="I116" s="3480"/>
      <c r="J116" s="3351"/>
      <c r="K116" s="3284"/>
      <c r="L116" s="3345"/>
      <c r="M116" s="3351"/>
      <c r="N116" s="3351"/>
      <c r="O116" s="3296"/>
      <c r="P116" s="3302"/>
      <c r="Q116" s="3284"/>
      <c r="R116" s="3485"/>
      <c r="S116" s="3374"/>
      <c r="T116" s="3284"/>
      <c r="U116" s="3284"/>
      <c r="V116" s="3283" t="s">
        <v>566</v>
      </c>
      <c r="W116" s="3353">
        <f>25000000+10000000</f>
        <v>35000000</v>
      </c>
      <c r="X116" s="3373">
        <v>20280000</v>
      </c>
      <c r="Y116" s="3373">
        <f>X116/6</f>
        <v>3380000</v>
      </c>
      <c r="Z116" s="3296"/>
      <c r="AA116" s="3284"/>
      <c r="AB116" s="3491"/>
      <c r="AC116" s="3491"/>
      <c r="AD116" s="3491"/>
      <c r="AE116" s="3491"/>
      <c r="AF116" s="3491"/>
      <c r="AG116" s="3491"/>
      <c r="AH116" s="3491"/>
      <c r="AI116" s="3491"/>
      <c r="AJ116" s="3491"/>
      <c r="AK116" s="3491"/>
      <c r="AL116" s="3491"/>
      <c r="AM116" s="3491"/>
      <c r="AN116" s="3491"/>
      <c r="AO116" s="3491"/>
      <c r="AP116" s="3491"/>
      <c r="AQ116" s="3491"/>
      <c r="AR116" s="3491"/>
      <c r="AS116" s="3491"/>
      <c r="AT116" s="3491"/>
      <c r="AU116" s="3491"/>
      <c r="AV116" s="3491"/>
      <c r="AW116" s="3491"/>
      <c r="AX116" s="3491"/>
      <c r="AY116" s="3320"/>
      <c r="AZ116" s="3323"/>
      <c r="BA116" s="3377"/>
      <c r="BB116" s="3377"/>
      <c r="BC116" s="3358"/>
      <c r="BD116" s="3510"/>
      <c r="BE116" s="3383"/>
      <c r="BF116" s="3433"/>
      <c r="BG116" s="3419"/>
      <c r="BH116" s="3454"/>
      <c r="BI116" s="3419"/>
      <c r="BJ116" s="3506"/>
      <c r="QL116" s="1231"/>
      <c r="QM116" s="1231"/>
      <c r="QN116" s="1231"/>
      <c r="QO116" s="1231"/>
      <c r="QP116" s="1231"/>
      <c r="QQ116" s="1231"/>
      <c r="QR116" s="1231"/>
      <c r="QS116" s="1231"/>
      <c r="QT116" s="1231"/>
      <c r="QU116" s="1231"/>
      <c r="QV116" s="1231"/>
      <c r="QW116" s="1231"/>
      <c r="QX116" s="1231"/>
      <c r="QY116" s="1231"/>
      <c r="QZ116" s="1231"/>
      <c r="RA116" s="1231"/>
      <c r="RB116" s="1231"/>
      <c r="RC116" s="1231"/>
      <c r="RD116" s="1231"/>
      <c r="RE116" s="1231"/>
      <c r="RF116" s="1231"/>
      <c r="RG116" s="1231"/>
      <c r="RH116" s="1231"/>
      <c r="RI116" s="1231"/>
      <c r="RJ116" s="1231"/>
      <c r="RK116" s="1231"/>
      <c r="RL116" s="1231"/>
      <c r="RM116" s="1231"/>
      <c r="RN116" s="1231"/>
      <c r="RO116" s="1231"/>
      <c r="RP116" s="1231"/>
      <c r="RQ116" s="1231"/>
      <c r="RR116" s="1231"/>
      <c r="RS116" s="1231"/>
      <c r="RT116" s="1231"/>
      <c r="RU116" s="1231"/>
      <c r="RV116" s="1231"/>
      <c r="RW116" s="1231"/>
      <c r="RX116" s="1231"/>
      <c r="RY116" s="1231"/>
      <c r="RZ116" s="1231"/>
      <c r="SA116" s="1231"/>
      <c r="SB116" s="1231"/>
      <c r="SC116" s="1231"/>
      <c r="SD116" s="1231"/>
      <c r="SE116" s="1231"/>
      <c r="SF116" s="1231"/>
      <c r="SG116" s="1231"/>
      <c r="SH116" s="1231"/>
      <c r="SI116" s="1231"/>
      <c r="SJ116" s="1231"/>
      <c r="SK116" s="1231"/>
      <c r="SL116" s="1231"/>
      <c r="SM116" s="1231"/>
    </row>
    <row r="117" spans="1:507" s="1200" customFormat="1" ht="17.25" customHeight="1" x14ac:dyDescent="0.3">
      <c r="A117" s="3262"/>
      <c r="B117" s="3263"/>
      <c r="C117" s="3264"/>
      <c r="D117" s="3478"/>
      <c r="E117" s="3479"/>
      <c r="F117" s="3479"/>
      <c r="G117" s="3479"/>
      <c r="H117" s="3479"/>
      <c r="I117" s="3480"/>
      <c r="J117" s="3351"/>
      <c r="K117" s="3284"/>
      <c r="L117" s="3345"/>
      <c r="M117" s="3351"/>
      <c r="N117" s="3351"/>
      <c r="O117" s="3296"/>
      <c r="P117" s="3302"/>
      <c r="Q117" s="3284"/>
      <c r="R117" s="3485"/>
      <c r="S117" s="3374"/>
      <c r="T117" s="3284"/>
      <c r="U117" s="3284"/>
      <c r="V117" s="3285"/>
      <c r="W117" s="3355"/>
      <c r="X117" s="3375"/>
      <c r="Y117" s="3375"/>
      <c r="Z117" s="3296"/>
      <c r="AA117" s="3284"/>
      <c r="AB117" s="3491"/>
      <c r="AC117" s="3491"/>
      <c r="AD117" s="3491"/>
      <c r="AE117" s="3491"/>
      <c r="AF117" s="3491"/>
      <c r="AG117" s="3491"/>
      <c r="AH117" s="3491"/>
      <c r="AI117" s="3491"/>
      <c r="AJ117" s="3491"/>
      <c r="AK117" s="3491"/>
      <c r="AL117" s="3491"/>
      <c r="AM117" s="3491"/>
      <c r="AN117" s="3491"/>
      <c r="AO117" s="3491"/>
      <c r="AP117" s="3491"/>
      <c r="AQ117" s="3491"/>
      <c r="AR117" s="3491"/>
      <c r="AS117" s="3491"/>
      <c r="AT117" s="3491"/>
      <c r="AU117" s="3491"/>
      <c r="AV117" s="3491"/>
      <c r="AW117" s="3491"/>
      <c r="AX117" s="3491"/>
      <c r="AY117" s="3320"/>
      <c r="AZ117" s="3323"/>
      <c r="BA117" s="3377"/>
      <c r="BB117" s="3377"/>
      <c r="BC117" s="3358"/>
      <c r="BD117" s="3510"/>
      <c r="BE117" s="3383"/>
      <c r="BF117" s="3433"/>
      <c r="BG117" s="3419"/>
      <c r="BH117" s="3454"/>
      <c r="BI117" s="3419"/>
      <c r="BJ117" s="3506"/>
      <c r="QL117" s="1231"/>
      <c r="QM117" s="1231"/>
      <c r="QN117" s="1231"/>
      <c r="QO117" s="1231"/>
      <c r="QP117" s="1231"/>
      <c r="QQ117" s="1231"/>
      <c r="QR117" s="1231"/>
      <c r="QS117" s="1231"/>
      <c r="QT117" s="1231"/>
      <c r="QU117" s="1231"/>
      <c r="QV117" s="1231"/>
      <c r="QW117" s="1231"/>
      <c r="QX117" s="1231"/>
      <c r="QY117" s="1231"/>
      <c r="QZ117" s="1231"/>
      <c r="RA117" s="1231"/>
      <c r="RB117" s="1231"/>
      <c r="RC117" s="1231"/>
      <c r="RD117" s="1231"/>
      <c r="RE117" s="1231"/>
      <c r="RF117" s="1231"/>
      <c r="RG117" s="1231"/>
      <c r="RH117" s="1231"/>
      <c r="RI117" s="1231"/>
      <c r="RJ117" s="1231"/>
      <c r="RK117" s="1231"/>
      <c r="RL117" s="1231"/>
      <c r="RM117" s="1231"/>
      <c r="RN117" s="1231"/>
      <c r="RO117" s="1231"/>
      <c r="RP117" s="1231"/>
      <c r="RQ117" s="1231"/>
      <c r="RR117" s="1231"/>
      <c r="RS117" s="1231"/>
      <c r="RT117" s="1231"/>
      <c r="RU117" s="1231"/>
      <c r="RV117" s="1231"/>
      <c r="RW117" s="1231"/>
      <c r="RX117" s="1231"/>
      <c r="RY117" s="1231"/>
      <c r="RZ117" s="1231"/>
      <c r="SA117" s="1231"/>
      <c r="SB117" s="1231"/>
      <c r="SC117" s="1231"/>
      <c r="SD117" s="1231"/>
      <c r="SE117" s="1231"/>
      <c r="SF117" s="1231"/>
      <c r="SG117" s="1231"/>
      <c r="SH117" s="1231"/>
      <c r="SI117" s="1231"/>
      <c r="SJ117" s="1231"/>
      <c r="SK117" s="1231"/>
      <c r="SL117" s="1231"/>
      <c r="SM117" s="1231"/>
    </row>
    <row r="118" spans="1:507" s="1200" customFormat="1" ht="17.25" customHeight="1" x14ac:dyDescent="0.3">
      <c r="A118" s="3262"/>
      <c r="B118" s="3263"/>
      <c r="C118" s="3264"/>
      <c r="D118" s="3478"/>
      <c r="E118" s="3479"/>
      <c r="F118" s="3479"/>
      <c r="G118" s="3479"/>
      <c r="H118" s="3479"/>
      <c r="I118" s="3480"/>
      <c r="J118" s="3351"/>
      <c r="K118" s="3284"/>
      <c r="L118" s="3345"/>
      <c r="M118" s="3351"/>
      <c r="N118" s="3351"/>
      <c r="O118" s="3296"/>
      <c r="P118" s="3302"/>
      <c r="Q118" s="3284"/>
      <c r="R118" s="3485"/>
      <c r="S118" s="3374"/>
      <c r="T118" s="3284"/>
      <c r="U118" s="3284"/>
      <c r="V118" s="3283" t="s">
        <v>567</v>
      </c>
      <c r="W118" s="3353">
        <f>4200000+10800000</f>
        <v>15000000</v>
      </c>
      <c r="X118" s="3373">
        <v>10800000</v>
      </c>
      <c r="Y118" s="3373">
        <f>X118/6</f>
        <v>1800000</v>
      </c>
      <c r="Z118" s="3296"/>
      <c r="AA118" s="3284"/>
      <c r="AB118" s="3491"/>
      <c r="AC118" s="3491"/>
      <c r="AD118" s="3491"/>
      <c r="AE118" s="3491"/>
      <c r="AF118" s="3491"/>
      <c r="AG118" s="3491"/>
      <c r="AH118" s="3491"/>
      <c r="AI118" s="3491"/>
      <c r="AJ118" s="3491"/>
      <c r="AK118" s="3491"/>
      <c r="AL118" s="3491"/>
      <c r="AM118" s="3491"/>
      <c r="AN118" s="3491"/>
      <c r="AO118" s="3491"/>
      <c r="AP118" s="3491"/>
      <c r="AQ118" s="3491"/>
      <c r="AR118" s="3491"/>
      <c r="AS118" s="3491"/>
      <c r="AT118" s="3491"/>
      <c r="AU118" s="3491"/>
      <c r="AV118" s="3491"/>
      <c r="AW118" s="3491"/>
      <c r="AX118" s="3491"/>
      <c r="AY118" s="3320"/>
      <c r="AZ118" s="3323"/>
      <c r="BA118" s="3377"/>
      <c r="BB118" s="3377"/>
      <c r="BC118" s="3358"/>
      <c r="BD118" s="3510"/>
      <c r="BE118" s="3383"/>
      <c r="BF118" s="3433"/>
      <c r="BG118" s="3419"/>
      <c r="BH118" s="3454"/>
      <c r="BI118" s="3419"/>
      <c r="BJ118" s="3506"/>
      <c r="QL118" s="1231"/>
      <c r="QM118" s="1231"/>
      <c r="QN118" s="1231"/>
      <c r="QO118" s="1231"/>
      <c r="QP118" s="1231"/>
      <c r="QQ118" s="1231"/>
      <c r="QR118" s="1231"/>
      <c r="QS118" s="1231"/>
      <c r="QT118" s="1231"/>
      <c r="QU118" s="1231"/>
      <c r="QV118" s="1231"/>
      <c r="QW118" s="1231"/>
      <c r="QX118" s="1231"/>
      <c r="QY118" s="1231"/>
      <c r="QZ118" s="1231"/>
      <c r="RA118" s="1231"/>
      <c r="RB118" s="1231"/>
      <c r="RC118" s="1231"/>
      <c r="RD118" s="1231"/>
      <c r="RE118" s="1231"/>
      <c r="RF118" s="1231"/>
      <c r="RG118" s="1231"/>
      <c r="RH118" s="1231"/>
      <c r="RI118" s="1231"/>
      <c r="RJ118" s="1231"/>
      <c r="RK118" s="1231"/>
      <c r="RL118" s="1231"/>
      <c r="RM118" s="1231"/>
      <c r="RN118" s="1231"/>
      <c r="RO118" s="1231"/>
      <c r="RP118" s="1231"/>
      <c r="RQ118" s="1231"/>
      <c r="RR118" s="1231"/>
      <c r="RS118" s="1231"/>
      <c r="RT118" s="1231"/>
      <c r="RU118" s="1231"/>
      <c r="RV118" s="1231"/>
      <c r="RW118" s="1231"/>
      <c r="RX118" s="1231"/>
      <c r="RY118" s="1231"/>
      <c r="RZ118" s="1231"/>
      <c r="SA118" s="1231"/>
      <c r="SB118" s="1231"/>
      <c r="SC118" s="1231"/>
      <c r="SD118" s="1231"/>
      <c r="SE118" s="1231"/>
      <c r="SF118" s="1231"/>
      <c r="SG118" s="1231"/>
      <c r="SH118" s="1231"/>
      <c r="SI118" s="1231"/>
      <c r="SJ118" s="1231"/>
      <c r="SK118" s="1231"/>
      <c r="SL118" s="1231"/>
      <c r="SM118" s="1231"/>
    </row>
    <row r="119" spans="1:507" s="1200" customFormat="1" ht="17.25" customHeight="1" x14ac:dyDescent="0.3">
      <c r="A119" s="3262"/>
      <c r="B119" s="3263"/>
      <c r="C119" s="3264"/>
      <c r="D119" s="3478"/>
      <c r="E119" s="3479"/>
      <c r="F119" s="3479"/>
      <c r="G119" s="3479"/>
      <c r="H119" s="3479"/>
      <c r="I119" s="3480"/>
      <c r="J119" s="3351"/>
      <c r="K119" s="3284"/>
      <c r="L119" s="3345"/>
      <c r="M119" s="3351"/>
      <c r="N119" s="3351"/>
      <c r="O119" s="3296"/>
      <c r="P119" s="3302"/>
      <c r="Q119" s="3284"/>
      <c r="R119" s="3485"/>
      <c r="S119" s="3374"/>
      <c r="T119" s="3284"/>
      <c r="U119" s="3284"/>
      <c r="V119" s="3284"/>
      <c r="W119" s="3354"/>
      <c r="X119" s="3374"/>
      <c r="Y119" s="3374"/>
      <c r="Z119" s="3296"/>
      <c r="AA119" s="3284"/>
      <c r="AB119" s="3491"/>
      <c r="AC119" s="3491"/>
      <c r="AD119" s="3491"/>
      <c r="AE119" s="3491"/>
      <c r="AF119" s="3491"/>
      <c r="AG119" s="3491"/>
      <c r="AH119" s="3491"/>
      <c r="AI119" s="3491"/>
      <c r="AJ119" s="3491"/>
      <c r="AK119" s="3491"/>
      <c r="AL119" s="3491"/>
      <c r="AM119" s="3491"/>
      <c r="AN119" s="3491"/>
      <c r="AO119" s="3491"/>
      <c r="AP119" s="3491"/>
      <c r="AQ119" s="3491"/>
      <c r="AR119" s="3491"/>
      <c r="AS119" s="3491"/>
      <c r="AT119" s="3491"/>
      <c r="AU119" s="3491"/>
      <c r="AV119" s="3491"/>
      <c r="AW119" s="3491"/>
      <c r="AX119" s="3491"/>
      <c r="AY119" s="3320"/>
      <c r="AZ119" s="3323"/>
      <c r="BA119" s="3377"/>
      <c r="BB119" s="3377"/>
      <c r="BC119" s="3358"/>
      <c r="BD119" s="3510"/>
      <c r="BE119" s="3383"/>
      <c r="BF119" s="3433"/>
      <c r="BG119" s="3419"/>
      <c r="BH119" s="3454"/>
      <c r="BI119" s="3419"/>
      <c r="BJ119" s="3506"/>
      <c r="QL119" s="1231"/>
      <c r="QM119" s="1231"/>
      <c r="QN119" s="1231"/>
      <c r="QO119" s="1231"/>
      <c r="QP119" s="1231"/>
      <c r="QQ119" s="1231"/>
      <c r="QR119" s="1231"/>
      <c r="QS119" s="1231"/>
      <c r="QT119" s="1231"/>
      <c r="QU119" s="1231"/>
      <c r="QV119" s="1231"/>
      <c r="QW119" s="1231"/>
      <c r="QX119" s="1231"/>
      <c r="QY119" s="1231"/>
      <c r="QZ119" s="1231"/>
      <c r="RA119" s="1231"/>
      <c r="RB119" s="1231"/>
      <c r="RC119" s="1231"/>
      <c r="RD119" s="1231"/>
      <c r="RE119" s="1231"/>
      <c r="RF119" s="1231"/>
      <c r="RG119" s="1231"/>
      <c r="RH119" s="1231"/>
      <c r="RI119" s="1231"/>
      <c r="RJ119" s="1231"/>
      <c r="RK119" s="1231"/>
      <c r="RL119" s="1231"/>
      <c r="RM119" s="1231"/>
      <c r="RN119" s="1231"/>
      <c r="RO119" s="1231"/>
      <c r="RP119" s="1231"/>
      <c r="RQ119" s="1231"/>
      <c r="RR119" s="1231"/>
      <c r="RS119" s="1231"/>
      <c r="RT119" s="1231"/>
      <c r="RU119" s="1231"/>
      <c r="RV119" s="1231"/>
      <c r="RW119" s="1231"/>
      <c r="RX119" s="1231"/>
      <c r="RY119" s="1231"/>
      <c r="RZ119" s="1231"/>
      <c r="SA119" s="1231"/>
      <c r="SB119" s="1231"/>
      <c r="SC119" s="1231"/>
      <c r="SD119" s="1231"/>
      <c r="SE119" s="1231"/>
      <c r="SF119" s="1231"/>
      <c r="SG119" s="1231"/>
      <c r="SH119" s="1231"/>
      <c r="SI119" s="1231"/>
      <c r="SJ119" s="1231"/>
      <c r="SK119" s="1231"/>
      <c r="SL119" s="1231"/>
      <c r="SM119" s="1231"/>
    </row>
    <row r="120" spans="1:507" s="1200" customFormat="1" ht="17.25" customHeight="1" x14ac:dyDescent="0.3">
      <c r="A120" s="3262"/>
      <c r="B120" s="3263"/>
      <c r="C120" s="3264"/>
      <c r="D120" s="3478"/>
      <c r="E120" s="3479"/>
      <c r="F120" s="3479"/>
      <c r="G120" s="3479"/>
      <c r="H120" s="3479"/>
      <c r="I120" s="3480"/>
      <c r="J120" s="3351"/>
      <c r="K120" s="3284"/>
      <c r="L120" s="3345"/>
      <c r="M120" s="3351"/>
      <c r="N120" s="3351"/>
      <c r="O120" s="3296"/>
      <c r="P120" s="3302"/>
      <c r="Q120" s="3284"/>
      <c r="R120" s="3485"/>
      <c r="S120" s="3374"/>
      <c r="T120" s="3284"/>
      <c r="U120" s="3284"/>
      <c r="V120" s="3285"/>
      <c r="W120" s="3355"/>
      <c r="X120" s="3375"/>
      <c r="Y120" s="3375"/>
      <c r="Z120" s="3296"/>
      <c r="AA120" s="3284"/>
      <c r="AB120" s="3491"/>
      <c r="AC120" s="3491"/>
      <c r="AD120" s="3491"/>
      <c r="AE120" s="3491"/>
      <c r="AF120" s="3491"/>
      <c r="AG120" s="3491"/>
      <c r="AH120" s="3491"/>
      <c r="AI120" s="3491"/>
      <c r="AJ120" s="3491"/>
      <c r="AK120" s="3491"/>
      <c r="AL120" s="3491"/>
      <c r="AM120" s="3491"/>
      <c r="AN120" s="3491"/>
      <c r="AO120" s="3491"/>
      <c r="AP120" s="3491"/>
      <c r="AQ120" s="3491"/>
      <c r="AR120" s="3491"/>
      <c r="AS120" s="3491"/>
      <c r="AT120" s="3491"/>
      <c r="AU120" s="3491"/>
      <c r="AV120" s="3491"/>
      <c r="AW120" s="3491"/>
      <c r="AX120" s="3491"/>
      <c r="AY120" s="3320"/>
      <c r="AZ120" s="3323"/>
      <c r="BA120" s="3377"/>
      <c r="BB120" s="3377"/>
      <c r="BC120" s="3358"/>
      <c r="BD120" s="3510"/>
      <c r="BE120" s="3383"/>
      <c r="BF120" s="3433"/>
      <c r="BG120" s="3419"/>
      <c r="BH120" s="3454"/>
      <c r="BI120" s="3419"/>
      <c r="BJ120" s="3506"/>
      <c r="QL120" s="1231"/>
      <c r="QM120" s="1231"/>
      <c r="QN120" s="1231"/>
      <c r="QO120" s="1231"/>
      <c r="QP120" s="1231"/>
      <c r="QQ120" s="1231"/>
      <c r="QR120" s="1231"/>
      <c r="QS120" s="1231"/>
      <c r="QT120" s="1231"/>
      <c r="QU120" s="1231"/>
      <c r="QV120" s="1231"/>
      <c r="QW120" s="1231"/>
      <c r="QX120" s="1231"/>
      <c r="QY120" s="1231"/>
      <c r="QZ120" s="1231"/>
      <c r="RA120" s="1231"/>
      <c r="RB120" s="1231"/>
      <c r="RC120" s="1231"/>
      <c r="RD120" s="1231"/>
      <c r="RE120" s="1231"/>
      <c r="RF120" s="1231"/>
      <c r="RG120" s="1231"/>
      <c r="RH120" s="1231"/>
      <c r="RI120" s="1231"/>
      <c r="RJ120" s="1231"/>
      <c r="RK120" s="1231"/>
      <c r="RL120" s="1231"/>
      <c r="RM120" s="1231"/>
      <c r="RN120" s="1231"/>
      <c r="RO120" s="1231"/>
      <c r="RP120" s="1231"/>
      <c r="RQ120" s="1231"/>
      <c r="RR120" s="1231"/>
      <c r="RS120" s="1231"/>
      <c r="RT120" s="1231"/>
      <c r="RU120" s="1231"/>
      <c r="RV120" s="1231"/>
      <c r="RW120" s="1231"/>
      <c r="RX120" s="1231"/>
      <c r="RY120" s="1231"/>
      <c r="RZ120" s="1231"/>
      <c r="SA120" s="1231"/>
      <c r="SB120" s="1231"/>
      <c r="SC120" s="1231"/>
      <c r="SD120" s="1231"/>
      <c r="SE120" s="1231"/>
      <c r="SF120" s="1231"/>
      <c r="SG120" s="1231"/>
      <c r="SH120" s="1231"/>
      <c r="SI120" s="1231"/>
      <c r="SJ120" s="1231"/>
      <c r="SK120" s="1231"/>
      <c r="SL120" s="1231"/>
      <c r="SM120" s="1231"/>
    </row>
    <row r="121" spans="1:507" s="1200" customFormat="1" ht="17.25" customHeight="1" x14ac:dyDescent="0.3">
      <c r="A121" s="3262"/>
      <c r="B121" s="3263"/>
      <c r="C121" s="3264"/>
      <c r="D121" s="3478"/>
      <c r="E121" s="3479"/>
      <c r="F121" s="3479"/>
      <c r="G121" s="3479"/>
      <c r="H121" s="3479"/>
      <c r="I121" s="3480"/>
      <c r="J121" s="3351"/>
      <c r="K121" s="3284"/>
      <c r="L121" s="3345"/>
      <c r="M121" s="3351"/>
      <c r="N121" s="3351"/>
      <c r="O121" s="3296"/>
      <c r="P121" s="3302"/>
      <c r="Q121" s="3284"/>
      <c r="R121" s="3485"/>
      <c r="S121" s="3374"/>
      <c r="T121" s="3284"/>
      <c r="U121" s="3284"/>
      <c r="V121" s="3283" t="s">
        <v>568</v>
      </c>
      <c r="W121" s="3353">
        <f>10800000+21680000</f>
        <v>32480000</v>
      </c>
      <c r="X121" s="3373">
        <f>81140000-67680000</f>
        <v>13460000</v>
      </c>
      <c r="Y121" s="3373"/>
      <c r="Z121" s="3296"/>
      <c r="AA121" s="3284"/>
      <c r="AB121" s="3491"/>
      <c r="AC121" s="3491"/>
      <c r="AD121" s="3491"/>
      <c r="AE121" s="3491"/>
      <c r="AF121" s="3491"/>
      <c r="AG121" s="3491"/>
      <c r="AH121" s="3491"/>
      <c r="AI121" s="3491"/>
      <c r="AJ121" s="3491"/>
      <c r="AK121" s="3491"/>
      <c r="AL121" s="3491"/>
      <c r="AM121" s="3491"/>
      <c r="AN121" s="3491"/>
      <c r="AO121" s="3491"/>
      <c r="AP121" s="3491"/>
      <c r="AQ121" s="3491"/>
      <c r="AR121" s="3491"/>
      <c r="AS121" s="3491"/>
      <c r="AT121" s="3491"/>
      <c r="AU121" s="3491"/>
      <c r="AV121" s="3491"/>
      <c r="AW121" s="3491"/>
      <c r="AX121" s="3491"/>
      <c r="AY121" s="3320"/>
      <c r="AZ121" s="3323"/>
      <c r="BA121" s="3377"/>
      <c r="BB121" s="3377"/>
      <c r="BC121" s="3358"/>
      <c r="BD121" s="3510"/>
      <c r="BE121" s="3383"/>
      <c r="BF121" s="3433"/>
      <c r="BG121" s="3419"/>
      <c r="BH121" s="3454"/>
      <c r="BI121" s="3419"/>
      <c r="BJ121" s="3506"/>
      <c r="QL121" s="1231"/>
      <c r="QM121" s="1231"/>
      <c r="QN121" s="1231"/>
      <c r="QO121" s="1231"/>
      <c r="QP121" s="1231"/>
      <c r="QQ121" s="1231"/>
      <c r="QR121" s="1231"/>
      <c r="QS121" s="1231"/>
      <c r="QT121" s="1231"/>
      <c r="QU121" s="1231"/>
      <c r="QV121" s="1231"/>
      <c r="QW121" s="1231"/>
      <c r="QX121" s="1231"/>
      <c r="QY121" s="1231"/>
      <c r="QZ121" s="1231"/>
      <c r="RA121" s="1231"/>
      <c r="RB121" s="1231"/>
      <c r="RC121" s="1231"/>
      <c r="RD121" s="1231"/>
      <c r="RE121" s="1231"/>
      <c r="RF121" s="1231"/>
      <c r="RG121" s="1231"/>
      <c r="RH121" s="1231"/>
      <c r="RI121" s="1231"/>
      <c r="RJ121" s="1231"/>
      <c r="RK121" s="1231"/>
      <c r="RL121" s="1231"/>
      <c r="RM121" s="1231"/>
      <c r="RN121" s="1231"/>
      <c r="RO121" s="1231"/>
      <c r="RP121" s="1231"/>
      <c r="RQ121" s="1231"/>
      <c r="RR121" s="1231"/>
      <c r="RS121" s="1231"/>
      <c r="RT121" s="1231"/>
      <c r="RU121" s="1231"/>
      <c r="RV121" s="1231"/>
      <c r="RW121" s="1231"/>
      <c r="RX121" s="1231"/>
      <c r="RY121" s="1231"/>
      <c r="RZ121" s="1231"/>
      <c r="SA121" s="1231"/>
      <c r="SB121" s="1231"/>
      <c r="SC121" s="1231"/>
      <c r="SD121" s="1231"/>
      <c r="SE121" s="1231"/>
      <c r="SF121" s="1231"/>
      <c r="SG121" s="1231"/>
      <c r="SH121" s="1231"/>
      <c r="SI121" s="1231"/>
      <c r="SJ121" s="1231"/>
      <c r="SK121" s="1231"/>
      <c r="SL121" s="1231"/>
      <c r="SM121" s="1231"/>
    </row>
    <row r="122" spans="1:507" s="1200" customFormat="1" ht="17.25" customHeight="1" x14ac:dyDescent="0.3">
      <c r="A122" s="3262"/>
      <c r="B122" s="3263"/>
      <c r="C122" s="3264"/>
      <c r="D122" s="3478"/>
      <c r="E122" s="3479"/>
      <c r="F122" s="3479"/>
      <c r="G122" s="3479"/>
      <c r="H122" s="3479"/>
      <c r="I122" s="3480"/>
      <c r="J122" s="3351"/>
      <c r="K122" s="3284"/>
      <c r="L122" s="3345"/>
      <c r="M122" s="3351"/>
      <c r="N122" s="3351"/>
      <c r="O122" s="3296"/>
      <c r="P122" s="3302"/>
      <c r="Q122" s="3284"/>
      <c r="R122" s="3485"/>
      <c r="S122" s="3374"/>
      <c r="T122" s="3284"/>
      <c r="U122" s="3284"/>
      <c r="V122" s="3284"/>
      <c r="W122" s="3354"/>
      <c r="X122" s="3374"/>
      <c r="Y122" s="3374"/>
      <c r="Z122" s="3296"/>
      <c r="AA122" s="3284"/>
      <c r="AB122" s="3491"/>
      <c r="AC122" s="3491"/>
      <c r="AD122" s="3491"/>
      <c r="AE122" s="3491"/>
      <c r="AF122" s="3491"/>
      <c r="AG122" s="3491"/>
      <c r="AH122" s="3491"/>
      <c r="AI122" s="3491"/>
      <c r="AJ122" s="3491"/>
      <c r="AK122" s="3491"/>
      <c r="AL122" s="3491"/>
      <c r="AM122" s="3491"/>
      <c r="AN122" s="3491"/>
      <c r="AO122" s="3491"/>
      <c r="AP122" s="3491"/>
      <c r="AQ122" s="3491"/>
      <c r="AR122" s="3491"/>
      <c r="AS122" s="3491"/>
      <c r="AT122" s="3491"/>
      <c r="AU122" s="3491"/>
      <c r="AV122" s="3491"/>
      <c r="AW122" s="3491"/>
      <c r="AX122" s="3491"/>
      <c r="AY122" s="3320"/>
      <c r="AZ122" s="3323"/>
      <c r="BA122" s="3377"/>
      <c r="BB122" s="3377"/>
      <c r="BC122" s="3358"/>
      <c r="BD122" s="3510"/>
      <c r="BE122" s="3383"/>
      <c r="BF122" s="3433"/>
      <c r="BG122" s="3419"/>
      <c r="BH122" s="3454"/>
      <c r="BI122" s="3419"/>
      <c r="BJ122" s="3506"/>
      <c r="QL122" s="1231"/>
      <c r="QM122" s="1231"/>
      <c r="QN122" s="1231"/>
      <c r="QO122" s="1231"/>
      <c r="QP122" s="1231"/>
      <c r="QQ122" s="1231"/>
      <c r="QR122" s="1231"/>
      <c r="QS122" s="1231"/>
      <c r="QT122" s="1231"/>
      <c r="QU122" s="1231"/>
      <c r="QV122" s="1231"/>
      <c r="QW122" s="1231"/>
      <c r="QX122" s="1231"/>
      <c r="QY122" s="1231"/>
      <c r="QZ122" s="1231"/>
      <c r="RA122" s="1231"/>
      <c r="RB122" s="1231"/>
      <c r="RC122" s="1231"/>
      <c r="RD122" s="1231"/>
      <c r="RE122" s="1231"/>
      <c r="RF122" s="1231"/>
      <c r="RG122" s="1231"/>
      <c r="RH122" s="1231"/>
      <c r="RI122" s="1231"/>
      <c r="RJ122" s="1231"/>
      <c r="RK122" s="1231"/>
      <c r="RL122" s="1231"/>
      <c r="RM122" s="1231"/>
      <c r="RN122" s="1231"/>
      <c r="RO122" s="1231"/>
      <c r="RP122" s="1231"/>
      <c r="RQ122" s="1231"/>
      <c r="RR122" s="1231"/>
      <c r="RS122" s="1231"/>
      <c r="RT122" s="1231"/>
      <c r="RU122" s="1231"/>
      <c r="RV122" s="1231"/>
      <c r="RW122" s="1231"/>
      <c r="RX122" s="1231"/>
      <c r="RY122" s="1231"/>
      <c r="RZ122" s="1231"/>
      <c r="SA122" s="1231"/>
      <c r="SB122" s="1231"/>
      <c r="SC122" s="1231"/>
      <c r="SD122" s="1231"/>
      <c r="SE122" s="1231"/>
      <c r="SF122" s="1231"/>
      <c r="SG122" s="1231"/>
      <c r="SH122" s="1231"/>
      <c r="SI122" s="1231"/>
      <c r="SJ122" s="1231"/>
      <c r="SK122" s="1231"/>
      <c r="SL122" s="1231"/>
      <c r="SM122" s="1231"/>
    </row>
    <row r="123" spans="1:507" s="1200" customFormat="1" ht="17.25" customHeight="1" x14ac:dyDescent="0.3">
      <c r="A123" s="3262"/>
      <c r="B123" s="3263"/>
      <c r="C123" s="3264"/>
      <c r="D123" s="3478"/>
      <c r="E123" s="3479"/>
      <c r="F123" s="3479"/>
      <c r="G123" s="3479"/>
      <c r="H123" s="3479"/>
      <c r="I123" s="3480"/>
      <c r="J123" s="3352"/>
      <c r="K123" s="3285"/>
      <c r="L123" s="3346"/>
      <c r="M123" s="3352"/>
      <c r="N123" s="3352"/>
      <c r="O123" s="3297"/>
      <c r="P123" s="3303"/>
      <c r="Q123" s="3285"/>
      <c r="R123" s="3486"/>
      <c r="S123" s="3375"/>
      <c r="T123" s="3285"/>
      <c r="U123" s="3285"/>
      <c r="V123" s="3285"/>
      <c r="W123" s="3355"/>
      <c r="X123" s="3375"/>
      <c r="Y123" s="3375"/>
      <c r="Z123" s="3297"/>
      <c r="AA123" s="3285"/>
      <c r="AB123" s="3492"/>
      <c r="AC123" s="3492"/>
      <c r="AD123" s="3492"/>
      <c r="AE123" s="3492"/>
      <c r="AF123" s="3492"/>
      <c r="AG123" s="3492"/>
      <c r="AH123" s="3492"/>
      <c r="AI123" s="3492"/>
      <c r="AJ123" s="3492"/>
      <c r="AK123" s="3492"/>
      <c r="AL123" s="3492"/>
      <c r="AM123" s="3492"/>
      <c r="AN123" s="3492"/>
      <c r="AO123" s="3492"/>
      <c r="AP123" s="3492"/>
      <c r="AQ123" s="3492"/>
      <c r="AR123" s="3492"/>
      <c r="AS123" s="3492"/>
      <c r="AT123" s="3492"/>
      <c r="AU123" s="3492"/>
      <c r="AV123" s="3492"/>
      <c r="AW123" s="3492"/>
      <c r="AX123" s="3492"/>
      <c r="AY123" s="3321"/>
      <c r="AZ123" s="3324"/>
      <c r="BA123" s="3378"/>
      <c r="BB123" s="3378"/>
      <c r="BC123" s="3359"/>
      <c r="BD123" s="3511"/>
      <c r="BE123" s="3384"/>
      <c r="BF123" s="3434"/>
      <c r="BG123" s="3420"/>
      <c r="BH123" s="3454"/>
      <c r="BI123" s="3420"/>
      <c r="BJ123" s="3506"/>
      <c r="QL123" s="1231"/>
      <c r="QM123" s="1231"/>
      <c r="QN123" s="1231"/>
      <c r="QO123" s="1231"/>
      <c r="QP123" s="1231"/>
      <c r="QQ123" s="1231"/>
      <c r="QR123" s="1231"/>
      <c r="QS123" s="1231"/>
      <c r="QT123" s="1231"/>
      <c r="QU123" s="1231"/>
      <c r="QV123" s="1231"/>
      <c r="QW123" s="1231"/>
      <c r="QX123" s="1231"/>
      <c r="QY123" s="1231"/>
      <c r="QZ123" s="1231"/>
      <c r="RA123" s="1231"/>
      <c r="RB123" s="1231"/>
      <c r="RC123" s="1231"/>
      <c r="RD123" s="1231"/>
      <c r="RE123" s="1231"/>
      <c r="RF123" s="1231"/>
      <c r="RG123" s="1231"/>
      <c r="RH123" s="1231"/>
      <c r="RI123" s="1231"/>
      <c r="RJ123" s="1231"/>
      <c r="RK123" s="1231"/>
      <c r="RL123" s="1231"/>
      <c r="RM123" s="1231"/>
      <c r="RN123" s="1231"/>
      <c r="RO123" s="1231"/>
      <c r="RP123" s="1231"/>
      <c r="RQ123" s="1231"/>
      <c r="RR123" s="1231"/>
      <c r="RS123" s="1231"/>
      <c r="RT123" s="1231"/>
      <c r="RU123" s="1231"/>
      <c r="RV123" s="1231"/>
      <c r="RW123" s="1231"/>
      <c r="RX123" s="1231"/>
      <c r="RY123" s="1231"/>
      <c r="RZ123" s="1231"/>
      <c r="SA123" s="1231"/>
      <c r="SB123" s="1231"/>
      <c r="SC123" s="1231"/>
      <c r="SD123" s="1231"/>
      <c r="SE123" s="1231"/>
      <c r="SF123" s="1231"/>
      <c r="SG123" s="1231"/>
      <c r="SH123" s="1231"/>
      <c r="SI123" s="1231"/>
      <c r="SJ123" s="1231"/>
      <c r="SK123" s="1231"/>
      <c r="SL123" s="1231"/>
      <c r="SM123" s="1231"/>
    </row>
    <row r="124" spans="1:507" s="1200" customFormat="1" ht="17.25" customHeight="1" x14ac:dyDescent="0.3">
      <c r="A124" s="3262"/>
      <c r="B124" s="3263"/>
      <c r="C124" s="3264"/>
      <c r="D124" s="3478"/>
      <c r="E124" s="3479"/>
      <c r="F124" s="3479"/>
      <c r="G124" s="3479"/>
      <c r="H124" s="3479"/>
      <c r="I124" s="3480"/>
      <c r="J124" s="3274">
        <v>13</v>
      </c>
      <c r="K124" s="3276" t="s">
        <v>569</v>
      </c>
      <c r="L124" s="3277"/>
      <c r="M124" s="3277"/>
      <c r="N124" s="3277"/>
      <c r="O124" s="3277"/>
      <c r="P124" s="1205"/>
      <c r="Q124" s="1205"/>
      <c r="R124" s="1205"/>
      <c r="S124" s="1206"/>
      <c r="T124" s="1207"/>
      <c r="U124" s="1207"/>
      <c r="V124" s="1207"/>
      <c r="W124" s="1206"/>
      <c r="X124" s="1206"/>
      <c r="Y124" s="1206"/>
      <c r="Z124" s="1205"/>
      <c r="AA124" s="1205"/>
      <c r="AB124" s="1205"/>
      <c r="AC124" s="1205"/>
      <c r="AD124" s="1205"/>
      <c r="AE124" s="1205"/>
      <c r="AF124" s="1205"/>
      <c r="AG124" s="1205"/>
      <c r="AH124" s="1205"/>
      <c r="AI124" s="1205"/>
      <c r="AJ124" s="1205"/>
      <c r="AK124" s="1205"/>
      <c r="AL124" s="1205"/>
      <c r="AM124" s="1205"/>
      <c r="AN124" s="1205"/>
      <c r="AO124" s="1205"/>
      <c r="AP124" s="1205"/>
      <c r="AQ124" s="1205"/>
      <c r="AR124" s="1205"/>
      <c r="AS124" s="1205"/>
      <c r="AT124" s="1205"/>
      <c r="AU124" s="1205"/>
      <c r="AV124" s="1205"/>
      <c r="AW124" s="1205"/>
      <c r="AX124" s="1205"/>
      <c r="AY124" s="1205"/>
      <c r="AZ124" s="1205"/>
      <c r="BA124" s="1208"/>
      <c r="BB124" s="1208"/>
      <c r="BC124" s="1205"/>
      <c r="BD124" s="1207"/>
      <c r="BE124" s="1207"/>
      <c r="BF124" s="3388"/>
      <c r="BG124" s="3388"/>
      <c r="BH124" s="3388"/>
      <c r="BI124" s="3388"/>
      <c r="BJ124" s="3390"/>
    </row>
    <row r="125" spans="1:507" s="1200" customFormat="1" ht="17.25" customHeight="1" x14ac:dyDescent="0.3">
      <c r="A125" s="3262"/>
      <c r="B125" s="3263"/>
      <c r="C125" s="3264"/>
      <c r="D125" s="3478"/>
      <c r="E125" s="3479"/>
      <c r="F125" s="3479"/>
      <c r="G125" s="3479"/>
      <c r="H125" s="3479"/>
      <c r="I125" s="3480"/>
      <c r="J125" s="3275"/>
      <c r="K125" s="3278"/>
      <c r="L125" s="3279"/>
      <c r="M125" s="3279"/>
      <c r="N125" s="3279"/>
      <c r="O125" s="3279"/>
      <c r="P125" s="1209"/>
      <c r="Q125" s="1209"/>
      <c r="R125" s="1209"/>
      <c r="S125" s="1210"/>
      <c r="T125" s="1211"/>
      <c r="U125" s="1211"/>
      <c r="V125" s="1211"/>
      <c r="W125" s="1210"/>
      <c r="X125" s="1210"/>
      <c r="Y125" s="1210"/>
      <c r="Z125" s="1209"/>
      <c r="AA125" s="1209"/>
      <c r="AB125" s="1209"/>
      <c r="AC125" s="1209"/>
      <c r="AD125" s="1209"/>
      <c r="AE125" s="1209"/>
      <c r="AF125" s="1209"/>
      <c r="AG125" s="1209"/>
      <c r="AH125" s="1209"/>
      <c r="AI125" s="1209"/>
      <c r="AJ125" s="1209"/>
      <c r="AK125" s="1209"/>
      <c r="AL125" s="1209"/>
      <c r="AM125" s="1209"/>
      <c r="AN125" s="1209"/>
      <c r="AO125" s="1209"/>
      <c r="AP125" s="1209"/>
      <c r="AQ125" s="1209"/>
      <c r="AR125" s="1209"/>
      <c r="AS125" s="1209"/>
      <c r="AT125" s="1209"/>
      <c r="AU125" s="1209"/>
      <c r="AV125" s="1209"/>
      <c r="AW125" s="1209"/>
      <c r="AX125" s="1209"/>
      <c r="AY125" s="1209"/>
      <c r="AZ125" s="1209"/>
      <c r="BA125" s="1212"/>
      <c r="BB125" s="1212"/>
      <c r="BC125" s="1209"/>
      <c r="BD125" s="1211"/>
      <c r="BE125" s="1211"/>
      <c r="BF125" s="3389"/>
      <c r="BG125" s="3389"/>
      <c r="BH125" s="3389"/>
      <c r="BI125" s="3389"/>
      <c r="BJ125" s="3391"/>
    </row>
    <row r="126" spans="1:507" s="1200" customFormat="1" ht="17.25" customHeight="1" x14ac:dyDescent="0.3">
      <c r="A126" s="3262"/>
      <c r="B126" s="3263"/>
      <c r="C126" s="3264"/>
      <c r="D126" s="3478"/>
      <c r="E126" s="3479"/>
      <c r="F126" s="3479"/>
      <c r="G126" s="3479"/>
      <c r="H126" s="3479"/>
      <c r="I126" s="3480"/>
      <c r="J126" s="3350">
        <v>53</v>
      </c>
      <c r="K126" s="3283" t="s">
        <v>570</v>
      </c>
      <c r="L126" s="3344" t="s">
        <v>18</v>
      </c>
      <c r="M126" s="3350">
        <v>1</v>
      </c>
      <c r="N126" s="3455">
        <v>0.3</v>
      </c>
      <c r="O126" s="3295" t="s">
        <v>571</v>
      </c>
      <c r="P126" s="3301" t="s">
        <v>572</v>
      </c>
      <c r="Q126" s="3283" t="s">
        <v>573</v>
      </c>
      <c r="R126" s="3286">
        <f>+S126/868209563</f>
        <v>1</v>
      </c>
      <c r="S126" s="3373">
        <f>+W126</f>
        <v>868209563</v>
      </c>
      <c r="T126" s="3283" t="s">
        <v>574</v>
      </c>
      <c r="U126" s="3283" t="s">
        <v>575</v>
      </c>
      <c r="V126" s="3283" t="s">
        <v>576</v>
      </c>
      <c r="W126" s="3353">
        <f>729502600+138706963</f>
        <v>868209563</v>
      </c>
      <c r="X126" s="3373">
        <v>550800000</v>
      </c>
      <c r="Y126" s="3373">
        <v>105700000</v>
      </c>
      <c r="Z126" s="3295" t="s">
        <v>577</v>
      </c>
      <c r="AA126" s="3283" t="s">
        <v>578</v>
      </c>
      <c r="AB126" s="3507">
        <v>64149</v>
      </c>
      <c r="AC126" s="3508"/>
      <c r="AD126" s="3507">
        <v>72224</v>
      </c>
      <c r="AE126" s="3508"/>
      <c r="AF126" s="3507">
        <v>27477</v>
      </c>
      <c r="AG126" s="3508"/>
      <c r="AH126" s="3507">
        <v>86843</v>
      </c>
      <c r="AI126" s="3508"/>
      <c r="AJ126" s="3507">
        <v>236429</v>
      </c>
      <c r="AK126" s="3508"/>
      <c r="AL126" s="3507">
        <v>81384</v>
      </c>
      <c r="AM126" s="3508"/>
      <c r="AN126" s="3507">
        <v>13208</v>
      </c>
      <c r="AO126" s="3508"/>
      <c r="AP126" s="3507">
        <v>1827</v>
      </c>
      <c r="AQ126" s="3508"/>
      <c r="AR126" s="3509"/>
      <c r="AS126" s="3509"/>
      <c r="AT126" s="3509"/>
      <c r="AU126" s="3509"/>
      <c r="AV126" s="3507">
        <v>16897</v>
      </c>
      <c r="AW126" s="3508"/>
      <c r="AX126" s="3507">
        <v>81384</v>
      </c>
      <c r="AY126" s="3514"/>
      <c r="AZ126" s="3322">
        <v>3</v>
      </c>
      <c r="BA126" s="3376">
        <f>161297400+389502600</f>
        <v>550800000</v>
      </c>
      <c r="BB126" s="3376">
        <v>105700000</v>
      </c>
      <c r="BC126" s="3357">
        <f>BB126/BA126</f>
        <v>0.19190268700072621</v>
      </c>
      <c r="BD126" s="3379" t="s">
        <v>578</v>
      </c>
      <c r="BE126" s="3382" t="s">
        <v>554</v>
      </c>
      <c r="BF126" s="3432">
        <v>42745</v>
      </c>
      <c r="BG126" s="3418">
        <v>42767</v>
      </c>
      <c r="BH126" s="3454">
        <v>43100</v>
      </c>
      <c r="BI126" s="3418">
        <v>43100</v>
      </c>
      <c r="BJ126" s="3493" t="s">
        <v>508</v>
      </c>
    </row>
    <row r="127" spans="1:507" s="1200" customFormat="1" ht="17.25" customHeight="1" x14ac:dyDescent="0.3">
      <c r="A127" s="3262"/>
      <c r="B127" s="3263"/>
      <c r="C127" s="3264"/>
      <c r="D127" s="3478"/>
      <c r="E127" s="3479"/>
      <c r="F127" s="3479"/>
      <c r="G127" s="3479"/>
      <c r="H127" s="3479"/>
      <c r="I127" s="3480"/>
      <c r="J127" s="3351"/>
      <c r="K127" s="3284"/>
      <c r="L127" s="3345"/>
      <c r="M127" s="3351"/>
      <c r="N127" s="3456"/>
      <c r="O127" s="3296"/>
      <c r="P127" s="3302"/>
      <c r="Q127" s="3284"/>
      <c r="R127" s="3287"/>
      <c r="S127" s="3374"/>
      <c r="T127" s="3284"/>
      <c r="U127" s="3284"/>
      <c r="V127" s="3284"/>
      <c r="W127" s="3354"/>
      <c r="X127" s="3374"/>
      <c r="Y127" s="3374"/>
      <c r="Z127" s="3296"/>
      <c r="AA127" s="3284"/>
      <c r="AB127" s="3507"/>
      <c r="AC127" s="3508"/>
      <c r="AD127" s="3507"/>
      <c r="AE127" s="3508"/>
      <c r="AF127" s="3507"/>
      <c r="AG127" s="3508"/>
      <c r="AH127" s="3507"/>
      <c r="AI127" s="3508"/>
      <c r="AJ127" s="3507"/>
      <c r="AK127" s="3508"/>
      <c r="AL127" s="3507"/>
      <c r="AM127" s="3508"/>
      <c r="AN127" s="3507"/>
      <c r="AO127" s="3508"/>
      <c r="AP127" s="3507"/>
      <c r="AQ127" s="3508"/>
      <c r="AR127" s="3509"/>
      <c r="AS127" s="3509"/>
      <c r="AT127" s="3509"/>
      <c r="AU127" s="3509"/>
      <c r="AV127" s="3507"/>
      <c r="AW127" s="3508"/>
      <c r="AX127" s="3507"/>
      <c r="AY127" s="3514"/>
      <c r="AZ127" s="3323"/>
      <c r="BA127" s="3377"/>
      <c r="BB127" s="3377"/>
      <c r="BC127" s="3358"/>
      <c r="BD127" s="3380"/>
      <c r="BE127" s="3383"/>
      <c r="BF127" s="3433"/>
      <c r="BG127" s="3419"/>
      <c r="BH127" s="3454"/>
      <c r="BI127" s="3419"/>
      <c r="BJ127" s="3493"/>
    </row>
    <row r="128" spans="1:507" s="1200" customFormat="1" ht="17.25" customHeight="1" x14ac:dyDescent="0.3">
      <c r="A128" s="3262"/>
      <c r="B128" s="3263"/>
      <c r="C128" s="3264"/>
      <c r="D128" s="3478"/>
      <c r="E128" s="3479"/>
      <c r="F128" s="3479"/>
      <c r="G128" s="3479"/>
      <c r="H128" s="3479"/>
      <c r="I128" s="3480"/>
      <c r="J128" s="3351"/>
      <c r="K128" s="3284"/>
      <c r="L128" s="3345"/>
      <c r="M128" s="3351"/>
      <c r="N128" s="3456"/>
      <c r="O128" s="3296"/>
      <c r="P128" s="3302"/>
      <c r="Q128" s="3284"/>
      <c r="R128" s="3287"/>
      <c r="S128" s="3374"/>
      <c r="T128" s="3284"/>
      <c r="U128" s="3284"/>
      <c r="V128" s="3284"/>
      <c r="W128" s="3354"/>
      <c r="X128" s="3374"/>
      <c r="Y128" s="3374"/>
      <c r="Z128" s="3296"/>
      <c r="AA128" s="3284"/>
      <c r="AB128" s="3507"/>
      <c r="AC128" s="3508"/>
      <c r="AD128" s="3507"/>
      <c r="AE128" s="3508"/>
      <c r="AF128" s="3507"/>
      <c r="AG128" s="3508"/>
      <c r="AH128" s="3507"/>
      <c r="AI128" s="3508"/>
      <c r="AJ128" s="3507"/>
      <c r="AK128" s="3508"/>
      <c r="AL128" s="3507"/>
      <c r="AM128" s="3508"/>
      <c r="AN128" s="3507"/>
      <c r="AO128" s="3508"/>
      <c r="AP128" s="3507"/>
      <c r="AQ128" s="3508"/>
      <c r="AR128" s="3509"/>
      <c r="AS128" s="3509"/>
      <c r="AT128" s="3509"/>
      <c r="AU128" s="3509"/>
      <c r="AV128" s="3507"/>
      <c r="AW128" s="3508"/>
      <c r="AX128" s="3507"/>
      <c r="AY128" s="3514"/>
      <c r="AZ128" s="3323"/>
      <c r="BA128" s="3377"/>
      <c r="BB128" s="3377"/>
      <c r="BC128" s="3358"/>
      <c r="BD128" s="3380"/>
      <c r="BE128" s="3383"/>
      <c r="BF128" s="3433"/>
      <c r="BG128" s="3419"/>
      <c r="BH128" s="3454"/>
      <c r="BI128" s="3419"/>
      <c r="BJ128" s="3493"/>
    </row>
    <row r="129" spans="1:83" s="1200" customFormat="1" ht="17.25" customHeight="1" x14ac:dyDescent="0.3">
      <c r="A129" s="3262"/>
      <c r="B129" s="3263"/>
      <c r="C129" s="3264"/>
      <c r="D129" s="3478"/>
      <c r="E129" s="3479"/>
      <c r="F129" s="3479"/>
      <c r="G129" s="3479"/>
      <c r="H129" s="3479"/>
      <c r="I129" s="3480"/>
      <c r="J129" s="3351"/>
      <c r="K129" s="3284"/>
      <c r="L129" s="3345"/>
      <c r="M129" s="3351"/>
      <c r="N129" s="3456"/>
      <c r="O129" s="3296"/>
      <c r="P129" s="3302"/>
      <c r="Q129" s="3284"/>
      <c r="R129" s="3287"/>
      <c r="S129" s="3374"/>
      <c r="T129" s="3284"/>
      <c r="U129" s="3284"/>
      <c r="V129" s="3284"/>
      <c r="W129" s="3354"/>
      <c r="X129" s="3374"/>
      <c r="Y129" s="3374"/>
      <c r="Z129" s="3296"/>
      <c r="AA129" s="3284"/>
      <c r="AB129" s="3507"/>
      <c r="AC129" s="3508"/>
      <c r="AD129" s="3507"/>
      <c r="AE129" s="3508"/>
      <c r="AF129" s="3507"/>
      <c r="AG129" s="3508"/>
      <c r="AH129" s="3507"/>
      <c r="AI129" s="3508"/>
      <c r="AJ129" s="3507"/>
      <c r="AK129" s="3508"/>
      <c r="AL129" s="3507"/>
      <c r="AM129" s="3508"/>
      <c r="AN129" s="3507"/>
      <c r="AO129" s="3508"/>
      <c r="AP129" s="3507"/>
      <c r="AQ129" s="3508"/>
      <c r="AR129" s="3509"/>
      <c r="AS129" s="3509"/>
      <c r="AT129" s="3509"/>
      <c r="AU129" s="3509"/>
      <c r="AV129" s="3507"/>
      <c r="AW129" s="3508"/>
      <c r="AX129" s="3507"/>
      <c r="AY129" s="3514"/>
      <c r="AZ129" s="3323"/>
      <c r="BA129" s="3377"/>
      <c r="BB129" s="3377"/>
      <c r="BC129" s="3358"/>
      <c r="BD129" s="3380"/>
      <c r="BE129" s="3383"/>
      <c r="BF129" s="3433"/>
      <c r="BG129" s="3419"/>
      <c r="BH129" s="3454"/>
      <c r="BI129" s="3419"/>
      <c r="BJ129" s="3493"/>
    </row>
    <row r="130" spans="1:83" s="1200" customFormat="1" ht="17.25" customHeight="1" x14ac:dyDescent="0.3">
      <c r="A130" s="3262"/>
      <c r="B130" s="3263"/>
      <c r="C130" s="3264"/>
      <c r="D130" s="3478"/>
      <c r="E130" s="3479"/>
      <c r="F130" s="3479"/>
      <c r="G130" s="3479"/>
      <c r="H130" s="3479"/>
      <c r="I130" s="3480"/>
      <c r="J130" s="3351"/>
      <c r="K130" s="3284"/>
      <c r="L130" s="3345"/>
      <c r="M130" s="3351"/>
      <c r="N130" s="3456"/>
      <c r="O130" s="3296"/>
      <c r="P130" s="3302"/>
      <c r="Q130" s="3284"/>
      <c r="R130" s="3287"/>
      <c r="S130" s="3374"/>
      <c r="T130" s="3284"/>
      <c r="U130" s="3284"/>
      <c r="V130" s="3284"/>
      <c r="W130" s="3354"/>
      <c r="X130" s="3374"/>
      <c r="Y130" s="3374"/>
      <c r="Z130" s="3296"/>
      <c r="AA130" s="3284"/>
      <c r="AB130" s="3507"/>
      <c r="AC130" s="3508"/>
      <c r="AD130" s="3507"/>
      <c r="AE130" s="3508"/>
      <c r="AF130" s="3507"/>
      <c r="AG130" s="3508"/>
      <c r="AH130" s="3507"/>
      <c r="AI130" s="3508"/>
      <c r="AJ130" s="3507"/>
      <c r="AK130" s="3508"/>
      <c r="AL130" s="3507"/>
      <c r="AM130" s="3508"/>
      <c r="AN130" s="3507"/>
      <c r="AO130" s="3508"/>
      <c r="AP130" s="3507"/>
      <c r="AQ130" s="3508"/>
      <c r="AR130" s="3509"/>
      <c r="AS130" s="3509"/>
      <c r="AT130" s="3509"/>
      <c r="AU130" s="3509"/>
      <c r="AV130" s="3507"/>
      <c r="AW130" s="3508"/>
      <c r="AX130" s="3507"/>
      <c r="AY130" s="3514"/>
      <c r="AZ130" s="3323"/>
      <c r="BA130" s="3377"/>
      <c r="BB130" s="3377"/>
      <c r="BC130" s="3358"/>
      <c r="BD130" s="3380"/>
      <c r="BE130" s="3383"/>
      <c r="BF130" s="3433"/>
      <c r="BG130" s="3419"/>
      <c r="BH130" s="3454"/>
      <c r="BI130" s="3419"/>
      <c r="BJ130" s="3493"/>
    </row>
    <row r="131" spans="1:83" s="1200" customFormat="1" ht="17.25" customHeight="1" x14ac:dyDescent="0.3">
      <c r="A131" s="3262"/>
      <c r="B131" s="3263"/>
      <c r="C131" s="3264"/>
      <c r="D131" s="3478"/>
      <c r="E131" s="3479"/>
      <c r="F131" s="3479"/>
      <c r="G131" s="3479"/>
      <c r="H131" s="3479"/>
      <c r="I131" s="3480"/>
      <c r="J131" s="3351"/>
      <c r="K131" s="3284"/>
      <c r="L131" s="3345"/>
      <c r="M131" s="3351"/>
      <c r="N131" s="3456"/>
      <c r="O131" s="3296"/>
      <c r="P131" s="3302"/>
      <c r="Q131" s="3284"/>
      <c r="R131" s="3287"/>
      <c r="S131" s="3374"/>
      <c r="T131" s="3284"/>
      <c r="U131" s="3284"/>
      <c r="V131" s="3284"/>
      <c r="W131" s="3354"/>
      <c r="X131" s="3374"/>
      <c r="Y131" s="3374"/>
      <c r="Z131" s="3296"/>
      <c r="AA131" s="3284"/>
      <c r="AB131" s="3507"/>
      <c r="AC131" s="3508"/>
      <c r="AD131" s="3507"/>
      <c r="AE131" s="3508"/>
      <c r="AF131" s="3507"/>
      <c r="AG131" s="3508"/>
      <c r="AH131" s="3507"/>
      <c r="AI131" s="3508"/>
      <c r="AJ131" s="3507"/>
      <c r="AK131" s="3508"/>
      <c r="AL131" s="3507"/>
      <c r="AM131" s="3508"/>
      <c r="AN131" s="3507"/>
      <c r="AO131" s="3508"/>
      <c r="AP131" s="3507"/>
      <c r="AQ131" s="3508"/>
      <c r="AR131" s="3509"/>
      <c r="AS131" s="3509"/>
      <c r="AT131" s="3509"/>
      <c r="AU131" s="3509"/>
      <c r="AV131" s="3507"/>
      <c r="AW131" s="3508"/>
      <c r="AX131" s="3507"/>
      <c r="AY131" s="3514"/>
      <c r="AZ131" s="3323"/>
      <c r="BA131" s="3377"/>
      <c r="BB131" s="3377"/>
      <c r="BC131" s="3358"/>
      <c r="BD131" s="3380"/>
      <c r="BE131" s="3383"/>
      <c r="BF131" s="3433"/>
      <c r="BG131" s="3419"/>
      <c r="BH131" s="3454"/>
      <c r="BI131" s="3419"/>
      <c r="BJ131" s="3493"/>
    </row>
    <row r="132" spans="1:83" s="1200" customFormat="1" ht="17.25" customHeight="1" x14ac:dyDescent="0.3">
      <c r="A132" s="3262"/>
      <c r="B132" s="3263"/>
      <c r="C132" s="3264"/>
      <c r="D132" s="3478"/>
      <c r="E132" s="3479"/>
      <c r="F132" s="3479"/>
      <c r="G132" s="3479"/>
      <c r="H132" s="3479"/>
      <c r="I132" s="3480"/>
      <c r="J132" s="3351"/>
      <c r="K132" s="3284"/>
      <c r="L132" s="3345"/>
      <c r="M132" s="3351"/>
      <c r="N132" s="3456"/>
      <c r="O132" s="3296"/>
      <c r="P132" s="3302"/>
      <c r="Q132" s="3284"/>
      <c r="R132" s="3287"/>
      <c r="S132" s="3374"/>
      <c r="T132" s="3284"/>
      <c r="U132" s="3284"/>
      <c r="V132" s="3284"/>
      <c r="W132" s="3354"/>
      <c r="X132" s="3374"/>
      <c r="Y132" s="3374"/>
      <c r="Z132" s="3296"/>
      <c r="AA132" s="3284"/>
      <c r="AB132" s="3507"/>
      <c r="AC132" s="3508"/>
      <c r="AD132" s="3507"/>
      <c r="AE132" s="3508"/>
      <c r="AF132" s="3507"/>
      <c r="AG132" s="3508"/>
      <c r="AH132" s="3507"/>
      <c r="AI132" s="3508"/>
      <c r="AJ132" s="3507"/>
      <c r="AK132" s="3508"/>
      <c r="AL132" s="3507"/>
      <c r="AM132" s="3508"/>
      <c r="AN132" s="3507"/>
      <c r="AO132" s="3508"/>
      <c r="AP132" s="3507"/>
      <c r="AQ132" s="3508"/>
      <c r="AR132" s="3509"/>
      <c r="AS132" s="3509"/>
      <c r="AT132" s="3509"/>
      <c r="AU132" s="3509"/>
      <c r="AV132" s="3507"/>
      <c r="AW132" s="3508"/>
      <c r="AX132" s="3507"/>
      <c r="AY132" s="3514"/>
      <c r="AZ132" s="3323"/>
      <c r="BA132" s="3377"/>
      <c r="BB132" s="3377"/>
      <c r="BC132" s="3358"/>
      <c r="BD132" s="3380"/>
      <c r="BE132" s="3383"/>
      <c r="BF132" s="3433"/>
      <c r="BG132" s="3419"/>
      <c r="BH132" s="3454"/>
      <c r="BI132" s="3419"/>
      <c r="BJ132" s="3493"/>
    </row>
    <row r="133" spans="1:83" s="1200" customFormat="1" ht="25.5" customHeight="1" x14ac:dyDescent="0.3">
      <c r="A133" s="3265"/>
      <c r="B133" s="3266"/>
      <c r="C133" s="3267"/>
      <c r="D133" s="3481"/>
      <c r="E133" s="3482"/>
      <c r="F133" s="3482"/>
      <c r="G133" s="3482"/>
      <c r="H133" s="3482"/>
      <c r="I133" s="3483"/>
      <c r="J133" s="3352"/>
      <c r="K133" s="3285"/>
      <c r="L133" s="3346"/>
      <c r="M133" s="3352"/>
      <c r="N133" s="3457"/>
      <c r="O133" s="3297"/>
      <c r="P133" s="3303"/>
      <c r="Q133" s="3285"/>
      <c r="R133" s="3288"/>
      <c r="S133" s="3375"/>
      <c r="T133" s="3285"/>
      <c r="U133" s="3285"/>
      <c r="V133" s="3285"/>
      <c r="W133" s="3355"/>
      <c r="X133" s="3375"/>
      <c r="Y133" s="3375"/>
      <c r="Z133" s="3297"/>
      <c r="AA133" s="3285"/>
      <c r="AB133" s="3507"/>
      <c r="AC133" s="3508"/>
      <c r="AD133" s="3507"/>
      <c r="AE133" s="3508"/>
      <c r="AF133" s="3507"/>
      <c r="AG133" s="3508"/>
      <c r="AH133" s="3507"/>
      <c r="AI133" s="3508"/>
      <c r="AJ133" s="3507"/>
      <c r="AK133" s="3508"/>
      <c r="AL133" s="3507"/>
      <c r="AM133" s="3508"/>
      <c r="AN133" s="3507"/>
      <c r="AO133" s="3508"/>
      <c r="AP133" s="3507"/>
      <c r="AQ133" s="3508"/>
      <c r="AR133" s="3509"/>
      <c r="AS133" s="3509"/>
      <c r="AT133" s="3509"/>
      <c r="AU133" s="3509"/>
      <c r="AV133" s="3507"/>
      <c r="AW133" s="3508"/>
      <c r="AX133" s="3507"/>
      <c r="AY133" s="3514"/>
      <c r="AZ133" s="3324"/>
      <c r="BA133" s="3378"/>
      <c r="BB133" s="3378"/>
      <c r="BC133" s="3359"/>
      <c r="BD133" s="3381"/>
      <c r="BE133" s="3384"/>
      <c r="BF133" s="3434"/>
      <c r="BG133" s="3420"/>
      <c r="BH133" s="3454"/>
      <c r="BI133" s="3420"/>
      <c r="BJ133" s="3493"/>
    </row>
    <row r="134" spans="1:83" ht="36.75" customHeight="1" x14ac:dyDescent="0.3">
      <c r="A134" s="1233"/>
      <c r="B134" s="1234"/>
      <c r="C134" s="1234"/>
      <c r="D134" s="1234"/>
      <c r="E134" s="1234"/>
      <c r="F134" s="1234"/>
      <c r="G134" s="1234"/>
      <c r="H134" s="1234"/>
      <c r="I134" s="1234"/>
      <c r="J134" s="1234"/>
      <c r="K134" s="1234"/>
      <c r="L134" s="1234"/>
      <c r="M134" s="1234"/>
      <c r="N134" s="1234"/>
      <c r="O134" s="1234"/>
      <c r="P134" s="3512" t="s">
        <v>140</v>
      </c>
      <c r="Q134" s="3512"/>
      <c r="R134" s="3513"/>
      <c r="S134" s="1235">
        <f>+S22+S27+S32+S49+S56+S62+S69+S75+S83+S89+S93+S101+S107+S111+S126+S40</f>
        <v>2460109563</v>
      </c>
      <c r="T134" s="1236"/>
      <c r="U134" s="1237"/>
      <c r="V134" s="1238"/>
      <c r="W134" s="1235">
        <f>SUM(W22:W133)</f>
        <v>2460109563</v>
      </c>
      <c r="X134" s="1235">
        <f>SUM(X22:X133)</f>
        <v>860920000</v>
      </c>
      <c r="Y134" s="1235">
        <f>SUM(Y22:Y133)</f>
        <v>145920000</v>
      </c>
      <c r="Z134" s="1239"/>
      <c r="AA134" s="1240"/>
      <c r="AB134" s="1240"/>
      <c r="AC134" s="1240"/>
      <c r="AD134" s="1240"/>
      <c r="AE134" s="1240"/>
      <c r="AF134" s="1240"/>
      <c r="AG134" s="1240"/>
      <c r="AH134" s="1240"/>
      <c r="AI134" s="1240"/>
      <c r="AJ134" s="1240"/>
      <c r="AK134" s="1240"/>
      <c r="AL134" s="1240"/>
      <c r="AM134" s="1240"/>
      <c r="AN134" s="1240"/>
      <c r="AO134" s="1240"/>
      <c r="AP134" s="1240"/>
      <c r="AQ134" s="1240"/>
      <c r="AR134" s="1240"/>
      <c r="AS134" s="1240"/>
      <c r="AT134" s="1240"/>
      <c r="AU134" s="1240"/>
      <c r="AV134" s="1240"/>
      <c r="AW134" s="1240"/>
      <c r="AX134" s="1240"/>
      <c r="AY134" s="1241"/>
      <c r="AZ134" s="1242"/>
      <c r="BA134" s="1243">
        <f>SUM(BA22:BA133)</f>
        <v>860920000</v>
      </c>
      <c r="BB134" s="1243">
        <f>SUM(BB22:BB133)</f>
        <v>145920000</v>
      </c>
      <c r="BC134" s="1244">
        <f>BB134/BA134</f>
        <v>0.16949310040421875</v>
      </c>
      <c r="BD134" s="1241"/>
      <c r="BE134" s="1245"/>
      <c r="BF134" s="1246"/>
      <c r="BG134" s="1246"/>
      <c r="BH134" s="1247"/>
      <c r="BI134" s="1247"/>
      <c r="BJ134" s="1248"/>
    </row>
    <row r="135" spans="1:83" ht="17.25" customHeight="1" x14ac:dyDescent="0.3">
      <c r="S135" s="1251"/>
    </row>
    <row r="136" spans="1:83" s="1258" customFormat="1" ht="21.75" customHeight="1" x14ac:dyDescent="0.25">
      <c r="E136" s="1259" t="s">
        <v>579</v>
      </c>
      <c r="F136" s="1259"/>
      <c r="G136" s="1259"/>
      <c r="H136" s="1259"/>
      <c r="I136" s="1259"/>
      <c r="Q136" s="1260"/>
      <c r="R136" s="1261"/>
      <c r="S136" s="1262"/>
      <c r="T136" s="1263"/>
      <c r="W136" s="1264"/>
      <c r="X136" s="1264"/>
      <c r="Y136" s="1264"/>
      <c r="Z136" s="1265"/>
      <c r="AA136" s="1265"/>
      <c r="AB136" s="1265"/>
      <c r="AC136" s="1265"/>
      <c r="AD136" s="1266"/>
      <c r="AE136" s="1266"/>
      <c r="BA136" s="1267"/>
      <c r="BB136" s="1267"/>
      <c r="BE136" s="1268"/>
      <c r="BJ136" s="1269"/>
      <c r="BT136" s="1262"/>
      <c r="BU136" s="1262"/>
      <c r="BV136" s="1262"/>
      <c r="BW136" s="1270"/>
      <c r="BX136" s="1262"/>
      <c r="BY136" s="1262"/>
      <c r="BZ136" s="1271"/>
      <c r="CA136" s="1271"/>
      <c r="CB136" s="1272"/>
      <c r="CC136" s="1272"/>
      <c r="CD136" s="1269"/>
      <c r="CE136" s="1269"/>
    </row>
    <row r="137" spans="1:83" s="1258" customFormat="1" ht="22.5" customHeight="1" x14ac:dyDescent="0.3">
      <c r="E137" s="1182" t="s">
        <v>580</v>
      </c>
      <c r="F137" s="1182"/>
      <c r="G137" s="1182"/>
      <c r="H137" s="1182"/>
      <c r="I137" s="1182"/>
      <c r="Q137" s="1260"/>
      <c r="R137" s="1261"/>
      <c r="S137" s="1262"/>
      <c r="T137" s="1263"/>
      <c r="W137" s="1273"/>
      <c r="X137" s="1273"/>
      <c r="Y137" s="1273"/>
      <c r="Z137" s="1265"/>
      <c r="AA137" s="1265"/>
      <c r="AB137" s="1265"/>
      <c r="AC137" s="1265"/>
      <c r="AD137" s="1266"/>
      <c r="AE137" s="1266"/>
      <c r="BA137" s="1267"/>
      <c r="BB137" s="1267"/>
      <c r="BE137" s="1268"/>
      <c r="BJ137" s="1269"/>
      <c r="BT137" s="1262"/>
      <c r="BU137" s="1262"/>
      <c r="BV137" s="1262"/>
      <c r="BW137" s="1270"/>
      <c r="BX137" s="1262"/>
      <c r="BY137" s="1262"/>
      <c r="BZ137" s="1271"/>
      <c r="CA137" s="1271"/>
      <c r="CB137" s="1272"/>
      <c r="CC137" s="1272"/>
      <c r="CD137" s="1269"/>
      <c r="CE137" s="1269"/>
    </row>
    <row r="138" spans="1:83" ht="17.25" customHeight="1" x14ac:dyDescent="0.3">
      <c r="S138" s="1251"/>
      <c r="W138" s="1273"/>
      <c r="X138" s="1273"/>
      <c r="Y138" s="1273"/>
    </row>
    <row r="139" spans="1:83" ht="17.25" customHeight="1" x14ac:dyDescent="0.3">
      <c r="S139" s="1251"/>
    </row>
    <row r="140" spans="1:83" ht="17.25" customHeight="1" x14ac:dyDescent="0.3">
      <c r="S140" s="1251"/>
      <c r="W140" s="1274"/>
      <c r="X140" s="1274"/>
      <c r="Y140" s="1274"/>
    </row>
    <row r="141" spans="1:83" ht="17.25" customHeight="1" x14ac:dyDescent="0.3">
      <c r="S141" s="1251"/>
    </row>
    <row r="142" spans="1:83" ht="17.25" customHeight="1" x14ac:dyDescent="0.3">
      <c r="S142" s="1251"/>
    </row>
  </sheetData>
  <sheetProtection password="CBEB" sheet="1" objects="1" scenarios="1"/>
  <mergeCells count="701">
    <mergeCell ref="BJ126:BJ133"/>
    <mergeCell ref="P134:R134"/>
    <mergeCell ref="AZ126:AZ133"/>
    <mergeCell ref="BA126:BA133"/>
    <mergeCell ref="BB126:BB133"/>
    <mergeCell ref="BC126:BC133"/>
    <mergeCell ref="BD126:BD133"/>
    <mergeCell ref="BE126:BE133"/>
    <mergeCell ref="AT126:AT133"/>
    <mergeCell ref="AU126:AU133"/>
    <mergeCell ref="AV126:AV133"/>
    <mergeCell ref="AW126:AW133"/>
    <mergeCell ref="AX126:AX133"/>
    <mergeCell ref="AY126:AY133"/>
    <mergeCell ref="AN126:AN133"/>
    <mergeCell ref="AO126:AO133"/>
    <mergeCell ref="AP126:AP133"/>
    <mergeCell ref="AH126:AH133"/>
    <mergeCell ref="AI126:AI133"/>
    <mergeCell ref="AJ126:AJ133"/>
    <mergeCell ref="AK126:AK133"/>
    <mergeCell ref="AL126:AL133"/>
    <mergeCell ref="AM126:AM133"/>
    <mergeCell ref="A1:BH2"/>
    <mergeCell ref="A3:BH3"/>
    <mergeCell ref="A4:BH4"/>
    <mergeCell ref="BF126:BF133"/>
    <mergeCell ref="BG126:BG133"/>
    <mergeCell ref="BH126:BH133"/>
    <mergeCell ref="P126:P133"/>
    <mergeCell ref="Q126:Q133"/>
    <mergeCell ref="R126:R133"/>
    <mergeCell ref="S126:S133"/>
    <mergeCell ref="T126:T133"/>
    <mergeCell ref="U126:U133"/>
    <mergeCell ref="BG124:BG125"/>
    <mergeCell ref="BH124:BH125"/>
    <mergeCell ref="BD111:BD123"/>
    <mergeCell ref="BE111:BE123"/>
    <mergeCell ref="BF111:BF123"/>
    <mergeCell ref="BG111:BG123"/>
    <mergeCell ref="BH111:BH123"/>
    <mergeCell ref="AW111:AW123"/>
    <mergeCell ref="AX111:AX123"/>
    <mergeCell ref="AY111:AY123"/>
    <mergeCell ref="AZ111:AZ123"/>
    <mergeCell ref="BA111:BA123"/>
    <mergeCell ref="BI124:BI125"/>
    <mergeCell ref="AB126:AB133"/>
    <mergeCell ref="AC126:AC133"/>
    <mergeCell ref="AD126:AD133"/>
    <mergeCell ref="AE126:AE133"/>
    <mergeCell ref="AF126:AF133"/>
    <mergeCell ref="AG126:AG133"/>
    <mergeCell ref="V126:V133"/>
    <mergeCell ref="W126:W133"/>
    <mergeCell ref="X126:X133"/>
    <mergeCell ref="Y126:Y133"/>
    <mergeCell ref="Z126:Z133"/>
    <mergeCell ref="AA126:AA133"/>
    <mergeCell ref="AQ126:AQ133"/>
    <mergeCell ref="AR126:AR133"/>
    <mergeCell ref="AS126:AS133"/>
    <mergeCell ref="BI126:BI133"/>
    <mergeCell ref="BJ124:BJ125"/>
    <mergeCell ref="J126:J133"/>
    <mergeCell ref="K126:K133"/>
    <mergeCell ref="L126:L133"/>
    <mergeCell ref="M126:M133"/>
    <mergeCell ref="N126:N133"/>
    <mergeCell ref="O126:O133"/>
    <mergeCell ref="W121:W123"/>
    <mergeCell ref="X121:X123"/>
    <mergeCell ref="Y121:Y123"/>
    <mergeCell ref="J124:J125"/>
    <mergeCell ref="K124:O125"/>
    <mergeCell ref="BF124:BF125"/>
    <mergeCell ref="BI111:BI123"/>
    <mergeCell ref="BJ111:BJ123"/>
    <mergeCell ref="V114:V115"/>
    <mergeCell ref="W114:W115"/>
    <mergeCell ref="X114:X115"/>
    <mergeCell ref="Y114:Y115"/>
    <mergeCell ref="V116:V117"/>
    <mergeCell ref="W116:W117"/>
    <mergeCell ref="X116:X117"/>
    <mergeCell ref="Y116:Y117"/>
    <mergeCell ref="BC111:BC123"/>
    <mergeCell ref="BB111:BB123"/>
    <mergeCell ref="AQ111:AQ123"/>
    <mergeCell ref="AR111:AR123"/>
    <mergeCell ref="AS111:AS123"/>
    <mergeCell ref="AT111:AT123"/>
    <mergeCell ref="AU111:AU123"/>
    <mergeCell ref="AV111:AV123"/>
    <mergeCell ref="AK111:AK123"/>
    <mergeCell ref="AL111:AL123"/>
    <mergeCell ref="AM111:AM123"/>
    <mergeCell ref="AN111:AN123"/>
    <mergeCell ref="AO111:AO123"/>
    <mergeCell ref="AP111:AP123"/>
    <mergeCell ref="AH111:AH123"/>
    <mergeCell ref="AI111:AI123"/>
    <mergeCell ref="AJ111:AJ123"/>
    <mergeCell ref="Y111:Y113"/>
    <mergeCell ref="Z111:Z123"/>
    <mergeCell ref="AA111:AA123"/>
    <mergeCell ref="AB111:AB123"/>
    <mergeCell ref="AC111:AC123"/>
    <mergeCell ref="AD111:AD123"/>
    <mergeCell ref="Y118:Y120"/>
    <mergeCell ref="AM101:AM108"/>
    <mergeCell ref="BJ109:BJ110"/>
    <mergeCell ref="J111:J123"/>
    <mergeCell ref="K111:K123"/>
    <mergeCell ref="L111:L123"/>
    <mergeCell ref="M111:M123"/>
    <mergeCell ref="N111:N123"/>
    <mergeCell ref="O111:O123"/>
    <mergeCell ref="P111:P123"/>
    <mergeCell ref="Q111:Q123"/>
    <mergeCell ref="R111:R123"/>
    <mergeCell ref="S111:S123"/>
    <mergeCell ref="T111:T123"/>
    <mergeCell ref="U111:U123"/>
    <mergeCell ref="V111:V113"/>
    <mergeCell ref="W111:W113"/>
    <mergeCell ref="X111:X113"/>
    <mergeCell ref="V118:V120"/>
    <mergeCell ref="W118:W120"/>
    <mergeCell ref="X118:X120"/>
    <mergeCell ref="V121:V123"/>
    <mergeCell ref="AE111:AE123"/>
    <mergeCell ref="AF111:AF123"/>
    <mergeCell ref="AG111:AG123"/>
    <mergeCell ref="AW101:AW108"/>
    <mergeCell ref="BF107:BF108"/>
    <mergeCell ref="BG107:BG108"/>
    <mergeCell ref="BH107:BH108"/>
    <mergeCell ref="BI107:BI108"/>
    <mergeCell ref="J109:J110"/>
    <mergeCell ref="K109:N110"/>
    <mergeCell ref="BF109:BF110"/>
    <mergeCell ref="BG109:BG110"/>
    <mergeCell ref="BH109:BH110"/>
    <mergeCell ref="BI109:BI110"/>
    <mergeCell ref="AX101:AX108"/>
    <mergeCell ref="AY101:AY108"/>
    <mergeCell ref="AN101:AN108"/>
    <mergeCell ref="AO101:AO108"/>
    <mergeCell ref="AP101:AP108"/>
    <mergeCell ref="AQ101:AQ108"/>
    <mergeCell ref="AR101:AR108"/>
    <mergeCell ref="AS101:AS108"/>
    <mergeCell ref="AH101:AH108"/>
    <mergeCell ref="AI101:AI108"/>
    <mergeCell ref="AJ101:AJ108"/>
    <mergeCell ref="AK101:AK108"/>
    <mergeCell ref="AL101:AL108"/>
    <mergeCell ref="Y107:Y108"/>
    <mergeCell ref="BF101:BF106"/>
    <mergeCell ref="BG101:BG106"/>
    <mergeCell ref="BH101:BH106"/>
    <mergeCell ref="BI101:BI106"/>
    <mergeCell ref="BJ101:BJ108"/>
    <mergeCell ref="J107:J108"/>
    <mergeCell ref="K107:K108"/>
    <mergeCell ref="L107:L108"/>
    <mergeCell ref="M107:M108"/>
    <mergeCell ref="N107:N108"/>
    <mergeCell ref="AZ101:AZ106"/>
    <mergeCell ref="BA101:BA106"/>
    <mergeCell ref="BB101:BB106"/>
    <mergeCell ref="BC101:BC106"/>
    <mergeCell ref="BD101:BD108"/>
    <mergeCell ref="BE101:BE108"/>
    <mergeCell ref="AZ107:AZ108"/>
    <mergeCell ref="BA107:BA108"/>
    <mergeCell ref="BB107:BB108"/>
    <mergeCell ref="BC107:BC108"/>
    <mergeCell ref="AT101:AT108"/>
    <mergeCell ref="AU101:AU108"/>
    <mergeCell ref="AV101:AV108"/>
    <mergeCell ref="P101:P108"/>
    <mergeCell ref="Q101:Q108"/>
    <mergeCell ref="R101:R106"/>
    <mergeCell ref="S101:S106"/>
    <mergeCell ref="T101:T108"/>
    <mergeCell ref="U101:U108"/>
    <mergeCell ref="R107:R108"/>
    <mergeCell ref="S107:S108"/>
    <mergeCell ref="BJ98:BJ99"/>
    <mergeCell ref="AB101:AB108"/>
    <mergeCell ref="AC101:AC108"/>
    <mergeCell ref="AD101:AD108"/>
    <mergeCell ref="AE101:AE108"/>
    <mergeCell ref="AF101:AF108"/>
    <mergeCell ref="AG101:AG108"/>
    <mergeCell ref="V101:V106"/>
    <mergeCell ref="W101:W106"/>
    <mergeCell ref="X101:X106"/>
    <mergeCell ref="Y101:Y106"/>
    <mergeCell ref="Z101:Z108"/>
    <mergeCell ref="AA101:AA108"/>
    <mergeCell ref="V107:V108"/>
    <mergeCell ref="W107:W108"/>
    <mergeCell ref="X107:X108"/>
    <mergeCell ref="D100:I100"/>
    <mergeCell ref="K100:O100"/>
    <mergeCell ref="D101:I133"/>
    <mergeCell ref="J101:J106"/>
    <mergeCell ref="K101:K106"/>
    <mergeCell ref="L101:L106"/>
    <mergeCell ref="M101:M106"/>
    <mergeCell ref="N101:N106"/>
    <mergeCell ref="O101:O108"/>
    <mergeCell ref="D98:D99"/>
    <mergeCell ref="E98:K99"/>
    <mergeCell ref="BF98:BF99"/>
    <mergeCell ref="BG98:BG99"/>
    <mergeCell ref="BH98:BH99"/>
    <mergeCell ref="BI98:BI99"/>
    <mergeCell ref="BB93:BB97"/>
    <mergeCell ref="BC93:BC97"/>
    <mergeCell ref="BF93:BF97"/>
    <mergeCell ref="BG93:BG97"/>
    <mergeCell ref="BH93:BH97"/>
    <mergeCell ref="BI93:BI97"/>
    <mergeCell ref="Z83:Z97"/>
    <mergeCell ref="AA83:AA97"/>
    <mergeCell ref="AB83:AB97"/>
    <mergeCell ref="AC83:AC97"/>
    <mergeCell ref="X89:X92"/>
    <mergeCell ref="Y89:Y92"/>
    <mergeCell ref="X93:X97"/>
    <mergeCell ref="Y93:Y97"/>
    <mergeCell ref="R83:R88"/>
    <mergeCell ref="S83:S88"/>
    <mergeCell ref="T83:T97"/>
    <mergeCell ref="U83:U88"/>
    <mergeCell ref="BH89:BH92"/>
    <mergeCell ref="BI89:BI92"/>
    <mergeCell ref="J93:J97"/>
    <mergeCell ref="K93:K97"/>
    <mergeCell ref="M93:M97"/>
    <mergeCell ref="N93:N97"/>
    <mergeCell ref="R93:R97"/>
    <mergeCell ref="S93:S97"/>
    <mergeCell ref="V93:V97"/>
    <mergeCell ref="W93:W97"/>
    <mergeCell ref="AJ83:AJ97"/>
    <mergeCell ref="AK83:AK97"/>
    <mergeCell ref="AL83:AL97"/>
    <mergeCell ref="AM83:AM97"/>
    <mergeCell ref="AN83:AN97"/>
    <mergeCell ref="AO83:AO97"/>
    <mergeCell ref="AD83:AD97"/>
    <mergeCell ref="AE83:AE97"/>
    <mergeCell ref="AF83:AF97"/>
    <mergeCell ref="AG83:AG97"/>
    <mergeCell ref="AH83:AH97"/>
    <mergeCell ref="AI83:AI97"/>
    <mergeCell ref="X83:X88"/>
    <mergeCell ref="Y83:Y88"/>
    <mergeCell ref="BH83:BH88"/>
    <mergeCell ref="BI83:BI88"/>
    <mergeCell ref="BJ83:BJ97"/>
    <mergeCell ref="J89:J92"/>
    <mergeCell ref="K89:K92"/>
    <mergeCell ref="M89:M92"/>
    <mergeCell ref="N89:N92"/>
    <mergeCell ref="R89:R92"/>
    <mergeCell ref="S89:S92"/>
    <mergeCell ref="U89:U97"/>
    <mergeCell ref="BB83:BB88"/>
    <mergeCell ref="BC83:BC88"/>
    <mergeCell ref="BD83:BD97"/>
    <mergeCell ref="BE83:BE97"/>
    <mergeCell ref="BF83:BF88"/>
    <mergeCell ref="BG83:BG88"/>
    <mergeCell ref="BB89:BB92"/>
    <mergeCell ref="BC89:BC92"/>
    <mergeCell ref="BF89:BF92"/>
    <mergeCell ref="BG89:BG92"/>
    <mergeCell ref="AV83:AV97"/>
    <mergeCell ref="AW83:AW97"/>
    <mergeCell ref="AX83:AX97"/>
    <mergeCell ref="AY83:AY97"/>
    <mergeCell ref="V83:V88"/>
    <mergeCell ref="W83:W88"/>
    <mergeCell ref="V89:V92"/>
    <mergeCell ref="W89:W92"/>
    <mergeCell ref="BJ81:BJ82"/>
    <mergeCell ref="G83:I97"/>
    <mergeCell ref="J83:J88"/>
    <mergeCell ref="K83:K88"/>
    <mergeCell ref="L83:L97"/>
    <mergeCell ref="M83:M88"/>
    <mergeCell ref="N83:N88"/>
    <mergeCell ref="O83:O97"/>
    <mergeCell ref="P83:P97"/>
    <mergeCell ref="Q83:Q97"/>
    <mergeCell ref="AZ83:AZ88"/>
    <mergeCell ref="BA83:BA88"/>
    <mergeCell ref="BA89:BA92"/>
    <mergeCell ref="BA93:BA97"/>
    <mergeCell ref="AP83:AP97"/>
    <mergeCell ref="AQ83:AQ97"/>
    <mergeCell ref="AR83:AR97"/>
    <mergeCell ref="AS83:AS97"/>
    <mergeCell ref="AT83:AT97"/>
    <mergeCell ref="AU83:AU97"/>
    <mergeCell ref="BI75:BI80"/>
    <mergeCell ref="G81:G82"/>
    <mergeCell ref="H81:L82"/>
    <mergeCell ref="BF81:BF82"/>
    <mergeCell ref="BG81:BG82"/>
    <mergeCell ref="BH81:BH82"/>
    <mergeCell ref="BI81:BI82"/>
    <mergeCell ref="BA75:BA80"/>
    <mergeCell ref="BB75:BB80"/>
    <mergeCell ref="BC75:BC80"/>
    <mergeCell ref="BF75:BF80"/>
    <mergeCell ref="BG75:BG80"/>
    <mergeCell ref="BH75:BH80"/>
    <mergeCell ref="S75:S80"/>
    <mergeCell ref="V75:V80"/>
    <mergeCell ref="W75:W80"/>
    <mergeCell ref="X75:X80"/>
    <mergeCell ref="Y75:Y80"/>
    <mergeCell ref="AZ75:AZ80"/>
    <mergeCell ref="J75:J80"/>
    <mergeCell ref="K75:K80"/>
    <mergeCell ref="L75:L80"/>
    <mergeCell ref="M75:M80"/>
    <mergeCell ref="N75:N80"/>
    <mergeCell ref="R75:R80"/>
    <mergeCell ref="BG69:BG74"/>
    <mergeCell ref="BH69:BH74"/>
    <mergeCell ref="BI69:BI74"/>
    <mergeCell ref="V72:V74"/>
    <mergeCell ref="W72:W74"/>
    <mergeCell ref="X72:X74"/>
    <mergeCell ref="Y72:Y74"/>
    <mergeCell ref="Y69:Y71"/>
    <mergeCell ref="AZ69:AZ74"/>
    <mergeCell ref="BA69:BA74"/>
    <mergeCell ref="BB69:BB74"/>
    <mergeCell ref="BC69:BC74"/>
    <mergeCell ref="BF69:BF74"/>
    <mergeCell ref="AT56:AT80"/>
    <mergeCell ref="AI56:AI80"/>
    <mergeCell ref="AJ56:AJ80"/>
    <mergeCell ref="AK56:AK80"/>
    <mergeCell ref="AL56:AL80"/>
    <mergeCell ref="AM56:AM80"/>
    <mergeCell ref="AN56:AN80"/>
    <mergeCell ref="AC56:AC80"/>
    <mergeCell ref="AD56:AD80"/>
    <mergeCell ref="AE56:AE80"/>
    <mergeCell ref="BG62:BG68"/>
    <mergeCell ref="BH62:BH68"/>
    <mergeCell ref="BI62:BI68"/>
    <mergeCell ref="J69:J74"/>
    <mergeCell ref="K69:K74"/>
    <mergeCell ref="L69:L74"/>
    <mergeCell ref="M69:M74"/>
    <mergeCell ref="N69:N74"/>
    <mergeCell ref="R69:R74"/>
    <mergeCell ref="S69:S74"/>
    <mergeCell ref="J62:J68"/>
    <mergeCell ref="K62:K68"/>
    <mergeCell ref="L62:L68"/>
    <mergeCell ref="M62:M68"/>
    <mergeCell ref="N62:N68"/>
    <mergeCell ref="R62:R68"/>
    <mergeCell ref="AY56:AY80"/>
    <mergeCell ref="AZ56:AZ61"/>
    <mergeCell ref="AZ62:AZ68"/>
    <mergeCell ref="AO56:AO80"/>
    <mergeCell ref="AP56:AP80"/>
    <mergeCell ref="AQ56:AQ80"/>
    <mergeCell ref="AR56:AR80"/>
    <mergeCell ref="AS56:AS80"/>
    <mergeCell ref="BG56:BG61"/>
    <mergeCell ref="BH56:BH61"/>
    <mergeCell ref="BI56:BI61"/>
    <mergeCell ref="BJ56:BJ80"/>
    <mergeCell ref="V60:V61"/>
    <mergeCell ref="W60:W61"/>
    <mergeCell ref="X60:X61"/>
    <mergeCell ref="Y60:Y61"/>
    <mergeCell ref="V62:V68"/>
    <mergeCell ref="W62:W68"/>
    <mergeCell ref="BA56:BA61"/>
    <mergeCell ref="BB56:BB61"/>
    <mergeCell ref="BC56:BC61"/>
    <mergeCell ref="BD56:BD80"/>
    <mergeCell ref="BE56:BE80"/>
    <mergeCell ref="BF56:BF61"/>
    <mergeCell ref="BA62:BA68"/>
    <mergeCell ref="BB62:BB68"/>
    <mergeCell ref="BC62:BC68"/>
    <mergeCell ref="BF62:BF68"/>
    <mergeCell ref="AU56:AU80"/>
    <mergeCell ref="AV56:AV80"/>
    <mergeCell ref="AW56:AW80"/>
    <mergeCell ref="AX56:AX80"/>
    <mergeCell ref="X56:X59"/>
    <mergeCell ref="Y56:Y59"/>
    <mergeCell ref="Z56:Z80"/>
    <mergeCell ref="AA56:AA80"/>
    <mergeCell ref="AB56:AB80"/>
    <mergeCell ref="X62:X68"/>
    <mergeCell ref="Y62:Y68"/>
    <mergeCell ref="W69:W71"/>
    <mergeCell ref="X69:X71"/>
    <mergeCell ref="BI54:BI55"/>
    <mergeCell ref="BJ54:BJ55"/>
    <mergeCell ref="G56:I80"/>
    <mergeCell ref="J56:J61"/>
    <mergeCell ref="K56:K61"/>
    <mergeCell ref="L56:L61"/>
    <mergeCell ref="M56:M61"/>
    <mergeCell ref="N56:N61"/>
    <mergeCell ref="O56:O80"/>
    <mergeCell ref="P56:P80"/>
    <mergeCell ref="Q56:Q80"/>
    <mergeCell ref="R56:R61"/>
    <mergeCell ref="S56:S61"/>
    <mergeCell ref="T56:T80"/>
    <mergeCell ref="U56:U61"/>
    <mergeCell ref="V56:V59"/>
    <mergeCell ref="S62:S68"/>
    <mergeCell ref="U62:U68"/>
    <mergeCell ref="U69:U80"/>
    <mergeCell ref="V69:V71"/>
    <mergeCell ref="AF56:AF80"/>
    <mergeCell ref="AG56:AG80"/>
    <mergeCell ref="AH56:AH80"/>
    <mergeCell ref="W56:W59"/>
    <mergeCell ref="BG48:BG53"/>
    <mergeCell ref="BH48:BH53"/>
    <mergeCell ref="BI48:BI53"/>
    <mergeCell ref="R49:R53"/>
    <mergeCell ref="S49:S53"/>
    <mergeCell ref="G54:G55"/>
    <mergeCell ref="H54:P55"/>
    <mergeCell ref="BF54:BF55"/>
    <mergeCell ref="BG54:BG55"/>
    <mergeCell ref="BH54:BH55"/>
    <mergeCell ref="X48:X53"/>
    <mergeCell ref="Y48:Y53"/>
    <mergeCell ref="BA48:BA53"/>
    <mergeCell ref="BB48:BB53"/>
    <mergeCell ref="BC48:BC53"/>
    <mergeCell ref="BF48:BF53"/>
    <mergeCell ref="AK32:AK53"/>
    <mergeCell ref="AL32:AL53"/>
    <mergeCell ref="AM32:AM53"/>
    <mergeCell ref="AB32:AB53"/>
    <mergeCell ref="AC32:AC53"/>
    <mergeCell ref="AD32:AD53"/>
    <mergeCell ref="AE32:AE53"/>
    <mergeCell ref="AF32:AF53"/>
    <mergeCell ref="BF40:BF47"/>
    <mergeCell ref="BG40:BG47"/>
    <mergeCell ref="BH40:BH47"/>
    <mergeCell ref="BI40:BI47"/>
    <mergeCell ref="J48:J53"/>
    <mergeCell ref="K48:K53"/>
    <mergeCell ref="M48:M53"/>
    <mergeCell ref="N48:N53"/>
    <mergeCell ref="V48:V53"/>
    <mergeCell ref="W48:W53"/>
    <mergeCell ref="Y40:Y47"/>
    <mergeCell ref="Z40:Z53"/>
    <mergeCell ref="AA40:AA53"/>
    <mergeCell ref="AZ40:AZ47"/>
    <mergeCell ref="BA40:BA47"/>
    <mergeCell ref="BB40:BB47"/>
    <mergeCell ref="AO32:AO53"/>
    <mergeCell ref="AP32:AP53"/>
    <mergeCell ref="AQ32:AQ53"/>
    <mergeCell ref="AR32:AR53"/>
    <mergeCell ref="AS32:AS53"/>
    <mergeCell ref="AH32:AH53"/>
    <mergeCell ref="AI32:AI53"/>
    <mergeCell ref="AJ32:AJ53"/>
    <mergeCell ref="BF32:BF39"/>
    <mergeCell ref="BG32:BG39"/>
    <mergeCell ref="BH32:BH39"/>
    <mergeCell ref="BI32:BI39"/>
    <mergeCell ref="BJ32:BJ53"/>
    <mergeCell ref="V36:V39"/>
    <mergeCell ref="W36:W39"/>
    <mergeCell ref="V40:V47"/>
    <mergeCell ref="W40:W47"/>
    <mergeCell ref="X40:X47"/>
    <mergeCell ref="AZ32:AZ39"/>
    <mergeCell ref="BA32:BA39"/>
    <mergeCell ref="BB32:BB39"/>
    <mergeCell ref="BC32:BC39"/>
    <mergeCell ref="BD32:BD53"/>
    <mergeCell ref="BE32:BE53"/>
    <mergeCell ref="BC40:BC47"/>
    <mergeCell ref="AT32:AT53"/>
    <mergeCell ref="AU32:AU53"/>
    <mergeCell ref="AV32:AV53"/>
    <mergeCell ref="AW32:AW53"/>
    <mergeCell ref="AX32:AX53"/>
    <mergeCell ref="AY32:AY53"/>
    <mergeCell ref="AN32:AN53"/>
    <mergeCell ref="AG32:AG53"/>
    <mergeCell ref="V32:V35"/>
    <mergeCell ref="W32:W35"/>
    <mergeCell ref="X32:X35"/>
    <mergeCell ref="Y32:Y35"/>
    <mergeCell ref="Z32:Z39"/>
    <mergeCell ref="AA32:AA39"/>
    <mergeCell ref="P32:P53"/>
    <mergeCell ref="Q32:Q53"/>
    <mergeCell ref="R32:R39"/>
    <mergeCell ref="S32:S39"/>
    <mergeCell ref="T32:T53"/>
    <mergeCell ref="U32:U39"/>
    <mergeCell ref="R40:R48"/>
    <mergeCell ref="S40:S48"/>
    <mergeCell ref="U40:U53"/>
    <mergeCell ref="J32:J39"/>
    <mergeCell ref="K32:K39"/>
    <mergeCell ref="L32:L53"/>
    <mergeCell ref="M32:M39"/>
    <mergeCell ref="N32:N39"/>
    <mergeCell ref="O32:O53"/>
    <mergeCell ref="J40:J47"/>
    <mergeCell ref="K40:K47"/>
    <mergeCell ref="M40:M47"/>
    <mergeCell ref="N40:N47"/>
    <mergeCell ref="BF27:BF31"/>
    <mergeCell ref="BG27:BG31"/>
    <mergeCell ref="BH27:BH31"/>
    <mergeCell ref="BI27:BI31"/>
    <mergeCell ref="BI22:BI26"/>
    <mergeCell ref="BJ22:BJ31"/>
    <mergeCell ref="Y23:Y25"/>
    <mergeCell ref="BE22:BE31"/>
    <mergeCell ref="BF22:BF26"/>
    <mergeCell ref="BG22:BG26"/>
    <mergeCell ref="BH22:BH26"/>
    <mergeCell ref="AK22:AK31"/>
    <mergeCell ref="AL22:AL31"/>
    <mergeCell ref="AM22:AM31"/>
    <mergeCell ref="AN22:AN31"/>
    <mergeCell ref="AO22:AO31"/>
    <mergeCell ref="AD22:AD31"/>
    <mergeCell ref="AE22:AE31"/>
    <mergeCell ref="AF22:AF31"/>
    <mergeCell ref="AG22:AG31"/>
    <mergeCell ref="AH22:AH31"/>
    <mergeCell ref="AI22:AI31"/>
    <mergeCell ref="AP22:AP31"/>
    <mergeCell ref="AQ22:AQ31"/>
    <mergeCell ref="AR22:AR31"/>
    <mergeCell ref="AS22:AS31"/>
    <mergeCell ref="AT22:AT31"/>
    <mergeCell ref="AU22:AU31"/>
    <mergeCell ref="AJ22:AJ31"/>
    <mergeCell ref="BB27:BB31"/>
    <mergeCell ref="BC27:BC31"/>
    <mergeCell ref="BC22:BC26"/>
    <mergeCell ref="BD22:BD31"/>
    <mergeCell ref="AV22:AV31"/>
    <mergeCell ref="AW22:AW31"/>
    <mergeCell ref="AX22:AX31"/>
    <mergeCell ref="AY22:AY31"/>
    <mergeCell ref="AZ22:AZ26"/>
    <mergeCell ref="BA22:BA26"/>
    <mergeCell ref="AZ27:AZ31"/>
    <mergeCell ref="BA27:BA31"/>
    <mergeCell ref="Z22:Z31"/>
    <mergeCell ref="AA22:AA31"/>
    <mergeCell ref="AB22:AB31"/>
    <mergeCell ref="AC22:AC31"/>
    <mergeCell ref="W27:W31"/>
    <mergeCell ref="X27:X31"/>
    <mergeCell ref="Y27:Y31"/>
    <mergeCell ref="J27:J31"/>
    <mergeCell ref="K27:K31"/>
    <mergeCell ref="L27:L31"/>
    <mergeCell ref="M27:M31"/>
    <mergeCell ref="N27:N31"/>
    <mergeCell ref="R27:R31"/>
    <mergeCell ref="S27:S31"/>
    <mergeCell ref="A18:C133"/>
    <mergeCell ref="D18:D19"/>
    <mergeCell ref="E18:BH19"/>
    <mergeCell ref="D20:F97"/>
    <mergeCell ref="G20:G21"/>
    <mergeCell ref="H20:BH21"/>
    <mergeCell ref="G22:I53"/>
    <mergeCell ref="J22:J26"/>
    <mergeCell ref="Q22:Q31"/>
    <mergeCell ref="R22:R26"/>
    <mergeCell ref="S22:S26"/>
    <mergeCell ref="T22:T31"/>
    <mergeCell ref="U22:U26"/>
    <mergeCell ref="V22:V26"/>
    <mergeCell ref="U27:U31"/>
    <mergeCell ref="V27:V31"/>
    <mergeCell ref="K22:K26"/>
    <mergeCell ref="L22:L26"/>
    <mergeCell ref="M22:M26"/>
    <mergeCell ref="N22:N26"/>
    <mergeCell ref="O22:O31"/>
    <mergeCell ref="P22:P31"/>
    <mergeCell ref="W22:W26"/>
    <mergeCell ref="X22:X26"/>
    <mergeCell ref="BH12:BH15"/>
    <mergeCell ref="BI12:BI15"/>
    <mergeCell ref="AX12:AX15"/>
    <mergeCell ref="AY12:AY15"/>
    <mergeCell ref="AZ12:AZ15"/>
    <mergeCell ref="BA12:BA15"/>
    <mergeCell ref="BB12:BB15"/>
    <mergeCell ref="BC12:BC15"/>
    <mergeCell ref="A16:A17"/>
    <mergeCell ref="B16:BH17"/>
    <mergeCell ref="AM12:AM15"/>
    <mergeCell ref="AN12:AN15"/>
    <mergeCell ref="AO12:AO15"/>
    <mergeCell ref="AP12:AP15"/>
    <mergeCell ref="AQ12:AQ15"/>
    <mergeCell ref="BD12:BD15"/>
    <mergeCell ref="BE12:BE15"/>
    <mergeCell ref="BF12:BF15"/>
    <mergeCell ref="BG12:BG15"/>
    <mergeCell ref="M11:M15"/>
    <mergeCell ref="N11:N15"/>
    <mergeCell ref="W12:W15"/>
    <mergeCell ref="X12:X15"/>
    <mergeCell ref="Y12:Y15"/>
    <mergeCell ref="AB12:AB15"/>
    <mergeCell ref="AC12:AC15"/>
    <mergeCell ref="AD12:AD15"/>
    <mergeCell ref="AE12:AE15"/>
    <mergeCell ref="W7:Y11"/>
    <mergeCell ref="Q7:Q15"/>
    <mergeCell ref="R7:R15"/>
    <mergeCell ref="S7:S15"/>
    <mergeCell ref="T7:T15"/>
    <mergeCell ref="U7:U15"/>
    <mergeCell ref="V7:V15"/>
    <mergeCell ref="AN8:AO11"/>
    <mergeCell ref="AA7:AA15"/>
    <mergeCell ref="AB7:AM7"/>
    <mergeCell ref="AN7:AY7"/>
    <mergeCell ref="AZ7:BE11"/>
    <mergeCell ref="BF7:BG11"/>
    <mergeCell ref="AP8:AQ11"/>
    <mergeCell ref="AR8:AS11"/>
    <mergeCell ref="AT8:AU11"/>
    <mergeCell ref="AV8:AW11"/>
    <mergeCell ref="AF12:AF15"/>
    <mergeCell ref="AG12:AG15"/>
    <mergeCell ref="AH12:AH15"/>
    <mergeCell ref="AI12:AI15"/>
    <mergeCell ref="AJ12:AJ15"/>
    <mergeCell ref="AK12:AK15"/>
    <mergeCell ref="AX8:AY11"/>
    <mergeCell ref="AR12:AR15"/>
    <mergeCell ref="AS12:AS15"/>
    <mergeCell ref="AT12:AT15"/>
    <mergeCell ref="AU12:AU15"/>
    <mergeCell ref="AV12:AV15"/>
    <mergeCell ref="AW12:AW15"/>
    <mergeCell ref="AL12:AL15"/>
    <mergeCell ref="J7:J15"/>
    <mergeCell ref="K7:K15"/>
    <mergeCell ref="L7:L15"/>
    <mergeCell ref="M7:N10"/>
    <mergeCell ref="O7:O15"/>
    <mergeCell ref="P7:P15"/>
    <mergeCell ref="A5:M6"/>
    <mergeCell ref="O5:BJ5"/>
    <mergeCell ref="AB6:BJ6"/>
    <mergeCell ref="A7:A15"/>
    <mergeCell ref="B7:C15"/>
    <mergeCell ref="D7:D15"/>
    <mergeCell ref="E7:F15"/>
    <mergeCell ref="G7:G15"/>
    <mergeCell ref="H7:I15"/>
    <mergeCell ref="BH7:BI11"/>
    <mergeCell ref="BJ7:BJ15"/>
    <mergeCell ref="Z8:Z15"/>
    <mergeCell ref="AB8:AC11"/>
    <mergeCell ref="AD8:AE11"/>
    <mergeCell ref="AF8:AG11"/>
    <mergeCell ref="AH8:AI11"/>
    <mergeCell ref="AJ8:AK11"/>
    <mergeCell ref="AL8:AM11"/>
  </mergeCell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BH75"/>
  <sheetViews>
    <sheetView showGridLines="0" zoomScale="60" zoomScaleNormal="60" workbookViewId="0">
      <selection activeCell="A4" sqref="A4:BF4"/>
    </sheetView>
  </sheetViews>
  <sheetFormatPr baseColWidth="10" defaultColWidth="11.42578125" defaultRowHeight="14.25" x14ac:dyDescent="0.2"/>
  <cols>
    <col min="1" max="1" width="11" style="38" customWidth="1"/>
    <col min="2" max="2" width="13" style="38" customWidth="1"/>
    <col min="3" max="3" width="11.5703125" style="38" bestFit="1" customWidth="1"/>
    <col min="4" max="4" width="13.28515625" style="38" customWidth="1"/>
    <col min="5" max="5" width="9.5703125" style="38" customWidth="1"/>
    <col min="6" max="6" width="10.5703125" style="38" customWidth="1"/>
    <col min="7" max="7" width="18.7109375" style="38" customWidth="1"/>
    <col min="8" max="8" width="14.42578125" style="38" customWidth="1"/>
    <col min="9" max="9" width="19" style="451" customWidth="1"/>
    <col min="10" max="10" width="14.85546875" style="38" customWidth="1"/>
    <col min="11" max="12" width="12.5703125" style="38" customWidth="1"/>
    <col min="13" max="13" width="21.42578125" style="451" customWidth="1"/>
    <col min="14" max="14" width="11.7109375" style="38" customWidth="1"/>
    <col min="15" max="15" width="21.5703125" style="450" customWidth="1"/>
    <col min="16" max="16" width="11.5703125" style="2292" bestFit="1" customWidth="1"/>
    <col min="17" max="17" width="18.7109375" style="749" customWidth="1"/>
    <col min="18" max="18" width="26.85546875" style="38" customWidth="1"/>
    <col min="19" max="19" width="27.42578125" style="450" customWidth="1"/>
    <col min="20" max="20" width="25" style="451" customWidth="1"/>
    <col min="21" max="21" width="24.42578125" style="1586" customWidth="1"/>
    <col min="22" max="22" width="24.42578125" style="2293" customWidth="1"/>
    <col min="23" max="23" width="24.42578125" style="2001" customWidth="1"/>
    <col min="24" max="24" width="14.7109375" style="38" customWidth="1"/>
    <col min="25" max="25" width="16.140625" style="38" customWidth="1"/>
    <col min="26" max="27" width="12.7109375" style="743" customWidth="1"/>
    <col min="28" max="29" width="11.42578125" style="743"/>
    <col min="30" max="30" width="11.5703125" style="743" bestFit="1" customWidth="1"/>
    <col min="31" max="31" width="11.5703125" style="743" customWidth="1"/>
    <col min="32" max="32" width="11.5703125" style="743" bestFit="1" customWidth="1"/>
    <col min="33" max="33" width="11.5703125" style="743" customWidth="1"/>
    <col min="34" max="35" width="11.42578125" style="743" customWidth="1"/>
    <col min="36" max="36" width="11.5703125" style="743" bestFit="1" customWidth="1"/>
    <col min="37" max="37" width="11.5703125" style="743" customWidth="1"/>
    <col min="38" max="38" width="11.5703125" style="743" bestFit="1" customWidth="1"/>
    <col min="39" max="39" width="11.5703125" style="743" customWidth="1"/>
    <col min="40" max="40" width="11.5703125" style="743" bestFit="1" customWidth="1"/>
    <col min="41" max="41" width="11.5703125" style="743" customWidth="1"/>
    <col min="42" max="47" width="11.42578125" style="743"/>
    <col min="48" max="48" width="11.5703125" style="743" bestFit="1" customWidth="1"/>
    <col min="49" max="49" width="11.5703125" style="743" customWidth="1"/>
    <col min="50" max="50" width="21" style="744" customWidth="1"/>
    <col min="51" max="51" width="21" style="38" customWidth="1"/>
    <col min="52" max="52" width="21" style="2295" customWidth="1"/>
    <col min="53" max="53" width="21" style="2296" customWidth="1"/>
    <col min="54" max="55" width="21" style="38" customWidth="1"/>
    <col min="56" max="59" width="22.7109375" style="744" customWidth="1"/>
    <col min="60" max="60" width="28.7109375" style="38" customWidth="1"/>
    <col min="61" max="16384" width="11.42578125" style="38"/>
  </cols>
  <sheetData>
    <row r="1" spans="1:60" ht="15" customHeight="1" x14ac:dyDescent="0.25">
      <c r="A1" s="2471" t="s">
        <v>137</v>
      </c>
      <c r="B1" s="2471"/>
      <c r="C1" s="2471"/>
      <c r="D1" s="2471"/>
      <c r="E1" s="2471"/>
      <c r="F1" s="2471"/>
      <c r="G1" s="2471"/>
      <c r="H1" s="2471"/>
      <c r="I1" s="2471"/>
      <c r="J1" s="2471"/>
      <c r="K1" s="2471"/>
      <c r="L1" s="2471"/>
      <c r="M1" s="2471"/>
      <c r="N1" s="2471"/>
      <c r="O1" s="2471"/>
      <c r="P1" s="2471"/>
      <c r="Q1" s="2471"/>
      <c r="R1" s="2471"/>
      <c r="S1" s="2471"/>
      <c r="T1" s="2471"/>
      <c r="U1" s="2471"/>
      <c r="V1" s="2471"/>
      <c r="W1" s="2471"/>
      <c r="X1" s="2471"/>
      <c r="Y1" s="2471"/>
      <c r="Z1" s="2471"/>
      <c r="AA1" s="2471"/>
      <c r="AB1" s="2471"/>
      <c r="AC1" s="2471"/>
      <c r="AD1" s="2471"/>
      <c r="AE1" s="2471"/>
      <c r="AF1" s="2471"/>
      <c r="AG1" s="2471"/>
      <c r="AH1" s="2471"/>
      <c r="AI1" s="2471"/>
      <c r="AJ1" s="2471"/>
      <c r="AK1" s="2471"/>
      <c r="AL1" s="2471"/>
      <c r="AM1" s="2471"/>
      <c r="AN1" s="2471"/>
      <c r="AO1" s="2471"/>
      <c r="AP1" s="2471"/>
      <c r="AQ1" s="2471"/>
      <c r="AR1" s="2471"/>
      <c r="AS1" s="2471"/>
      <c r="AT1" s="2471"/>
      <c r="AU1" s="2471"/>
      <c r="AV1" s="2471"/>
      <c r="AW1" s="2471"/>
      <c r="AX1" s="2471"/>
      <c r="AY1" s="2471"/>
      <c r="AZ1" s="2471"/>
      <c r="BA1" s="2471"/>
      <c r="BB1" s="2471"/>
      <c r="BC1" s="2471"/>
      <c r="BD1" s="2471"/>
      <c r="BE1" s="2471"/>
      <c r="BF1" s="2472"/>
      <c r="BG1" s="305" t="s">
        <v>0</v>
      </c>
      <c r="BH1" s="305" t="s">
        <v>1</v>
      </c>
    </row>
    <row r="2" spans="1:60" ht="15" x14ac:dyDescent="0.25">
      <c r="A2" s="2471"/>
      <c r="B2" s="2471"/>
      <c r="C2" s="2471"/>
      <c r="D2" s="2471"/>
      <c r="E2" s="2471"/>
      <c r="F2" s="2471"/>
      <c r="G2" s="2471"/>
      <c r="H2" s="2471"/>
      <c r="I2" s="2471"/>
      <c r="J2" s="2471"/>
      <c r="K2" s="2471"/>
      <c r="L2" s="2471"/>
      <c r="M2" s="2471"/>
      <c r="N2" s="2471"/>
      <c r="O2" s="2471"/>
      <c r="P2" s="2471"/>
      <c r="Q2" s="2471"/>
      <c r="R2" s="2471"/>
      <c r="S2" s="2471"/>
      <c r="T2" s="2471"/>
      <c r="U2" s="2471"/>
      <c r="V2" s="2471"/>
      <c r="W2" s="2471"/>
      <c r="X2" s="2471"/>
      <c r="Y2" s="2471"/>
      <c r="Z2" s="2471"/>
      <c r="AA2" s="2471"/>
      <c r="AB2" s="2471"/>
      <c r="AC2" s="2471"/>
      <c r="AD2" s="2471"/>
      <c r="AE2" s="2471"/>
      <c r="AF2" s="2471"/>
      <c r="AG2" s="2471"/>
      <c r="AH2" s="2471"/>
      <c r="AI2" s="2471"/>
      <c r="AJ2" s="2471"/>
      <c r="AK2" s="2471"/>
      <c r="AL2" s="2471"/>
      <c r="AM2" s="2471"/>
      <c r="AN2" s="2471"/>
      <c r="AO2" s="2471"/>
      <c r="AP2" s="2471"/>
      <c r="AQ2" s="2471"/>
      <c r="AR2" s="2471"/>
      <c r="AS2" s="2471"/>
      <c r="AT2" s="2471"/>
      <c r="AU2" s="2471"/>
      <c r="AV2" s="2471"/>
      <c r="AW2" s="2471"/>
      <c r="AX2" s="2471"/>
      <c r="AY2" s="2471"/>
      <c r="AZ2" s="2471"/>
      <c r="BA2" s="2471"/>
      <c r="BB2" s="2471"/>
      <c r="BC2" s="2471"/>
      <c r="BD2" s="2471"/>
      <c r="BE2" s="2471"/>
      <c r="BF2" s="2472"/>
      <c r="BG2" s="649" t="s">
        <v>2</v>
      </c>
      <c r="BH2" s="306">
        <v>5</v>
      </c>
    </row>
    <row r="3" spans="1:60" ht="15" x14ac:dyDescent="0.25">
      <c r="A3" s="2471" t="s">
        <v>2106</v>
      </c>
      <c r="B3" s="2471"/>
      <c r="C3" s="2471"/>
      <c r="D3" s="2471"/>
      <c r="E3" s="2471"/>
      <c r="F3" s="2471"/>
      <c r="G3" s="2471"/>
      <c r="H3" s="2471"/>
      <c r="I3" s="2471"/>
      <c r="J3" s="2471"/>
      <c r="K3" s="2471"/>
      <c r="L3" s="2471"/>
      <c r="M3" s="2471"/>
      <c r="N3" s="2471"/>
      <c r="O3" s="2471"/>
      <c r="P3" s="2471"/>
      <c r="Q3" s="2471"/>
      <c r="R3" s="2471"/>
      <c r="S3" s="2471"/>
      <c r="T3" s="2471"/>
      <c r="U3" s="2471"/>
      <c r="V3" s="2471"/>
      <c r="W3" s="2471"/>
      <c r="X3" s="2471"/>
      <c r="Y3" s="2471"/>
      <c r="Z3" s="2471"/>
      <c r="AA3" s="2471"/>
      <c r="AB3" s="2471"/>
      <c r="AC3" s="2471"/>
      <c r="AD3" s="2471"/>
      <c r="AE3" s="2471"/>
      <c r="AF3" s="2471"/>
      <c r="AG3" s="2471"/>
      <c r="AH3" s="2471"/>
      <c r="AI3" s="2471"/>
      <c r="AJ3" s="2471"/>
      <c r="AK3" s="2471"/>
      <c r="AL3" s="2471"/>
      <c r="AM3" s="2471"/>
      <c r="AN3" s="2471"/>
      <c r="AO3" s="2471"/>
      <c r="AP3" s="2471"/>
      <c r="AQ3" s="2471"/>
      <c r="AR3" s="2471"/>
      <c r="AS3" s="2471"/>
      <c r="AT3" s="2471"/>
      <c r="AU3" s="2471"/>
      <c r="AV3" s="2471"/>
      <c r="AW3" s="2471"/>
      <c r="AX3" s="2471"/>
      <c r="AY3" s="2471"/>
      <c r="AZ3" s="2471"/>
      <c r="BA3" s="2471"/>
      <c r="BB3" s="2471"/>
      <c r="BC3" s="2471"/>
      <c r="BD3" s="2471"/>
      <c r="BE3" s="2471"/>
      <c r="BF3" s="2472"/>
      <c r="BG3" s="305" t="s">
        <v>3</v>
      </c>
      <c r="BH3" s="307" t="s">
        <v>4</v>
      </c>
    </row>
    <row r="4" spans="1:60" s="40" customFormat="1" ht="11.25" customHeight="1" x14ac:dyDescent="0.2">
      <c r="A4" s="2474" t="s">
        <v>139</v>
      </c>
      <c r="B4" s="2474"/>
      <c r="C4" s="2474"/>
      <c r="D4" s="2474"/>
      <c r="E4" s="2474"/>
      <c r="F4" s="2474"/>
      <c r="G4" s="2474"/>
      <c r="H4" s="2474"/>
      <c r="I4" s="2474"/>
      <c r="J4" s="2474"/>
      <c r="K4" s="2474"/>
      <c r="L4" s="2474"/>
      <c r="M4" s="2474"/>
      <c r="N4" s="2474"/>
      <c r="O4" s="2474"/>
      <c r="P4" s="2474"/>
      <c r="Q4" s="2474"/>
      <c r="R4" s="2474"/>
      <c r="S4" s="2474"/>
      <c r="T4" s="2474"/>
      <c r="U4" s="2474"/>
      <c r="V4" s="2474"/>
      <c r="W4" s="2474"/>
      <c r="X4" s="2474"/>
      <c r="Y4" s="2474"/>
      <c r="Z4" s="2474"/>
      <c r="AA4" s="2474"/>
      <c r="AB4" s="2474"/>
      <c r="AC4" s="2474"/>
      <c r="AD4" s="2474"/>
      <c r="AE4" s="2474"/>
      <c r="AF4" s="2474"/>
      <c r="AG4" s="2474"/>
      <c r="AH4" s="2474"/>
      <c r="AI4" s="2474"/>
      <c r="AJ4" s="2474"/>
      <c r="AK4" s="2474"/>
      <c r="AL4" s="2474"/>
      <c r="AM4" s="2474"/>
      <c r="AN4" s="2474"/>
      <c r="AO4" s="2474"/>
      <c r="AP4" s="2474"/>
      <c r="AQ4" s="2474"/>
      <c r="AR4" s="2474"/>
      <c r="AS4" s="2474"/>
      <c r="AT4" s="2474"/>
      <c r="AU4" s="2474"/>
      <c r="AV4" s="2474"/>
      <c r="AW4" s="2474"/>
      <c r="AX4" s="2474"/>
      <c r="AY4" s="2474"/>
      <c r="AZ4" s="2474"/>
      <c r="BA4" s="2474"/>
      <c r="BB4" s="2474"/>
      <c r="BC4" s="2474"/>
      <c r="BD4" s="2474"/>
      <c r="BE4" s="2474"/>
      <c r="BF4" s="2475"/>
      <c r="BG4" s="652" t="s">
        <v>5</v>
      </c>
      <c r="BH4" s="308" t="s">
        <v>6</v>
      </c>
    </row>
    <row r="5" spans="1:60" ht="15" customHeight="1" x14ac:dyDescent="0.2">
      <c r="A5" s="2476" t="s">
        <v>7</v>
      </c>
      <c r="B5" s="2477"/>
      <c r="C5" s="2477"/>
      <c r="D5" s="2477"/>
      <c r="E5" s="2477"/>
      <c r="F5" s="2477"/>
      <c r="G5" s="2477"/>
      <c r="H5" s="2477"/>
      <c r="I5" s="2477"/>
      <c r="J5" s="2477"/>
      <c r="K5" s="2477"/>
      <c r="L5" s="2480"/>
      <c r="M5" s="2476" t="s">
        <v>8</v>
      </c>
      <c r="N5" s="2477"/>
      <c r="O5" s="2477"/>
      <c r="P5" s="2477"/>
      <c r="Q5" s="2477"/>
      <c r="R5" s="2477"/>
      <c r="S5" s="2477"/>
      <c r="T5" s="2477"/>
      <c r="U5" s="2477"/>
      <c r="V5" s="2477"/>
      <c r="W5" s="2477"/>
      <c r="X5" s="2477"/>
      <c r="Y5" s="2480"/>
      <c r="Z5" s="2476" t="s">
        <v>9</v>
      </c>
      <c r="AA5" s="2477"/>
      <c r="AB5" s="2477"/>
      <c r="AC5" s="2477"/>
      <c r="AD5" s="2477"/>
      <c r="AE5" s="2477"/>
      <c r="AF5" s="2477"/>
      <c r="AG5" s="2477"/>
      <c r="AH5" s="2477"/>
      <c r="AI5" s="2477"/>
      <c r="AJ5" s="2477"/>
      <c r="AK5" s="2477"/>
      <c r="AL5" s="2477"/>
      <c r="AM5" s="2477"/>
      <c r="AN5" s="2477"/>
      <c r="AO5" s="2477"/>
      <c r="AP5" s="2477"/>
      <c r="AQ5" s="2477"/>
      <c r="AR5" s="2477"/>
      <c r="AS5" s="2477"/>
      <c r="AT5" s="2477"/>
      <c r="AU5" s="2477"/>
      <c r="AV5" s="2477"/>
      <c r="AW5" s="2480"/>
      <c r="AX5" s="2476"/>
      <c r="AY5" s="2477"/>
      <c r="AZ5" s="2477"/>
      <c r="BA5" s="2477"/>
      <c r="BB5" s="2477"/>
      <c r="BC5" s="2477"/>
      <c r="BD5" s="2477"/>
      <c r="BE5" s="2477"/>
      <c r="BF5" s="2477"/>
      <c r="BG5" s="2477"/>
      <c r="BH5" s="2480"/>
    </row>
    <row r="6" spans="1:60" ht="14.25" customHeight="1" thickBot="1" x14ac:dyDescent="0.25">
      <c r="A6" s="2478"/>
      <c r="B6" s="2479"/>
      <c r="C6" s="2479"/>
      <c r="D6" s="2479"/>
      <c r="E6" s="2479"/>
      <c r="F6" s="2479"/>
      <c r="G6" s="2479"/>
      <c r="H6" s="2479"/>
      <c r="I6" s="2479"/>
      <c r="J6" s="2479"/>
      <c r="K6" s="2479"/>
      <c r="L6" s="2481"/>
      <c r="M6" s="2478"/>
      <c r="N6" s="2479"/>
      <c r="O6" s="2479"/>
      <c r="P6" s="2479"/>
      <c r="Q6" s="2479"/>
      <c r="R6" s="2479"/>
      <c r="S6" s="2479"/>
      <c r="T6" s="2479"/>
      <c r="U6" s="2479"/>
      <c r="V6" s="2479"/>
      <c r="W6" s="2479"/>
      <c r="X6" s="2479"/>
      <c r="Y6" s="2481"/>
      <c r="Z6" s="2478"/>
      <c r="AA6" s="2479"/>
      <c r="AB6" s="2479"/>
      <c r="AC6" s="2479"/>
      <c r="AD6" s="2479"/>
      <c r="AE6" s="2479"/>
      <c r="AF6" s="2479"/>
      <c r="AG6" s="2479"/>
      <c r="AH6" s="2479"/>
      <c r="AI6" s="2479"/>
      <c r="AJ6" s="2479"/>
      <c r="AK6" s="2479"/>
      <c r="AL6" s="2479"/>
      <c r="AM6" s="2479"/>
      <c r="AN6" s="2479"/>
      <c r="AO6" s="2479"/>
      <c r="AP6" s="2479"/>
      <c r="AQ6" s="2479"/>
      <c r="AR6" s="2479"/>
      <c r="AS6" s="2479"/>
      <c r="AT6" s="2479"/>
      <c r="AU6" s="2479"/>
      <c r="AV6" s="2479"/>
      <c r="AW6" s="2481"/>
      <c r="AX6" s="2493"/>
      <c r="AY6" s="2494"/>
      <c r="AZ6" s="2494"/>
      <c r="BA6" s="2494"/>
      <c r="BB6" s="2494"/>
      <c r="BC6" s="2494"/>
      <c r="BD6" s="2494"/>
      <c r="BE6" s="2494"/>
      <c r="BF6" s="2494"/>
      <c r="BG6" s="2494"/>
      <c r="BH6" s="2495"/>
    </row>
    <row r="7" spans="1:60" ht="22.5" customHeight="1" x14ac:dyDescent="0.2">
      <c r="A7" s="2448" t="s">
        <v>10</v>
      </c>
      <c r="B7" s="2448" t="s">
        <v>11</v>
      </c>
      <c r="C7" s="2450" t="s">
        <v>10</v>
      </c>
      <c r="D7" s="2450" t="s">
        <v>12</v>
      </c>
      <c r="E7" s="2450"/>
      <c r="F7" s="2450" t="s">
        <v>10</v>
      </c>
      <c r="G7" s="2450" t="s">
        <v>13</v>
      </c>
      <c r="H7" s="2450" t="s">
        <v>10</v>
      </c>
      <c r="I7" s="3575" t="s">
        <v>14</v>
      </c>
      <c r="J7" s="2450" t="s">
        <v>15</v>
      </c>
      <c r="K7" s="2442" t="s">
        <v>16</v>
      </c>
      <c r="L7" s="2444"/>
      <c r="M7" s="3575" t="s">
        <v>17</v>
      </c>
      <c r="N7" s="2448" t="s">
        <v>18</v>
      </c>
      <c r="O7" s="3575" t="s">
        <v>8</v>
      </c>
      <c r="P7" s="3576" t="s">
        <v>19</v>
      </c>
      <c r="Q7" s="3577" t="s">
        <v>20</v>
      </c>
      <c r="R7" s="2450" t="s">
        <v>21</v>
      </c>
      <c r="S7" s="3575" t="s">
        <v>22</v>
      </c>
      <c r="T7" s="3575" t="s">
        <v>23</v>
      </c>
      <c r="U7" s="2442" t="s">
        <v>20</v>
      </c>
      <c r="V7" s="2443"/>
      <c r="W7" s="2444"/>
      <c r="X7" s="2448" t="s">
        <v>10</v>
      </c>
      <c r="Y7" s="2448" t="s">
        <v>24</v>
      </c>
      <c r="Z7" s="3587" t="s">
        <v>25</v>
      </c>
      <c r="AA7" s="3588"/>
      <c r="AB7" s="3588"/>
      <c r="AC7" s="3588"/>
      <c r="AD7" s="3588"/>
      <c r="AE7" s="3588"/>
      <c r="AF7" s="3588"/>
      <c r="AG7" s="3588"/>
      <c r="AH7" s="3588"/>
      <c r="AI7" s="3588"/>
      <c r="AJ7" s="3588"/>
      <c r="AK7" s="3589"/>
      <c r="AL7" s="3587" t="s">
        <v>26</v>
      </c>
      <c r="AM7" s="3588"/>
      <c r="AN7" s="3588"/>
      <c r="AO7" s="3588"/>
      <c r="AP7" s="3588"/>
      <c r="AQ7" s="3588"/>
      <c r="AR7" s="3588"/>
      <c r="AS7" s="3588"/>
      <c r="AT7" s="3588"/>
      <c r="AU7" s="3588"/>
      <c r="AV7" s="3588"/>
      <c r="AW7" s="3589"/>
      <c r="AX7" s="2458" t="s">
        <v>27</v>
      </c>
      <c r="AY7" s="2459"/>
      <c r="AZ7" s="2459"/>
      <c r="BA7" s="2459"/>
      <c r="BB7" s="2459"/>
      <c r="BC7" s="2460"/>
      <c r="BD7" s="2486" t="s">
        <v>28</v>
      </c>
      <c r="BE7" s="2487"/>
      <c r="BF7" s="2486" t="s">
        <v>29</v>
      </c>
      <c r="BG7" s="2487"/>
      <c r="BH7" s="2490" t="s">
        <v>30</v>
      </c>
    </row>
    <row r="8" spans="1:60" s="102" customFormat="1" ht="31.5" customHeight="1" x14ac:dyDescent="0.25">
      <c r="A8" s="2449"/>
      <c r="B8" s="2449"/>
      <c r="C8" s="2450"/>
      <c r="D8" s="2450"/>
      <c r="E8" s="2450"/>
      <c r="F8" s="2450"/>
      <c r="G8" s="2450"/>
      <c r="H8" s="2450"/>
      <c r="I8" s="3575"/>
      <c r="J8" s="2450"/>
      <c r="K8" s="2482"/>
      <c r="L8" s="2483"/>
      <c r="M8" s="3575"/>
      <c r="N8" s="2449"/>
      <c r="O8" s="3575"/>
      <c r="P8" s="3576"/>
      <c r="Q8" s="3577"/>
      <c r="R8" s="2450"/>
      <c r="S8" s="3575"/>
      <c r="T8" s="3575"/>
      <c r="U8" s="2445"/>
      <c r="V8" s="2446"/>
      <c r="W8" s="2447"/>
      <c r="X8" s="2449"/>
      <c r="Y8" s="2449"/>
      <c r="Z8" s="3585" t="s">
        <v>31</v>
      </c>
      <c r="AA8" s="3586"/>
      <c r="AB8" s="3585" t="s">
        <v>32</v>
      </c>
      <c r="AC8" s="3586"/>
      <c r="AD8" s="3585" t="s">
        <v>33</v>
      </c>
      <c r="AE8" s="3586"/>
      <c r="AF8" s="3585" t="s">
        <v>34</v>
      </c>
      <c r="AG8" s="3586"/>
      <c r="AH8" s="3585" t="s">
        <v>35</v>
      </c>
      <c r="AI8" s="3586"/>
      <c r="AJ8" s="3585" t="s">
        <v>36</v>
      </c>
      <c r="AK8" s="3586"/>
      <c r="AL8" s="3585" t="s">
        <v>37</v>
      </c>
      <c r="AM8" s="3586"/>
      <c r="AN8" s="3585" t="s">
        <v>38</v>
      </c>
      <c r="AO8" s="3586"/>
      <c r="AP8" s="3585" t="s">
        <v>39</v>
      </c>
      <c r="AQ8" s="3586"/>
      <c r="AR8" s="3585" t="s">
        <v>40</v>
      </c>
      <c r="AS8" s="3586"/>
      <c r="AT8" s="3585" t="s">
        <v>41</v>
      </c>
      <c r="AU8" s="3586"/>
      <c r="AV8" s="3585" t="s">
        <v>42</v>
      </c>
      <c r="AW8" s="3586"/>
      <c r="AX8" s="2461" t="s">
        <v>43</v>
      </c>
      <c r="AY8" s="3166" t="s">
        <v>44</v>
      </c>
      <c r="AZ8" s="3590" t="s">
        <v>45</v>
      </c>
      <c r="BA8" s="3591" t="s">
        <v>46</v>
      </c>
      <c r="BB8" s="2463" t="s">
        <v>47</v>
      </c>
      <c r="BC8" s="2461" t="s">
        <v>48</v>
      </c>
      <c r="BD8" s="2488"/>
      <c r="BE8" s="2489"/>
      <c r="BF8" s="2488"/>
      <c r="BG8" s="2489"/>
      <c r="BH8" s="2490"/>
    </row>
    <row r="9" spans="1:60" s="102" customFormat="1" ht="12.75" customHeight="1" x14ac:dyDescent="0.25">
      <c r="A9" s="2648"/>
      <c r="B9" s="2648"/>
      <c r="C9" s="2450"/>
      <c r="D9" s="2450"/>
      <c r="E9" s="2450"/>
      <c r="F9" s="2450"/>
      <c r="G9" s="2450"/>
      <c r="H9" s="2450"/>
      <c r="I9" s="3575"/>
      <c r="J9" s="2450"/>
      <c r="K9" s="1974" t="s">
        <v>49</v>
      </c>
      <c r="L9" s="1974" t="s">
        <v>50</v>
      </c>
      <c r="M9" s="3575"/>
      <c r="N9" s="2648"/>
      <c r="O9" s="3575"/>
      <c r="P9" s="3576"/>
      <c r="Q9" s="3577"/>
      <c r="R9" s="2450"/>
      <c r="S9" s="3575"/>
      <c r="T9" s="3575"/>
      <c r="U9" s="2047" t="s">
        <v>51</v>
      </c>
      <c r="V9" s="2048" t="s">
        <v>52</v>
      </c>
      <c r="W9" s="1974" t="s">
        <v>53</v>
      </c>
      <c r="X9" s="2648"/>
      <c r="Y9" s="2648"/>
      <c r="Z9" s="2009" t="s">
        <v>49</v>
      </c>
      <c r="AA9" s="1997" t="s">
        <v>50</v>
      </c>
      <c r="AB9" s="2009" t="s">
        <v>49</v>
      </c>
      <c r="AC9" s="1997" t="s">
        <v>50</v>
      </c>
      <c r="AD9" s="2009" t="s">
        <v>49</v>
      </c>
      <c r="AE9" s="1997" t="s">
        <v>50</v>
      </c>
      <c r="AF9" s="2009" t="s">
        <v>49</v>
      </c>
      <c r="AG9" s="1997" t="s">
        <v>50</v>
      </c>
      <c r="AH9" s="2009" t="s">
        <v>49</v>
      </c>
      <c r="AI9" s="1997" t="s">
        <v>50</v>
      </c>
      <c r="AJ9" s="2009" t="s">
        <v>49</v>
      </c>
      <c r="AK9" s="1997" t="s">
        <v>50</v>
      </c>
      <c r="AL9" s="2009" t="s">
        <v>49</v>
      </c>
      <c r="AM9" s="1997" t="s">
        <v>50</v>
      </c>
      <c r="AN9" s="2009" t="s">
        <v>49</v>
      </c>
      <c r="AO9" s="1997" t="s">
        <v>50</v>
      </c>
      <c r="AP9" s="2009" t="s">
        <v>49</v>
      </c>
      <c r="AQ9" s="1997" t="s">
        <v>50</v>
      </c>
      <c r="AR9" s="2009" t="s">
        <v>49</v>
      </c>
      <c r="AS9" s="1997" t="s">
        <v>50</v>
      </c>
      <c r="AT9" s="2009" t="s">
        <v>49</v>
      </c>
      <c r="AU9" s="1997" t="s">
        <v>50</v>
      </c>
      <c r="AV9" s="2009" t="s">
        <v>49</v>
      </c>
      <c r="AW9" s="1997" t="s">
        <v>50</v>
      </c>
      <c r="AX9" s="2645"/>
      <c r="AY9" s="3166"/>
      <c r="AZ9" s="3590"/>
      <c r="BA9" s="3591"/>
      <c r="BB9" s="2463"/>
      <c r="BC9" s="2645"/>
      <c r="BD9" s="2011" t="s">
        <v>49</v>
      </c>
      <c r="BE9" s="2011" t="s">
        <v>50</v>
      </c>
      <c r="BF9" s="2011" t="s">
        <v>49</v>
      </c>
      <c r="BG9" s="2011" t="s">
        <v>50</v>
      </c>
      <c r="BH9" s="2490"/>
    </row>
    <row r="10" spans="1:60" ht="12.75" customHeight="1" x14ac:dyDescent="0.2">
      <c r="A10" s="2049">
        <v>1</v>
      </c>
      <c r="B10" s="2050" t="s">
        <v>1541</v>
      </c>
      <c r="C10" s="2050"/>
      <c r="D10" s="2051"/>
      <c r="E10" s="2051"/>
      <c r="F10" s="2051"/>
      <c r="G10" s="2051"/>
      <c r="H10" s="2051"/>
      <c r="I10" s="2052"/>
      <c r="J10" s="2051"/>
      <c r="K10" s="2051"/>
      <c r="L10" s="2051"/>
      <c r="M10" s="2052"/>
      <c r="N10" s="2053"/>
      <c r="O10" s="2052"/>
      <c r="P10" s="2054"/>
      <c r="Q10" s="2055"/>
      <c r="R10" s="2051"/>
      <c r="S10" s="2052"/>
      <c r="T10" s="2052"/>
      <c r="U10" s="2055"/>
      <c r="V10" s="2056"/>
      <c r="W10" s="2057"/>
      <c r="X10" s="2053"/>
      <c r="Y10" s="2051"/>
      <c r="Z10" s="2058"/>
      <c r="AA10" s="2059"/>
      <c r="AB10" s="2058"/>
      <c r="AC10" s="2059"/>
      <c r="AD10" s="2058"/>
      <c r="AE10" s="2059"/>
      <c r="AF10" s="2058"/>
      <c r="AG10" s="2059"/>
      <c r="AH10" s="2058"/>
      <c r="AI10" s="2059"/>
      <c r="AJ10" s="2058"/>
      <c r="AK10" s="2059"/>
      <c r="AL10" s="2058"/>
      <c r="AM10" s="2059"/>
      <c r="AN10" s="2058"/>
      <c r="AO10" s="2059"/>
      <c r="AP10" s="2058"/>
      <c r="AQ10" s="2059"/>
      <c r="AR10" s="2058"/>
      <c r="AS10" s="2059"/>
      <c r="AT10" s="2058"/>
      <c r="AU10" s="2059"/>
      <c r="AV10" s="2058"/>
      <c r="AW10" s="2059"/>
      <c r="AX10" s="2057"/>
      <c r="AY10" s="2060"/>
      <c r="AZ10" s="2061"/>
      <c r="BA10" s="2062"/>
      <c r="BB10" s="2051"/>
      <c r="BC10" s="2063"/>
      <c r="BD10" s="2064"/>
      <c r="BE10" s="2065"/>
      <c r="BF10" s="2064"/>
      <c r="BG10" s="2065"/>
      <c r="BH10" s="2060"/>
    </row>
    <row r="11" spans="1:60" ht="12.75" customHeight="1" x14ac:dyDescent="0.2">
      <c r="A11" s="2572"/>
      <c r="B11" s="168"/>
      <c r="C11" s="2066">
        <v>1</v>
      </c>
      <c r="D11" s="3578" t="s">
        <v>1955</v>
      </c>
      <c r="E11" s="3579"/>
      <c r="F11" s="3580"/>
      <c r="G11" s="2067"/>
      <c r="H11" s="2067"/>
      <c r="I11" s="2068"/>
      <c r="J11" s="2067"/>
      <c r="K11" s="2067"/>
      <c r="L11" s="2067"/>
      <c r="M11" s="2068"/>
      <c r="N11" s="2069"/>
      <c r="O11" s="2068"/>
      <c r="P11" s="2070"/>
      <c r="Q11" s="2071"/>
      <c r="R11" s="2067"/>
      <c r="S11" s="2068"/>
      <c r="T11" s="2068"/>
      <c r="U11" s="2071"/>
      <c r="V11" s="2072"/>
      <c r="W11" s="2073"/>
      <c r="X11" s="2069"/>
      <c r="Y11" s="2067"/>
      <c r="Z11" s="2074"/>
      <c r="AA11" s="2075"/>
      <c r="AB11" s="2074"/>
      <c r="AC11" s="2075"/>
      <c r="AD11" s="2074"/>
      <c r="AE11" s="2075"/>
      <c r="AF11" s="2074"/>
      <c r="AG11" s="2075"/>
      <c r="AH11" s="2074"/>
      <c r="AI11" s="2075"/>
      <c r="AJ11" s="2074"/>
      <c r="AK11" s="2075"/>
      <c r="AL11" s="2074"/>
      <c r="AM11" s="2075"/>
      <c r="AN11" s="2074"/>
      <c r="AO11" s="2075"/>
      <c r="AP11" s="2074"/>
      <c r="AQ11" s="2075"/>
      <c r="AR11" s="2074"/>
      <c r="AS11" s="2075"/>
      <c r="AT11" s="2074"/>
      <c r="AU11" s="2075"/>
      <c r="AV11" s="2074"/>
      <c r="AW11" s="2075"/>
      <c r="AX11" s="2073"/>
      <c r="AY11" s="2076"/>
      <c r="AZ11" s="2077"/>
      <c r="BA11" s="2078"/>
      <c r="BB11" s="2067"/>
      <c r="BC11" s="2079"/>
      <c r="BD11" s="2080"/>
      <c r="BE11" s="2081"/>
      <c r="BF11" s="2080"/>
      <c r="BG11" s="2081"/>
      <c r="BH11" s="2076"/>
    </row>
    <row r="12" spans="1:60" s="192" customFormat="1" ht="15" x14ac:dyDescent="0.2">
      <c r="A12" s="2573"/>
      <c r="B12" s="170"/>
      <c r="C12" s="138"/>
      <c r="D12" s="1118"/>
      <c r="E12" s="1119"/>
      <c r="F12" s="2297">
        <v>1</v>
      </c>
      <c r="G12" s="3581" t="s">
        <v>1956</v>
      </c>
      <c r="H12" s="3572"/>
      <c r="I12" s="3572"/>
      <c r="J12" s="3572"/>
      <c r="K12" s="3572"/>
      <c r="L12" s="2010"/>
      <c r="M12" s="73"/>
      <c r="N12" s="105"/>
      <c r="O12" s="2083"/>
      <c r="P12" s="2084"/>
      <c r="Q12" s="1571"/>
      <c r="R12" s="1300"/>
      <c r="S12" s="73"/>
      <c r="T12" s="73"/>
      <c r="U12" s="2085"/>
      <c r="V12" s="781"/>
      <c r="W12" s="939"/>
      <c r="X12" s="2010"/>
      <c r="Y12" s="105"/>
      <c r="Z12" s="2083"/>
      <c r="AA12" s="2086"/>
      <c r="AB12" s="2086"/>
      <c r="AC12" s="2086"/>
      <c r="AD12" s="2086"/>
      <c r="AE12" s="2086"/>
      <c r="AF12" s="2086"/>
      <c r="AG12" s="2086"/>
      <c r="AH12" s="2086"/>
      <c r="AI12" s="2086"/>
      <c r="AJ12" s="2086"/>
      <c r="AK12" s="2086"/>
      <c r="AL12" s="2086"/>
      <c r="AM12" s="2087"/>
      <c r="AN12" s="2088"/>
      <c r="AO12" s="2088"/>
      <c r="AP12" s="2088"/>
      <c r="AQ12" s="2088"/>
      <c r="AR12" s="2088"/>
      <c r="AS12" s="2088"/>
      <c r="AT12" s="2088"/>
      <c r="AU12" s="2088"/>
      <c r="AV12" s="2088"/>
      <c r="AW12" s="2088"/>
      <c r="AX12" s="2089"/>
      <c r="AY12" s="2090"/>
      <c r="AZ12" s="2091"/>
      <c r="BA12" s="2092"/>
      <c r="BB12" s="2090"/>
      <c r="BC12" s="2090"/>
      <c r="BD12" s="2089"/>
      <c r="BE12" s="2090"/>
      <c r="BF12" s="2090"/>
      <c r="BG12" s="2090"/>
      <c r="BH12" s="2093"/>
    </row>
    <row r="13" spans="1:60" ht="71.25" x14ac:dyDescent="0.2">
      <c r="A13" s="2573"/>
      <c r="B13" s="170"/>
      <c r="C13" s="138"/>
      <c r="D13" s="2102"/>
      <c r="E13" s="2103"/>
      <c r="F13" s="765"/>
      <c r="G13" s="765"/>
      <c r="H13" s="120">
        <v>1</v>
      </c>
      <c r="I13" s="1969" t="s">
        <v>1957</v>
      </c>
      <c r="J13" s="1968" t="s">
        <v>324</v>
      </c>
      <c r="K13" s="1968">
        <v>1</v>
      </c>
      <c r="L13" s="2094">
        <v>0.6</v>
      </c>
      <c r="M13" s="2424" t="s">
        <v>1958</v>
      </c>
      <c r="N13" s="2572">
        <v>64</v>
      </c>
      <c r="O13" s="2424" t="s">
        <v>1959</v>
      </c>
      <c r="P13" s="2095">
        <f>U13/Q13</f>
        <v>0.203125</v>
      </c>
      <c r="Q13" s="3582">
        <v>160000000</v>
      </c>
      <c r="R13" s="2424" t="s">
        <v>1960</v>
      </c>
      <c r="S13" s="2436" t="s">
        <v>1961</v>
      </c>
      <c r="T13" s="2019" t="s">
        <v>1962</v>
      </c>
      <c r="U13" s="2096">
        <f>22500000+10000000</f>
        <v>32500000</v>
      </c>
      <c r="V13" s="2097">
        <v>16260000</v>
      </c>
      <c r="W13" s="1968">
        <v>0</v>
      </c>
      <c r="X13" s="2098">
        <v>20</v>
      </c>
      <c r="Y13" s="1987" t="s">
        <v>1963</v>
      </c>
      <c r="Z13" s="2599"/>
      <c r="AA13" s="2599"/>
      <c r="AB13" s="2599"/>
      <c r="AC13" s="2599"/>
      <c r="AD13" s="2599"/>
      <c r="AE13" s="2599"/>
      <c r="AF13" s="2599"/>
      <c r="AG13" s="2599"/>
      <c r="AH13" s="2599"/>
      <c r="AI13" s="2599"/>
      <c r="AJ13" s="2599"/>
      <c r="AK13" s="2599"/>
      <c r="AL13" s="2599"/>
      <c r="AM13" s="2599"/>
      <c r="AN13" s="2599"/>
      <c r="AO13" s="2599"/>
      <c r="AP13" s="2599"/>
      <c r="AQ13" s="2599"/>
      <c r="AR13" s="2599"/>
      <c r="AS13" s="2599"/>
      <c r="AT13" s="2599"/>
      <c r="AU13" s="2599"/>
      <c r="AV13" s="2599"/>
      <c r="AW13" s="2599"/>
      <c r="AX13" s="1968">
        <v>2</v>
      </c>
      <c r="AY13" s="2099">
        <v>16260000</v>
      </c>
      <c r="AZ13" s="2100">
        <v>0</v>
      </c>
      <c r="BA13" s="1993">
        <f t="shared" ref="BA13:BA18" si="0">AY13/U13</f>
        <v>0.50030769230769234</v>
      </c>
      <c r="BB13" s="1968" t="s">
        <v>70</v>
      </c>
      <c r="BC13" s="1968" t="s">
        <v>1964</v>
      </c>
      <c r="BD13" s="2101">
        <v>42736</v>
      </c>
      <c r="BE13" s="712">
        <v>42767</v>
      </c>
      <c r="BF13" s="1988">
        <v>43100</v>
      </c>
      <c r="BG13" s="712">
        <v>42978</v>
      </c>
      <c r="BH13" s="3556" t="s">
        <v>1965</v>
      </c>
    </row>
    <row r="14" spans="1:60" ht="71.25" x14ac:dyDescent="0.2">
      <c r="A14" s="2573"/>
      <c r="B14" s="170"/>
      <c r="C14" s="138"/>
      <c r="D14" s="2102"/>
      <c r="E14" s="2103"/>
      <c r="F14" s="324"/>
      <c r="G14" s="2103"/>
      <c r="H14" s="120">
        <v>2</v>
      </c>
      <c r="I14" s="1969" t="s">
        <v>1966</v>
      </c>
      <c r="J14" s="1968" t="s">
        <v>324</v>
      </c>
      <c r="K14" s="1968">
        <v>4</v>
      </c>
      <c r="L14" s="2094">
        <v>4</v>
      </c>
      <c r="M14" s="2428"/>
      <c r="N14" s="2573"/>
      <c r="O14" s="2428"/>
      <c r="P14" s="2095">
        <f>U14/Q13</f>
        <v>0.109375</v>
      </c>
      <c r="Q14" s="3583"/>
      <c r="R14" s="2428"/>
      <c r="S14" s="2438"/>
      <c r="T14" s="1969" t="s">
        <v>1967</v>
      </c>
      <c r="U14" s="2096">
        <f>7500000+10000000</f>
        <v>17500000</v>
      </c>
      <c r="V14" s="2097">
        <v>12220000</v>
      </c>
      <c r="W14" s="1968">
        <v>0</v>
      </c>
      <c r="X14" s="2098">
        <v>20</v>
      </c>
      <c r="Y14" s="1987" t="s">
        <v>1963</v>
      </c>
      <c r="Z14" s="2600"/>
      <c r="AA14" s="2600"/>
      <c r="AB14" s="2600"/>
      <c r="AC14" s="2600"/>
      <c r="AD14" s="2600"/>
      <c r="AE14" s="2600"/>
      <c r="AF14" s="2600"/>
      <c r="AG14" s="2600"/>
      <c r="AH14" s="2600"/>
      <c r="AI14" s="2600"/>
      <c r="AJ14" s="2600"/>
      <c r="AK14" s="2600"/>
      <c r="AL14" s="2600"/>
      <c r="AM14" s="2600"/>
      <c r="AN14" s="2600"/>
      <c r="AO14" s="2600"/>
      <c r="AP14" s="2600"/>
      <c r="AQ14" s="2600"/>
      <c r="AR14" s="2600"/>
      <c r="AS14" s="2600"/>
      <c r="AT14" s="2600"/>
      <c r="AU14" s="2600"/>
      <c r="AV14" s="2600"/>
      <c r="AW14" s="2600"/>
      <c r="AX14" s="1968">
        <v>2</v>
      </c>
      <c r="AY14" s="2104">
        <v>12220000</v>
      </c>
      <c r="AZ14" s="2100">
        <v>0</v>
      </c>
      <c r="BA14" s="1993">
        <f t="shared" si="0"/>
        <v>0.69828571428571429</v>
      </c>
      <c r="BB14" s="1968" t="s">
        <v>70</v>
      </c>
      <c r="BC14" s="1968" t="s">
        <v>1964</v>
      </c>
      <c r="BD14" s="2101">
        <v>42736</v>
      </c>
      <c r="BE14" s="712">
        <v>42767</v>
      </c>
      <c r="BF14" s="1988">
        <v>43100</v>
      </c>
      <c r="BG14" s="712">
        <v>42978</v>
      </c>
      <c r="BH14" s="3557"/>
    </row>
    <row r="15" spans="1:60" ht="114" x14ac:dyDescent="0.2">
      <c r="A15" s="2573"/>
      <c r="B15" s="170"/>
      <c r="C15" s="138"/>
      <c r="D15" s="2102"/>
      <c r="E15" s="2103"/>
      <c r="F15" s="324"/>
      <c r="G15" s="2103"/>
      <c r="H15" s="120">
        <v>3</v>
      </c>
      <c r="I15" s="1969" t="s">
        <v>1968</v>
      </c>
      <c r="J15" s="1968" t="s">
        <v>324</v>
      </c>
      <c r="K15" s="1968">
        <v>1</v>
      </c>
      <c r="L15" s="2094">
        <v>1</v>
      </c>
      <c r="M15" s="2428"/>
      <c r="N15" s="2573"/>
      <c r="O15" s="2428"/>
      <c r="P15" s="2095">
        <f>U15/Q13</f>
        <v>6.8750000000000006E-2</v>
      </c>
      <c r="Q15" s="3583"/>
      <c r="R15" s="2428"/>
      <c r="S15" s="2424" t="s">
        <v>1969</v>
      </c>
      <c r="T15" s="1976" t="s">
        <v>1970</v>
      </c>
      <c r="U15" s="2096">
        <f>11250000-250000</f>
        <v>11000000</v>
      </c>
      <c r="V15" s="2097">
        <v>5720000</v>
      </c>
      <c r="W15" s="1968">
        <v>0</v>
      </c>
      <c r="X15" s="2098">
        <v>20</v>
      </c>
      <c r="Y15" s="1987" t="s">
        <v>1963</v>
      </c>
      <c r="Z15" s="2600"/>
      <c r="AA15" s="2600"/>
      <c r="AB15" s="2600"/>
      <c r="AC15" s="2600"/>
      <c r="AD15" s="2600"/>
      <c r="AE15" s="2600"/>
      <c r="AF15" s="2600"/>
      <c r="AG15" s="2600"/>
      <c r="AH15" s="2600"/>
      <c r="AI15" s="2600"/>
      <c r="AJ15" s="2600"/>
      <c r="AK15" s="2600"/>
      <c r="AL15" s="2600"/>
      <c r="AM15" s="2600"/>
      <c r="AN15" s="2600"/>
      <c r="AO15" s="2600"/>
      <c r="AP15" s="2600"/>
      <c r="AQ15" s="2600"/>
      <c r="AR15" s="2600"/>
      <c r="AS15" s="2600"/>
      <c r="AT15" s="2600"/>
      <c r="AU15" s="2600"/>
      <c r="AV15" s="2600"/>
      <c r="AW15" s="2600"/>
      <c r="AX15" s="1968">
        <v>1</v>
      </c>
      <c r="AY15" s="2104">
        <v>5720000</v>
      </c>
      <c r="AZ15" s="2100">
        <v>0</v>
      </c>
      <c r="BA15" s="1993">
        <f t="shared" si="0"/>
        <v>0.52</v>
      </c>
      <c r="BB15" s="1968" t="s">
        <v>70</v>
      </c>
      <c r="BC15" s="1968" t="s">
        <v>1964</v>
      </c>
      <c r="BD15" s="2101">
        <v>42736</v>
      </c>
      <c r="BE15" s="712">
        <v>42767</v>
      </c>
      <c r="BF15" s="1988">
        <v>43100</v>
      </c>
      <c r="BG15" s="712">
        <v>42886</v>
      </c>
      <c r="BH15" s="3557"/>
    </row>
    <row r="16" spans="1:60" ht="99.75" x14ac:dyDescent="0.2">
      <c r="A16" s="2573"/>
      <c r="B16" s="170"/>
      <c r="C16" s="138"/>
      <c r="D16" s="2102"/>
      <c r="E16" s="2103"/>
      <c r="F16" s="324"/>
      <c r="G16" s="2103"/>
      <c r="H16" s="120">
        <v>4</v>
      </c>
      <c r="I16" s="1969" t="s">
        <v>1971</v>
      </c>
      <c r="J16" s="1968" t="s">
        <v>324</v>
      </c>
      <c r="K16" s="1968">
        <v>1</v>
      </c>
      <c r="L16" s="2094">
        <v>0</v>
      </c>
      <c r="M16" s="2428"/>
      <c r="N16" s="2573"/>
      <c r="O16" s="2428"/>
      <c r="P16" s="2095">
        <f>U16/Q13</f>
        <v>0.125</v>
      </c>
      <c r="Q16" s="3583"/>
      <c r="R16" s="2428"/>
      <c r="S16" s="2428"/>
      <c r="T16" s="1976" t="s">
        <v>1972</v>
      </c>
      <c r="U16" s="2096">
        <v>20000000</v>
      </c>
      <c r="V16" s="2097">
        <v>0</v>
      </c>
      <c r="W16" s="1968">
        <v>0</v>
      </c>
      <c r="X16" s="2098">
        <v>20</v>
      </c>
      <c r="Y16" s="1987" t="s">
        <v>1963</v>
      </c>
      <c r="Z16" s="2600"/>
      <c r="AA16" s="2600"/>
      <c r="AB16" s="2600"/>
      <c r="AC16" s="2600"/>
      <c r="AD16" s="2600"/>
      <c r="AE16" s="2600"/>
      <c r="AF16" s="2600"/>
      <c r="AG16" s="2600"/>
      <c r="AH16" s="2600"/>
      <c r="AI16" s="2600"/>
      <c r="AJ16" s="2600"/>
      <c r="AK16" s="2600"/>
      <c r="AL16" s="2600"/>
      <c r="AM16" s="2600"/>
      <c r="AN16" s="2600"/>
      <c r="AO16" s="2600"/>
      <c r="AP16" s="2600"/>
      <c r="AQ16" s="2600"/>
      <c r="AR16" s="2600"/>
      <c r="AS16" s="2600"/>
      <c r="AT16" s="2600"/>
      <c r="AU16" s="2600"/>
      <c r="AV16" s="2600"/>
      <c r="AW16" s="2600"/>
      <c r="AX16" s="1968">
        <v>0</v>
      </c>
      <c r="AY16" s="2104">
        <v>0</v>
      </c>
      <c r="AZ16" s="2100">
        <v>0</v>
      </c>
      <c r="BA16" s="1993">
        <f t="shared" si="0"/>
        <v>0</v>
      </c>
      <c r="BB16" s="1968" t="s">
        <v>70</v>
      </c>
      <c r="BC16" s="1968"/>
      <c r="BD16" s="2101">
        <v>42736</v>
      </c>
      <c r="BE16" s="712"/>
      <c r="BF16" s="1988">
        <v>43100</v>
      </c>
      <c r="BG16" s="712"/>
      <c r="BH16" s="3557"/>
    </row>
    <row r="17" spans="1:60" ht="142.5" x14ac:dyDescent="0.2">
      <c r="A17" s="2573"/>
      <c r="B17" s="170"/>
      <c r="C17" s="138"/>
      <c r="D17" s="2102"/>
      <c r="E17" s="2103"/>
      <c r="F17" s="324"/>
      <c r="G17" s="2103"/>
      <c r="H17" s="120">
        <v>5</v>
      </c>
      <c r="I17" s="1969" t="s">
        <v>1973</v>
      </c>
      <c r="J17" s="1968" t="s">
        <v>324</v>
      </c>
      <c r="K17" s="1968">
        <v>2</v>
      </c>
      <c r="L17" s="2094">
        <v>0.5</v>
      </c>
      <c r="M17" s="2428"/>
      <c r="N17" s="2573"/>
      <c r="O17" s="2428"/>
      <c r="P17" s="2095">
        <f>U17/Q13</f>
        <v>0.42499999999999999</v>
      </c>
      <c r="Q17" s="3583"/>
      <c r="R17" s="2428"/>
      <c r="S17" s="2428"/>
      <c r="T17" s="1976" t="s">
        <v>1974</v>
      </c>
      <c r="U17" s="2096">
        <f>7500000+10500000+50000000</f>
        <v>68000000</v>
      </c>
      <c r="V17" s="2097">
        <v>11420000</v>
      </c>
      <c r="W17" s="1968">
        <v>0</v>
      </c>
      <c r="X17" s="2098">
        <v>20</v>
      </c>
      <c r="Y17" s="1987" t="s">
        <v>1963</v>
      </c>
      <c r="Z17" s="2600"/>
      <c r="AA17" s="2600"/>
      <c r="AB17" s="2600"/>
      <c r="AC17" s="2600"/>
      <c r="AD17" s="2600"/>
      <c r="AE17" s="2600"/>
      <c r="AF17" s="2600"/>
      <c r="AG17" s="2600"/>
      <c r="AH17" s="2600"/>
      <c r="AI17" s="2600"/>
      <c r="AJ17" s="2600"/>
      <c r="AK17" s="2600"/>
      <c r="AL17" s="2600"/>
      <c r="AM17" s="2600"/>
      <c r="AN17" s="2600"/>
      <c r="AO17" s="2600"/>
      <c r="AP17" s="2600"/>
      <c r="AQ17" s="2600"/>
      <c r="AR17" s="2600"/>
      <c r="AS17" s="2600"/>
      <c r="AT17" s="2600"/>
      <c r="AU17" s="2600"/>
      <c r="AV17" s="2600"/>
      <c r="AW17" s="2600"/>
      <c r="AX17" s="1968">
        <v>2</v>
      </c>
      <c r="AY17" s="2104">
        <v>11420000</v>
      </c>
      <c r="AZ17" s="2100">
        <v>0</v>
      </c>
      <c r="BA17" s="1993">
        <f t="shared" si="0"/>
        <v>0.16794117647058823</v>
      </c>
      <c r="BB17" s="1968" t="s">
        <v>70</v>
      </c>
      <c r="BC17" s="1968" t="s">
        <v>1964</v>
      </c>
      <c r="BD17" s="2101">
        <v>42736</v>
      </c>
      <c r="BE17" s="712">
        <v>42767</v>
      </c>
      <c r="BF17" s="1988">
        <v>43100</v>
      </c>
      <c r="BG17" s="712">
        <v>42886</v>
      </c>
      <c r="BH17" s="3557"/>
    </row>
    <row r="18" spans="1:60" ht="128.25" x14ac:dyDescent="0.2">
      <c r="A18" s="2574"/>
      <c r="B18" s="174"/>
      <c r="C18" s="1941"/>
      <c r="D18" s="2102"/>
      <c r="E18" s="2103"/>
      <c r="F18" s="2105"/>
      <c r="G18" s="2106"/>
      <c r="H18" s="2015">
        <v>6</v>
      </c>
      <c r="I18" s="1969" t="s">
        <v>1975</v>
      </c>
      <c r="J18" s="1968" t="s">
        <v>324</v>
      </c>
      <c r="K18" s="1986">
        <v>12</v>
      </c>
      <c r="L18" s="2094">
        <v>10.5</v>
      </c>
      <c r="M18" s="2429"/>
      <c r="N18" s="2574"/>
      <c r="O18" s="2429"/>
      <c r="P18" s="2095">
        <f>U18/Q13</f>
        <v>6.8750000000000006E-2</v>
      </c>
      <c r="Q18" s="3584"/>
      <c r="R18" s="2429"/>
      <c r="S18" s="2429"/>
      <c r="T18" s="1976" t="s">
        <v>1976</v>
      </c>
      <c r="U18" s="2107">
        <v>11000000</v>
      </c>
      <c r="V18" s="2097">
        <v>4420000</v>
      </c>
      <c r="W18" s="1968">
        <v>0</v>
      </c>
      <c r="X18" s="2108">
        <v>20</v>
      </c>
      <c r="Y18" s="1987" t="s">
        <v>1963</v>
      </c>
      <c r="Z18" s="2601"/>
      <c r="AA18" s="2601"/>
      <c r="AB18" s="2601"/>
      <c r="AC18" s="2601"/>
      <c r="AD18" s="2601"/>
      <c r="AE18" s="2601"/>
      <c r="AF18" s="2601"/>
      <c r="AG18" s="2601"/>
      <c r="AH18" s="2601"/>
      <c r="AI18" s="2601"/>
      <c r="AJ18" s="2601"/>
      <c r="AK18" s="2601"/>
      <c r="AL18" s="2601"/>
      <c r="AM18" s="2601"/>
      <c r="AN18" s="2601"/>
      <c r="AO18" s="2601"/>
      <c r="AP18" s="2601"/>
      <c r="AQ18" s="2601"/>
      <c r="AR18" s="2601"/>
      <c r="AS18" s="2601"/>
      <c r="AT18" s="2601"/>
      <c r="AU18" s="2601"/>
      <c r="AV18" s="2601"/>
      <c r="AW18" s="2601"/>
      <c r="AX18" s="1968">
        <v>1</v>
      </c>
      <c r="AY18" s="2104">
        <v>4420000</v>
      </c>
      <c r="AZ18" s="2100">
        <v>0</v>
      </c>
      <c r="BA18" s="1993">
        <f t="shared" si="0"/>
        <v>0.4018181818181818</v>
      </c>
      <c r="BB18" s="1968" t="s">
        <v>70</v>
      </c>
      <c r="BC18" s="1968" t="s">
        <v>1964</v>
      </c>
      <c r="BD18" s="2101">
        <v>42736</v>
      </c>
      <c r="BE18" s="712">
        <v>42767</v>
      </c>
      <c r="BF18" s="1988">
        <v>43100</v>
      </c>
      <c r="BG18" s="712">
        <v>42886</v>
      </c>
      <c r="BH18" s="3558"/>
    </row>
    <row r="19" spans="1:60" ht="17.25" customHeight="1" x14ac:dyDescent="0.2">
      <c r="A19" s="2109"/>
      <c r="B19" s="2110"/>
      <c r="C19" s="2111"/>
      <c r="D19" s="2112"/>
      <c r="E19" s="2113"/>
      <c r="F19" s="831">
        <v>2</v>
      </c>
      <c r="G19" s="3571" t="s">
        <v>1977</v>
      </c>
      <c r="H19" s="3572"/>
      <c r="I19" s="3572"/>
      <c r="J19" s="105"/>
      <c r="K19" s="73"/>
      <c r="L19" s="2010"/>
      <c r="M19" s="73"/>
      <c r="N19" s="105"/>
      <c r="O19" s="2083"/>
      <c r="P19" s="2084"/>
      <c r="Q19" s="1571"/>
      <c r="R19" s="1300"/>
      <c r="S19" s="73"/>
      <c r="T19" s="73"/>
      <c r="U19" s="2085"/>
      <c r="V19" s="796"/>
      <c r="W19" s="2114"/>
      <c r="X19" s="2010"/>
      <c r="Y19" s="105"/>
      <c r="Z19" s="2083"/>
      <c r="AA19" s="2086"/>
      <c r="AB19" s="2086"/>
      <c r="AC19" s="2086"/>
      <c r="AD19" s="2086"/>
      <c r="AE19" s="2086"/>
      <c r="AF19" s="2086"/>
      <c r="AG19" s="2086"/>
      <c r="AH19" s="2086"/>
      <c r="AI19" s="2086"/>
      <c r="AJ19" s="2086"/>
      <c r="AK19" s="2086"/>
      <c r="AL19" s="2086"/>
      <c r="AM19" s="2087"/>
      <c r="AN19" s="2086"/>
      <c r="AO19" s="2115"/>
      <c r="AP19" s="2116"/>
      <c r="AQ19" s="2115"/>
      <c r="AR19" s="2116"/>
      <c r="AS19" s="2115"/>
      <c r="AT19" s="2116"/>
      <c r="AU19" s="2115"/>
      <c r="AV19" s="2116"/>
      <c r="AW19" s="2117"/>
      <c r="AX19" s="2118"/>
      <c r="AY19" s="2119"/>
      <c r="AZ19" s="2120"/>
      <c r="BA19" s="2121"/>
      <c r="BB19" s="1917"/>
      <c r="BC19" s="2118"/>
      <c r="BD19" s="2122"/>
      <c r="BE19" s="2123"/>
      <c r="BF19" s="2124"/>
      <c r="BG19" s="2123"/>
      <c r="BH19" s="785"/>
    </row>
    <row r="20" spans="1:60" ht="156.75" x14ac:dyDescent="0.2">
      <c r="A20" s="2572"/>
      <c r="B20" s="168"/>
      <c r="C20" s="1931"/>
      <c r="D20" s="2102"/>
      <c r="E20" s="2103"/>
      <c r="F20" s="2022"/>
      <c r="G20" s="765"/>
      <c r="H20" s="120">
        <v>8</v>
      </c>
      <c r="I20" s="1969" t="s">
        <v>1978</v>
      </c>
      <c r="J20" s="1968" t="s">
        <v>324</v>
      </c>
      <c r="K20" s="1968">
        <v>2</v>
      </c>
      <c r="L20" s="2125">
        <v>1.7</v>
      </c>
      <c r="M20" s="3562" t="s">
        <v>1979</v>
      </c>
      <c r="N20" s="2572">
        <v>67</v>
      </c>
      <c r="O20" s="2534" t="s">
        <v>1980</v>
      </c>
      <c r="P20" s="2095">
        <f>U20/Q20</f>
        <v>0.61213235294117652</v>
      </c>
      <c r="Q20" s="3573">
        <v>108800000</v>
      </c>
      <c r="R20" s="2424" t="s">
        <v>1981</v>
      </c>
      <c r="S20" s="2424" t="s">
        <v>1982</v>
      </c>
      <c r="T20" s="1969" t="s">
        <v>1983</v>
      </c>
      <c r="U20" s="2126">
        <f>46600000+20000000</f>
        <v>66600000</v>
      </c>
      <c r="V20" s="2097">
        <v>50000000</v>
      </c>
      <c r="W20" s="2104">
        <v>3370000</v>
      </c>
      <c r="X20" s="2127">
        <v>20</v>
      </c>
      <c r="Y20" s="1987" t="s">
        <v>1984</v>
      </c>
      <c r="Z20" s="2599"/>
      <c r="AA20" s="1990"/>
      <c r="AB20" s="2599"/>
      <c r="AC20" s="2599"/>
      <c r="AD20" s="2599"/>
      <c r="AE20" s="2599"/>
      <c r="AF20" s="2599"/>
      <c r="AG20" s="2599"/>
      <c r="AH20" s="2599"/>
      <c r="AI20" s="2599"/>
      <c r="AJ20" s="2599"/>
      <c r="AK20" s="2599"/>
      <c r="AL20" s="2599"/>
      <c r="AM20" s="2599"/>
      <c r="AN20" s="2599"/>
      <c r="AO20" s="2599"/>
      <c r="AP20" s="2599"/>
      <c r="AQ20" s="2599"/>
      <c r="AR20" s="2599"/>
      <c r="AS20" s="2599"/>
      <c r="AT20" s="2599"/>
      <c r="AU20" s="2599"/>
      <c r="AV20" s="2599"/>
      <c r="AW20" s="2599"/>
      <c r="AX20" s="1968">
        <v>4</v>
      </c>
      <c r="AY20" s="2104">
        <v>50000000</v>
      </c>
      <c r="AZ20" s="2128">
        <v>3370000</v>
      </c>
      <c r="BA20" s="1993">
        <f>AY20/U20</f>
        <v>0.75075075075075071</v>
      </c>
      <c r="BB20" s="1968" t="s">
        <v>1984</v>
      </c>
      <c r="BC20" s="1968" t="s">
        <v>1985</v>
      </c>
      <c r="BD20" s="2129">
        <v>42736</v>
      </c>
      <c r="BE20" s="712">
        <v>42767</v>
      </c>
      <c r="BF20" s="1988">
        <v>43100</v>
      </c>
      <c r="BG20" s="712">
        <v>42978</v>
      </c>
      <c r="BH20" s="3556" t="s">
        <v>1986</v>
      </c>
    </row>
    <row r="21" spans="1:60" ht="71.25" x14ac:dyDescent="0.2">
      <c r="A21" s="2574"/>
      <c r="B21" s="174"/>
      <c r="C21" s="1941"/>
      <c r="D21" s="2102"/>
      <c r="E21" s="2103"/>
      <c r="F21" s="2105"/>
      <c r="G21" s="2106"/>
      <c r="H21" s="120">
        <v>7</v>
      </c>
      <c r="I21" s="1969" t="s">
        <v>1987</v>
      </c>
      <c r="J21" s="1968" t="s">
        <v>324</v>
      </c>
      <c r="K21" s="1968">
        <v>1</v>
      </c>
      <c r="L21" s="2130">
        <v>0.7</v>
      </c>
      <c r="M21" s="3564"/>
      <c r="N21" s="2574"/>
      <c r="O21" s="2695"/>
      <c r="P21" s="2095">
        <f>U21/Q20</f>
        <v>0.38786764705882354</v>
      </c>
      <c r="Q21" s="3574"/>
      <c r="R21" s="2429"/>
      <c r="S21" s="2429"/>
      <c r="T21" s="1969" t="s">
        <v>1988</v>
      </c>
      <c r="U21" s="2126">
        <f>12200000+30000000</f>
        <v>42200000</v>
      </c>
      <c r="V21" s="2097">
        <v>30040000</v>
      </c>
      <c r="W21" s="2104">
        <v>0</v>
      </c>
      <c r="X21" s="2127">
        <v>20</v>
      </c>
      <c r="Y21" s="1987" t="s">
        <v>1984</v>
      </c>
      <c r="Z21" s="2601"/>
      <c r="AA21" s="1991"/>
      <c r="AB21" s="2601"/>
      <c r="AC21" s="2601"/>
      <c r="AD21" s="2601"/>
      <c r="AE21" s="2601"/>
      <c r="AF21" s="2601"/>
      <c r="AG21" s="2601"/>
      <c r="AH21" s="2601"/>
      <c r="AI21" s="2601"/>
      <c r="AJ21" s="2601"/>
      <c r="AK21" s="2601"/>
      <c r="AL21" s="2601"/>
      <c r="AM21" s="2601"/>
      <c r="AN21" s="2601"/>
      <c r="AO21" s="2601"/>
      <c r="AP21" s="2601"/>
      <c r="AQ21" s="2601"/>
      <c r="AR21" s="2601"/>
      <c r="AS21" s="2601"/>
      <c r="AT21" s="2601"/>
      <c r="AU21" s="2601"/>
      <c r="AV21" s="2601"/>
      <c r="AW21" s="2601"/>
      <c r="AX21" s="1968">
        <v>2</v>
      </c>
      <c r="AY21" s="2104">
        <v>30040000</v>
      </c>
      <c r="AZ21" s="2128">
        <v>0</v>
      </c>
      <c r="BA21" s="1993">
        <f>AY21/U21</f>
        <v>0.71184834123222751</v>
      </c>
      <c r="BB21" s="1968" t="s">
        <v>1984</v>
      </c>
      <c r="BC21" s="1968" t="s">
        <v>1985</v>
      </c>
      <c r="BD21" s="2129">
        <v>42736</v>
      </c>
      <c r="BE21" s="712">
        <v>42767</v>
      </c>
      <c r="BF21" s="1988">
        <v>43100</v>
      </c>
      <c r="BG21" s="712">
        <v>42978</v>
      </c>
      <c r="BH21" s="3558"/>
    </row>
    <row r="22" spans="1:60" ht="18.75" customHeight="1" x14ac:dyDescent="0.2">
      <c r="A22" s="1985"/>
      <c r="B22" s="1994"/>
      <c r="C22" s="2111"/>
      <c r="D22" s="58"/>
      <c r="E22" s="2131"/>
      <c r="F22" s="2115">
        <v>3</v>
      </c>
      <c r="G22" s="832" t="s">
        <v>1989</v>
      </c>
      <c r="H22" s="105"/>
      <c r="I22" s="73"/>
      <c r="J22" s="73"/>
      <c r="K22" s="2010"/>
      <c r="L22" s="105"/>
      <c r="M22" s="73"/>
      <c r="N22" s="782"/>
      <c r="O22" s="73"/>
      <c r="P22" s="2084"/>
      <c r="Q22" s="1569"/>
      <c r="R22" s="73"/>
      <c r="S22" s="73"/>
      <c r="T22" s="1298"/>
      <c r="U22" s="1571"/>
      <c r="V22" s="2132"/>
      <c r="W22" s="2118"/>
      <c r="X22" s="782"/>
      <c r="Y22" s="2010"/>
      <c r="Z22" s="2086"/>
      <c r="AA22" s="2115"/>
      <c r="AB22" s="2083"/>
      <c r="AC22" s="2115"/>
      <c r="AD22" s="2086"/>
      <c r="AE22" s="2115"/>
      <c r="AF22" s="2086"/>
      <c r="AG22" s="2115"/>
      <c r="AH22" s="2086"/>
      <c r="AI22" s="2115"/>
      <c r="AJ22" s="2086"/>
      <c r="AK22" s="2115"/>
      <c r="AL22" s="2116"/>
      <c r="AM22" s="2115"/>
      <c r="AN22" s="2086"/>
      <c r="AO22" s="2115"/>
      <c r="AP22" s="2116"/>
      <c r="AQ22" s="2115"/>
      <c r="AR22" s="2116"/>
      <c r="AS22" s="2115"/>
      <c r="AT22" s="2116"/>
      <c r="AU22" s="2115"/>
      <c r="AV22" s="2116"/>
      <c r="AW22" s="2117"/>
      <c r="AX22" s="2118"/>
      <c r="AY22" s="1917"/>
      <c r="AZ22" s="2133"/>
      <c r="BA22" s="2121"/>
      <c r="BB22" s="1917"/>
      <c r="BC22" s="2118"/>
      <c r="BD22" s="2122"/>
      <c r="BE22" s="2123"/>
      <c r="BF22" s="2124"/>
      <c r="BG22" s="2123"/>
      <c r="BH22" s="785"/>
    </row>
    <row r="23" spans="1:60" ht="76.5" customHeight="1" x14ac:dyDescent="0.2">
      <c r="A23" s="2572"/>
      <c r="B23" s="168"/>
      <c r="C23" s="1931"/>
      <c r="D23" s="2102"/>
      <c r="E23" s="1984"/>
      <c r="F23" s="2022"/>
      <c r="G23" s="765"/>
      <c r="H23" s="3537">
        <v>14</v>
      </c>
      <c r="I23" s="2424" t="s">
        <v>1990</v>
      </c>
      <c r="J23" s="2595" t="s">
        <v>324</v>
      </c>
      <c r="K23" s="2595">
        <v>6</v>
      </c>
      <c r="L23" s="2595">
        <v>2.2999999999999998</v>
      </c>
      <c r="M23" s="3562" t="s">
        <v>1991</v>
      </c>
      <c r="N23" s="2572">
        <v>68</v>
      </c>
      <c r="O23" s="2424" t="s">
        <v>1992</v>
      </c>
      <c r="P23" s="3565">
        <f>(U23+U24+U25)/Q23</f>
        <v>1</v>
      </c>
      <c r="Q23" s="3568">
        <v>676300058</v>
      </c>
      <c r="R23" s="2424" t="s">
        <v>1993</v>
      </c>
      <c r="S23" s="2424" t="s">
        <v>1994</v>
      </c>
      <c r="T23" s="1969" t="s">
        <v>1995</v>
      </c>
      <c r="U23" s="2126">
        <v>307600000</v>
      </c>
      <c r="V23" s="2134">
        <v>252906668</v>
      </c>
      <c r="W23" s="2135">
        <v>10540000</v>
      </c>
      <c r="X23" s="2127">
        <v>20</v>
      </c>
      <c r="Y23" s="1987" t="s">
        <v>1963</v>
      </c>
      <c r="Z23" s="2599"/>
      <c r="AA23" s="2599"/>
      <c r="AB23" s="2599"/>
      <c r="AC23" s="2599"/>
      <c r="AD23" s="2599"/>
      <c r="AE23" s="2599"/>
      <c r="AF23" s="2599"/>
      <c r="AG23" s="2599"/>
      <c r="AH23" s="2599"/>
      <c r="AI23" s="2599"/>
      <c r="AJ23" s="2599"/>
      <c r="AK23" s="2599"/>
      <c r="AL23" s="2599"/>
      <c r="AM23" s="2599"/>
      <c r="AN23" s="2599"/>
      <c r="AO23" s="2599"/>
      <c r="AP23" s="2599"/>
      <c r="AQ23" s="2599"/>
      <c r="AR23" s="2599"/>
      <c r="AS23" s="2599"/>
      <c r="AT23" s="2599"/>
      <c r="AU23" s="2599"/>
      <c r="AV23" s="2599"/>
      <c r="AW23" s="2599"/>
      <c r="AX23" s="2595">
        <v>19</v>
      </c>
      <c r="AY23" s="3531">
        <v>252906668</v>
      </c>
      <c r="AZ23" s="3559">
        <v>10540000</v>
      </c>
      <c r="BA23" s="2587">
        <f>AY23/U23</f>
        <v>0.82219332899869957</v>
      </c>
      <c r="BB23" s="2595" t="s">
        <v>70</v>
      </c>
      <c r="BC23" s="2595" t="s">
        <v>1996</v>
      </c>
      <c r="BD23" s="2578">
        <v>42736</v>
      </c>
      <c r="BE23" s="3553">
        <v>42767</v>
      </c>
      <c r="BF23" s="2578">
        <v>43100</v>
      </c>
      <c r="BG23" s="3553">
        <v>42978</v>
      </c>
      <c r="BH23" s="3556" t="s">
        <v>1986</v>
      </c>
    </row>
    <row r="24" spans="1:60" ht="52.5" customHeight="1" x14ac:dyDescent="0.2">
      <c r="A24" s="2573"/>
      <c r="B24" s="170"/>
      <c r="C24" s="138"/>
      <c r="D24" s="2102"/>
      <c r="E24" s="1984"/>
      <c r="F24" s="324"/>
      <c r="G24" s="2103"/>
      <c r="H24" s="2640"/>
      <c r="I24" s="2428"/>
      <c r="J24" s="2603"/>
      <c r="K24" s="2603"/>
      <c r="L24" s="2603"/>
      <c r="M24" s="3563"/>
      <c r="N24" s="2573"/>
      <c r="O24" s="2428"/>
      <c r="P24" s="3566"/>
      <c r="Q24" s="3569"/>
      <c r="R24" s="2428"/>
      <c r="S24" s="2428"/>
      <c r="T24" s="1969" t="s">
        <v>1997</v>
      </c>
      <c r="U24" s="2136">
        <f>50000000+219592885</f>
        <v>269592885</v>
      </c>
      <c r="V24" s="2134">
        <v>0</v>
      </c>
      <c r="W24" s="2135">
        <v>0</v>
      </c>
      <c r="X24" s="2127">
        <v>20</v>
      </c>
      <c r="Y24" s="1987" t="s">
        <v>1963</v>
      </c>
      <c r="Z24" s="2600"/>
      <c r="AA24" s="2600"/>
      <c r="AB24" s="2600"/>
      <c r="AC24" s="2600"/>
      <c r="AD24" s="2600"/>
      <c r="AE24" s="2600"/>
      <c r="AF24" s="2600"/>
      <c r="AG24" s="2600"/>
      <c r="AH24" s="2600"/>
      <c r="AI24" s="2600"/>
      <c r="AJ24" s="2600"/>
      <c r="AK24" s="2600"/>
      <c r="AL24" s="2600"/>
      <c r="AM24" s="2600"/>
      <c r="AN24" s="2600"/>
      <c r="AO24" s="2600"/>
      <c r="AP24" s="2600"/>
      <c r="AQ24" s="2600"/>
      <c r="AR24" s="2600"/>
      <c r="AS24" s="2600"/>
      <c r="AT24" s="2600"/>
      <c r="AU24" s="2600"/>
      <c r="AV24" s="2600"/>
      <c r="AW24" s="2600"/>
      <c r="AX24" s="2603"/>
      <c r="AY24" s="3532"/>
      <c r="AZ24" s="3560"/>
      <c r="BA24" s="2588"/>
      <c r="BB24" s="2603"/>
      <c r="BC24" s="2603"/>
      <c r="BD24" s="2579"/>
      <c r="BE24" s="3554"/>
      <c r="BF24" s="2579"/>
      <c r="BG24" s="3554"/>
      <c r="BH24" s="3557"/>
    </row>
    <row r="25" spans="1:60" ht="58.5" customHeight="1" x14ac:dyDescent="0.2">
      <c r="A25" s="2574"/>
      <c r="B25" s="174"/>
      <c r="C25" s="1941"/>
      <c r="D25" s="2102"/>
      <c r="E25" s="1984"/>
      <c r="F25" s="324"/>
      <c r="G25" s="2103"/>
      <c r="H25" s="3538"/>
      <c r="I25" s="2429"/>
      <c r="J25" s="2596"/>
      <c r="K25" s="2596"/>
      <c r="L25" s="2596"/>
      <c r="M25" s="3564"/>
      <c r="N25" s="2574"/>
      <c r="O25" s="2429"/>
      <c r="P25" s="3567"/>
      <c r="Q25" s="3570"/>
      <c r="R25" s="2429"/>
      <c r="S25" s="2429"/>
      <c r="T25" s="1969" t="s">
        <v>1998</v>
      </c>
      <c r="U25" s="2137">
        <v>99107173</v>
      </c>
      <c r="V25" s="2134">
        <v>0</v>
      </c>
      <c r="W25" s="2135">
        <v>0</v>
      </c>
      <c r="X25" s="2127">
        <v>20</v>
      </c>
      <c r="Y25" s="1987" t="s">
        <v>1963</v>
      </c>
      <c r="Z25" s="2601"/>
      <c r="AA25" s="2601"/>
      <c r="AB25" s="2601"/>
      <c r="AC25" s="2601"/>
      <c r="AD25" s="2601"/>
      <c r="AE25" s="2601"/>
      <c r="AF25" s="2601"/>
      <c r="AG25" s="2601"/>
      <c r="AH25" s="2601"/>
      <c r="AI25" s="2601"/>
      <c r="AJ25" s="2601"/>
      <c r="AK25" s="2601"/>
      <c r="AL25" s="2601"/>
      <c r="AM25" s="2601"/>
      <c r="AN25" s="2600"/>
      <c r="AO25" s="2601"/>
      <c r="AP25" s="2601"/>
      <c r="AQ25" s="2601"/>
      <c r="AR25" s="2601"/>
      <c r="AS25" s="2601"/>
      <c r="AT25" s="2601"/>
      <c r="AU25" s="2601"/>
      <c r="AV25" s="2601"/>
      <c r="AW25" s="2601"/>
      <c r="AX25" s="2596"/>
      <c r="AY25" s="3533"/>
      <c r="AZ25" s="3561"/>
      <c r="BA25" s="2589"/>
      <c r="BB25" s="2596"/>
      <c r="BC25" s="2596"/>
      <c r="BD25" s="2580"/>
      <c r="BE25" s="3555"/>
      <c r="BF25" s="2580"/>
      <c r="BG25" s="3555"/>
      <c r="BH25" s="3558"/>
    </row>
    <row r="26" spans="1:60" ht="102" customHeight="1" x14ac:dyDescent="0.2">
      <c r="A26" s="2634"/>
      <c r="B26" s="1536"/>
      <c r="C26" s="2138"/>
      <c r="D26" s="2102"/>
      <c r="E26" s="1984"/>
      <c r="F26" s="324"/>
      <c r="G26" s="2103"/>
      <c r="H26" s="3551">
        <v>15</v>
      </c>
      <c r="I26" s="2424" t="s">
        <v>1999</v>
      </c>
      <c r="J26" s="2527" t="s">
        <v>324</v>
      </c>
      <c r="K26" s="2527">
        <v>2</v>
      </c>
      <c r="L26" s="2595">
        <v>0</v>
      </c>
      <c r="M26" s="2534" t="s">
        <v>2000</v>
      </c>
      <c r="N26" s="2527">
        <v>69</v>
      </c>
      <c r="O26" s="2534" t="s">
        <v>2001</v>
      </c>
      <c r="P26" s="2710">
        <f>(U26+U27)/Q26</f>
        <v>0.91743818541371469</v>
      </c>
      <c r="Q26" s="3522">
        <v>346407115</v>
      </c>
      <c r="R26" s="2424" t="s">
        <v>2002</v>
      </c>
      <c r="S26" s="2436" t="s">
        <v>2003</v>
      </c>
      <c r="T26" s="1969" t="s">
        <v>2004</v>
      </c>
      <c r="U26" s="2137">
        <v>90000000</v>
      </c>
      <c r="V26" s="2139">
        <v>0</v>
      </c>
      <c r="W26" s="1968">
        <v>0</v>
      </c>
      <c r="X26" s="2127">
        <v>20</v>
      </c>
      <c r="Y26" s="1987" t="s">
        <v>1963</v>
      </c>
      <c r="Z26" s="2599"/>
      <c r="AA26" s="2599"/>
      <c r="AB26" s="2599"/>
      <c r="AC26" s="2599"/>
      <c r="AD26" s="2599"/>
      <c r="AE26" s="2599"/>
      <c r="AF26" s="2599"/>
      <c r="AG26" s="2599"/>
      <c r="AH26" s="2599"/>
      <c r="AI26" s="2599"/>
      <c r="AJ26" s="2599"/>
      <c r="AK26" s="2599"/>
      <c r="AL26" s="2599"/>
      <c r="AM26" s="2599"/>
      <c r="AN26" s="2600"/>
      <c r="AO26" s="2599"/>
      <c r="AP26" s="2599"/>
      <c r="AQ26" s="2599"/>
      <c r="AR26" s="2599"/>
      <c r="AS26" s="2599"/>
      <c r="AT26" s="2599"/>
      <c r="AU26" s="2599"/>
      <c r="AV26" s="2599"/>
      <c r="AW26" s="2599"/>
      <c r="AX26" s="1968">
        <v>0</v>
      </c>
      <c r="AY26" s="1968">
        <v>0</v>
      </c>
      <c r="AZ26" s="2100">
        <v>0</v>
      </c>
      <c r="BA26" s="1993">
        <f t="shared" ref="BA26:BA31" si="1">AY26/U26</f>
        <v>0</v>
      </c>
      <c r="BB26" s="1968" t="s">
        <v>70</v>
      </c>
      <c r="BC26" s="1968"/>
      <c r="BD26" s="2140">
        <v>42736</v>
      </c>
      <c r="BE26" s="712"/>
      <c r="BF26" s="1988">
        <v>43100</v>
      </c>
      <c r="BG26" s="712"/>
      <c r="BH26" s="3537" t="s">
        <v>1986</v>
      </c>
    </row>
    <row r="27" spans="1:60" ht="28.5" x14ac:dyDescent="0.2">
      <c r="A27" s="2635"/>
      <c r="B27" s="2141"/>
      <c r="C27" s="1535"/>
      <c r="D27" s="2102"/>
      <c r="E27" s="1984"/>
      <c r="F27" s="324"/>
      <c r="G27" s="2103"/>
      <c r="H27" s="3552"/>
      <c r="I27" s="2429"/>
      <c r="J27" s="2528"/>
      <c r="K27" s="2528"/>
      <c r="L27" s="2596"/>
      <c r="M27" s="2694"/>
      <c r="N27" s="2639"/>
      <c r="O27" s="2694"/>
      <c r="P27" s="2711"/>
      <c r="Q27" s="3517"/>
      <c r="R27" s="2428"/>
      <c r="S27" s="2437"/>
      <c r="T27" s="1969" t="s">
        <v>2005</v>
      </c>
      <c r="U27" s="1548">
        <f>79400000+148407115</f>
        <v>227807115</v>
      </c>
      <c r="V27" s="2139">
        <v>0</v>
      </c>
      <c r="W27" s="1968">
        <v>0</v>
      </c>
      <c r="X27" s="2142">
        <v>20</v>
      </c>
      <c r="Y27" s="1987" t="s">
        <v>1963</v>
      </c>
      <c r="Z27" s="2600"/>
      <c r="AA27" s="2600"/>
      <c r="AB27" s="2600"/>
      <c r="AC27" s="2600"/>
      <c r="AD27" s="2600"/>
      <c r="AE27" s="2600"/>
      <c r="AF27" s="2600"/>
      <c r="AG27" s="2600"/>
      <c r="AH27" s="2600"/>
      <c r="AI27" s="2600"/>
      <c r="AJ27" s="2600"/>
      <c r="AK27" s="2600"/>
      <c r="AL27" s="2600"/>
      <c r="AM27" s="2600"/>
      <c r="AN27" s="2600"/>
      <c r="AO27" s="2600"/>
      <c r="AP27" s="2600"/>
      <c r="AQ27" s="2600"/>
      <c r="AR27" s="2600"/>
      <c r="AS27" s="2600"/>
      <c r="AT27" s="2600"/>
      <c r="AU27" s="2600"/>
      <c r="AV27" s="2600"/>
      <c r="AW27" s="2600"/>
      <c r="AX27" s="1968">
        <v>0</v>
      </c>
      <c r="AY27" s="1968">
        <v>0</v>
      </c>
      <c r="AZ27" s="2100">
        <v>0</v>
      </c>
      <c r="BA27" s="1993">
        <f t="shared" si="1"/>
        <v>0</v>
      </c>
      <c r="BB27" s="1968" t="s">
        <v>70</v>
      </c>
      <c r="BC27" s="1968"/>
      <c r="BD27" s="2140">
        <v>42736</v>
      </c>
      <c r="BE27" s="712"/>
      <c r="BF27" s="1988">
        <v>43100</v>
      </c>
      <c r="BG27" s="712"/>
      <c r="BH27" s="2640"/>
    </row>
    <row r="28" spans="1:60" ht="142.5" x14ac:dyDescent="0.2">
      <c r="A28" s="2635"/>
      <c r="B28" s="2141"/>
      <c r="C28" s="1535"/>
      <c r="D28" s="2102"/>
      <c r="E28" s="1984"/>
      <c r="F28" s="324"/>
      <c r="G28" s="2103"/>
      <c r="H28" s="2143">
        <v>16</v>
      </c>
      <c r="I28" s="1969" t="s">
        <v>2006</v>
      </c>
      <c r="J28" s="1979" t="s">
        <v>324</v>
      </c>
      <c r="K28" s="1977">
        <v>3</v>
      </c>
      <c r="L28" s="1968">
        <v>0</v>
      </c>
      <c r="M28" s="2694"/>
      <c r="N28" s="2639"/>
      <c r="O28" s="2694"/>
      <c r="P28" s="961">
        <f>U28/Q26</f>
        <v>1.7320660402717191E-2</v>
      </c>
      <c r="Q28" s="3517"/>
      <c r="R28" s="2428"/>
      <c r="S28" s="2437"/>
      <c r="T28" s="1969" t="s">
        <v>2007</v>
      </c>
      <c r="U28" s="2144">
        <v>6000000</v>
      </c>
      <c r="V28" s="2139">
        <v>0</v>
      </c>
      <c r="W28" s="1968">
        <v>0</v>
      </c>
      <c r="X28" s="2142">
        <v>20</v>
      </c>
      <c r="Y28" s="1987" t="s">
        <v>1963</v>
      </c>
      <c r="Z28" s="2600"/>
      <c r="AA28" s="2600"/>
      <c r="AB28" s="2600"/>
      <c r="AC28" s="2600"/>
      <c r="AD28" s="2600"/>
      <c r="AE28" s="2600"/>
      <c r="AF28" s="2145"/>
      <c r="AG28" s="2600"/>
      <c r="AH28" s="2145"/>
      <c r="AI28" s="2600"/>
      <c r="AJ28" s="2145"/>
      <c r="AK28" s="2600"/>
      <c r="AL28" s="2600"/>
      <c r="AM28" s="2600"/>
      <c r="AN28" s="2600"/>
      <c r="AO28" s="2600"/>
      <c r="AP28" s="2600"/>
      <c r="AQ28" s="2600"/>
      <c r="AR28" s="2600"/>
      <c r="AS28" s="2600"/>
      <c r="AT28" s="2600"/>
      <c r="AU28" s="2600"/>
      <c r="AV28" s="2600"/>
      <c r="AW28" s="2600"/>
      <c r="AX28" s="1968">
        <v>0</v>
      </c>
      <c r="AY28" s="1968">
        <v>0</v>
      </c>
      <c r="AZ28" s="2100">
        <v>0</v>
      </c>
      <c r="BA28" s="1993">
        <f t="shared" si="1"/>
        <v>0</v>
      </c>
      <c r="BB28" s="1968" t="s">
        <v>70</v>
      </c>
      <c r="BC28" s="1968"/>
      <c r="BD28" s="2140">
        <v>42736</v>
      </c>
      <c r="BE28" s="712"/>
      <c r="BF28" s="1988">
        <v>43100</v>
      </c>
      <c r="BG28" s="712"/>
      <c r="BH28" s="2640"/>
    </row>
    <row r="29" spans="1:60" ht="99.75" x14ac:dyDescent="0.2">
      <c r="A29" s="2635"/>
      <c r="B29" s="2141"/>
      <c r="C29" s="1535"/>
      <c r="D29" s="2102"/>
      <c r="E29" s="1984"/>
      <c r="F29" s="324"/>
      <c r="G29" s="2103"/>
      <c r="H29" s="2143">
        <v>18</v>
      </c>
      <c r="I29" s="1969" t="s">
        <v>2008</v>
      </c>
      <c r="J29" s="1979" t="s">
        <v>324</v>
      </c>
      <c r="K29" s="1977">
        <v>7</v>
      </c>
      <c r="L29" s="1968">
        <v>0</v>
      </c>
      <c r="M29" s="2694"/>
      <c r="N29" s="2639"/>
      <c r="O29" s="2694"/>
      <c r="P29" s="961">
        <f>U29/Q26</f>
        <v>2.4826279910561307E-2</v>
      </c>
      <c r="Q29" s="3517"/>
      <c r="R29" s="2428"/>
      <c r="S29" s="2438"/>
      <c r="T29" s="1976" t="s">
        <v>2009</v>
      </c>
      <c r="U29" s="2039">
        <f>10000000-1400000</f>
        <v>8600000</v>
      </c>
      <c r="V29" s="2139">
        <v>0</v>
      </c>
      <c r="W29" s="1968">
        <v>0</v>
      </c>
      <c r="X29" s="2142">
        <v>20</v>
      </c>
      <c r="Y29" s="1987" t="s">
        <v>1963</v>
      </c>
      <c r="Z29" s="2600"/>
      <c r="AA29" s="2600"/>
      <c r="AB29" s="2600"/>
      <c r="AC29" s="2600"/>
      <c r="AD29" s="2600"/>
      <c r="AE29" s="2600"/>
      <c r="AF29" s="2145"/>
      <c r="AG29" s="2600"/>
      <c r="AH29" s="2145"/>
      <c r="AI29" s="2600"/>
      <c r="AJ29" s="2145"/>
      <c r="AK29" s="2600"/>
      <c r="AL29" s="2600"/>
      <c r="AM29" s="2600"/>
      <c r="AN29" s="2600"/>
      <c r="AO29" s="2600"/>
      <c r="AP29" s="2600"/>
      <c r="AQ29" s="2600"/>
      <c r="AR29" s="2600"/>
      <c r="AS29" s="2600"/>
      <c r="AT29" s="2600"/>
      <c r="AU29" s="2600"/>
      <c r="AV29" s="2600"/>
      <c r="AW29" s="2600"/>
      <c r="AX29" s="1968">
        <v>0</v>
      </c>
      <c r="AY29" s="1968">
        <v>0</v>
      </c>
      <c r="AZ29" s="2100">
        <v>0</v>
      </c>
      <c r="BA29" s="1993">
        <f t="shared" si="1"/>
        <v>0</v>
      </c>
      <c r="BB29" s="1968" t="s">
        <v>70</v>
      </c>
      <c r="BC29" s="1968"/>
      <c r="BD29" s="2140">
        <v>42736</v>
      </c>
      <c r="BE29" s="712"/>
      <c r="BF29" s="1988">
        <v>43100</v>
      </c>
      <c r="BG29" s="712"/>
      <c r="BH29" s="2640"/>
    </row>
    <row r="30" spans="1:60" ht="142.5" x14ac:dyDescent="0.2">
      <c r="A30" s="2635"/>
      <c r="B30" s="2141"/>
      <c r="C30" s="1535"/>
      <c r="D30" s="2102"/>
      <c r="E30" s="1984"/>
      <c r="F30" s="324"/>
      <c r="G30" s="2103"/>
      <c r="H30" s="2143">
        <v>19</v>
      </c>
      <c r="I30" s="1969" t="s">
        <v>2010</v>
      </c>
      <c r="J30" s="1968" t="s">
        <v>324</v>
      </c>
      <c r="K30" s="1977">
        <v>9</v>
      </c>
      <c r="L30" s="1968">
        <v>0</v>
      </c>
      <c r="M30" s="2694"/>
      <c r="N30" s="2639"/>
      <c r="O30" s="2694"/>
      <c r="P30" s="961">
        <f>U30/Q26</f>
        <v>2.020743713650339E-2</v>
      </c>
      <c r="Q30" s="3517"/>
      <c r="R30" s="2428"/>
      <c r="S30" s="1989" t="s">
        <v>2011</v>
      </c>
      <c r="T30" s="1976" t="s">
        <v>2012</v>
      </c>
      <c r="U30" s="2039">
        <v>7000000</v>
      </c>
      <c r="V30" s="2139">
        <v>0</v>
      </c>
      <c r="W30" s="1968">
        <v>0</v>
      </c>
      <c r="X30" s="2142">
        <v>20</v>
      </c>
      <c r="Y30" s="1987" t="s">
        <v>1963</v>
      </c>
      <c r="Z30" s="2600"/>
      <c r="AA30" s="2600"/>
      <c r="AB30" s="2600"/>
      <c r="AC30" s="2600"/>
      <c r="AD30" s="2600"/>
      <c r="AE30" s="2600"/>
      <c r="AF30" s="2145"/>
      <c r="AG30" s="2600"/>
      <c r="AH30" s="2145"/>
      <c r="AI30" s="2600"/>
      <c r="AJ30" s="2145"/>
      <c r="AK30" s="2600"/>
      <c r="AL30" s="2600"/>
      <c r="AM30" s="2600"/>
      <c r="AN30" s="2600"/>
      <c r="AO30" s="2600"/>
      <c r="AP30" s="2600"/>
      <c r="AQ30" s="2600"/>
      <c r="AR30" s="2600"/>
      <c r="AS30" s="2600"/>
      <c r="AT30" s="2600"/>
      <c r="AU30" s="2600"/>
      <c r="AV30" s="2600"/>
      <c r="AW30" s="2600"/>
      <c r="AX30" s="1968">
        <v>0</v>
      </c>
      <c r="AY30" s="1968">
        <v>0</v>
      </c>
      <c r="AZ30" s="2100">
        <v>0</v>
      </c>
      <c r="BA30" s="1993">
        <f t="shared" si="1"/>
        <v>0</v>
      </c>
      <c r="BB30" s="1968" t="s">
        <v>70</v>
      </c>
      <c r="BC30" s="1968"/>
      <c r="BD30" s="2140">
        <v>42736</v>
      </c>
      <c r="BE30" s="712"/>
      <c r="BF30" s="1988">
        <v>43100</v>
      </c>
      <c r="BG30" s="712"/>
      <c r="BH30" s="2640"/>
    </row>
    <row r="31" spans="1:60" ht="156.75" x14ac:dyDescent="0.2">
      <c r="A31" s="2636"/>
      <c r="B31" s="2146"/>
      <c r="C31" s="2147"/>
      <c r="D31" s="2148"/>
      <c r="E31" s="2012"/>
      <c r="F31" s="2105"/>
      <c r="G31" s="2106"/>
      <c r="H31" s="2143">
        <v>20</v>
      </c>
      <c r="I31" s="1969" t="s">
        <v>2013</v>
      </c>
      <c r="J31" s="1968" t="s">
        <v>324</v>
      </c>
      <c r="K31" s="1977">
        <v>70</v>
      </c>
      <c r="L31" s="1968">
        <v>0</v>
      </c>
      <c r="M31" s="2695"/>
      <c r="N31" s="2528"/>
      <c r="O31" s="2695"/>
      <c r="P31" s="961">
        <f>U31/Q26</f>
        <v>2.020743713650339E-2</v>
      </c>
      <c r="Q31" s="3518"/>
      <c r="R31" s="2429"/>
      <c r="S31" s="1989" t="s">
        <v>2014</v>
      </c>
      <c r="T31" s="1976" t="s">
        <v>2015</v>
      </c>
      <c r="U31" s="2149">
        <v>7000000</v>
      </c>
      <c r="V31" s="2139">
        <v>0</v>
      </c>
      <c r="W31" s="1968">
        <v>0</v>
      </c>
      <c r="X31" s="2142">
        <v>20</v>
      </c>
      <c r="Y31" s="1987" t="s">
        <v>1963</v>
      </c>
      <c r="Z31" s="2601"/>
      <c r="AA31" s="2601"/>
      <c r="AB31" s="2601"/>
      <c r="AC31" s="2601"/>
      <c r="AD31" s="2601"/>
      <c r="AE31" s="2601"/>
      <c r="AF31" s="2150"/>
      <c r="AG31" s="2601"/>
      <c r="AH31" s="2150"/>
      <c r="AI31" s="2601"/>
      <c r="AJ31" s="2150"/>
      <c r="AK31" s="2601"/>
      <c r="AL31" s="2601"/>
      <c r="AM31" s="2601"/>
      <c r="AN31" s="2600"/>
      <c r="AO31" s="2601"/>
      <c r="AP31" s="2601"/>
      <c r="AQ31" s="2601"/>
      <c r="AR31" s="2601"/>
      <c r="AS31" s="2601"/>
      <c r="AT31" s="2601"/>
      <c r="AU31" s="2601"/>
      <c r="AV31" s="2601"/>
      <c r="AW31" s="2601"/>
      <c r="AX31" s="1968">
        <v>0</v>
      </c>
      <c r="AY31" s="1968">
        <v>0</v>
      </c>
      <c r="AZ31" s="2100">
        <v>0</v>
      </c>
      <c r="BA31" s="1993">
        <f t="shared" si="1"/>
        <v>0</v>
      </c>
      <c r="BB31" s="1968" t="s">
        <v>70</v>
      </c>
      <c r="BC31" s="1968"/>
      <c r="BD31" s="2140">
        <v>42736</v>
      </c>
      <c r="BE31" s="712"/>
      <c r="BF31" s="1988">
        <v>43100</v>
      </c>
      <c r="BG31" s="712"/>
      <c r="BH31" s="3538"/>
    </row>
    <row r="32" spans="1:60" ht="12.75" customHeight="1" x14ac:dyDescent="0.2">
      <c r="A32" s="2049">
        <v>2</v>
      </c>
      <c r="B32" s="2050" t="s">
        <v>479</v>
      </c>
      <c r="C32" s="2050"/>
      <c r="D32" s="2053"/>
      <c r="E32" s="2053"/>
      <c r="F32" s="2053"/>
      <c r="G32" s="2053"/>
      <c r="H32" s="2050"/>
      <c r="I32" s="2052"/>
      <c r="J32" s="2050"/>
      <c r="K32" s="2050"/>
      <c r="L32" s="2051"/>
      <c r="M32" s="2151"/>
      <c r="N32" s="2152"/>
      <c r="O32" s="2151"/>
      <c r="P32" s="2153"/>
      <c r="Q32" s="2154"/>
      <c r="R32" s="2151"/>
      <c r="S32" s="2151"/>
      <c r="T32" s="2151"/>
      <c r="U32" s="2155"/>
      <c r="V32" s="2056"/>
      <c r="W32" s="2057"/>
      <c r="X32" s="2156"/>
      <c r="Y32" s="2152"/>
      <c r="Z32" s="2157"/>
      <c r="AA32" s="2059"/>
      <c r="AB32" s="2157"/>
      <c r="AC32" s="2059"/>
      <c r="AD32" s="2157"/>
      <c r="AE32" s="2059"/>
      <c r="AF32" s="2157"/>
      <c r="AG32" s="2059"/>
      <c r="AH32" s="2157"/>
      <c r="AI32" s="2059"/>
      <c r="AJ32" s="2157"/>
      <c r="AK32" s="2059"/>
      <c r="AL32" s="2058"/>
      <c r="AM32" s="2059"/>
      <c r="AN32" s="2600"/>
      <c r="AO32" s="2059"/>
      <c r="AP32" s="2058"/>
      <c r="AQ32" s="2059"/>
      <c r="AR32" s="2058"/>
      <c r="AS32" s="2059"/>
      <c r="AT32" s="2058"/>
      <c r="AU32" s="2059"/>
      <c r="AV32" s="2058"/>
      <c r="AW32" s="2158"/>
      <c r="AX32" s="2057"/>
      <c r="AY32" s="2051"/>
      <c r="AZ32" s="2159"/>
      <c r="BA32" s="2062"/>
      <c r="BB32" s="2051"/>
      <c r="BC32" s="2057"/>
      <c r="BD32" s="2160"/>
      <c r="BE32" s="2065"/>
      <c r="BF32" s="2161"/>
      <c r="BG32" s="2065"/>
      <c r="BH32" s="2162"/>
    </row>
    <row r="33" spans="1:60" ht="15" x14ac:dyDescent="0.2">
      <c r="A33" s="2634"/>
      <c r="B33" s="1536"/>
      <c r="C33" s="2163">
        <v>2</v>
      </c>
      <c r="D33" s="3547" t="s">
        <v>481</v>
      </c>
      <c r="E33" s="3548"/>
      <c r="F33" s="3548"/>
      <c r="G33" s="3548"/>
      <c r="H33" s="3548"/>
      <c r="I33" s="3548"/>
      <c r="J33" s="2164"/>
      <c r="K33" s="2165"/>
      <c r="L33" s="2166"/>
      <c r="M33" s="2165"/>
      <c r="N33" s="2167"/>
      <c r="O33" s="2165"/>
      <c r="P33" s="2168"/>
      <c r="Q33" s="2169"/>
      <c r="R33" s="2165"/>
      <c r="S33" s="2165"/>
      <c r="T33" s="2165"/>
      <c r="U33" s="2170"/>
      <c r="V33" s="2171"/>
      <c r="W33" s="2172"/>
      <c r="X33" s="2167"/>
      <c r="Y33" s="2173"/>
      <c r="Z33" s="2174"/>
      <c r="AA33" s="2175"/>
      <c r="AB33" s="2176"/>
      <c r="AC33" s="2175"/>
      <c r="AD33" s="2174"/>
      <c r="AE33" s="2175"/>
      <c r="AF33" s="2174"/>
      <c r="AG33" s="2175"/>
      <c r="AH33" s="2174"/>
      <c r="AI33" s="2175"/>
      <c r="AJ33" s="2174"/>
      <c r="AK33" s="2175"/>
      <c r="AL33" s="2177"/>
      <c r="AM33" s="2175"/>
      <c r="AN33" s="2601"/>
      <c r="AO33" s="2175"/>
      <c r="AP33" s="2177"/>
      <c r="AQ33" s="2175"/>
      <c r="AR33" s="2177"/>
      <c r="AS33" s="2175"/>
      <c r="AT33" s="2177"/>
      <c r="AU33" s="2175"/>
      <c r="AV33" s="2177"/>
      <c r="AW33" s="2178"/>
      <c r="AX33" s="2172"/>
      <c r="AY33" s="2166"/>
      <c r="AZ33" s="2179"/>
      <c r="BA33" s="2180"/>
      <c r="BB33" s="2166"/>
      <c r="BC33" s="2172"/>
      <c r="BD33" s="2181"/>
      <c r="BE33" s="2182"/>
      <c r="BF33" s="2183"/>
      <c r="BG33" s="2182"/>
      <c r="BH33" s="2184"/>
    </row>
    <row r="34" spans="1:60" ht="15.75" customHeight="1" x14ac:dyDescent="0.2">
      <c r="A34" s="2635"/>
      <c r="B34" s="2141"/>
      <c r="C34" s="2185"/>
      <c r="D34" s="2022"/>
      <c r="E34" s="1973"/>
      <c r="F34" s="2186">
        <v>4</v>
      </c>
      <c r="G34" s="3549" t="s">
        <v>2016</v>
      </c>
      <c r="H34" s="3550"/>
      <c r="I34" s="3550"/>
      <c r="J34" s="3550"/>
      <c r="K34" s="3550"/>
      <c r="L34" s="3550"/>
      <c r="M34" s="73"/>
      <c r="N34" s="782"/>
      <c r="O34" s="73"/>
      <c r="P34" s="2084"/>
      <c r="Q34" s="1569"/>
      <c r="R34" s="73"/>
      <c r="S34" s="73"/>
      <c r="T34" s="73"/>
      <c r="U34" s="1571"/>
      <c r="V34" s="2132"/>
      <c r="W34" s="2118"/>
      <c r="X34" s="782"/>
      <c r="Y34" s="2010"/>
      <c r="Z34" s="2086"/>
      <c r="AA34" s="2115"/>
      <c r="AB34" s="2083"/>
      <c r="AC34" s="2115"/>
      <c r="AD34" s="2086"/>
      <c r="AE34" s="2115"/>
      <c r="AF34" s="2086"/>
      <c r="AG34" s="2115"/>
      <c r="AH34" s="2086"/>
      <c r="AI34" s="2115"/>
      <c r="AJ34" s="2086"/>
      <c r="AK34" s="2115"/>
      <c r="AL34" s="2116"/>
      <c r="AM34" s="2115"/>
      <c r="AN34" s="2086"/>
      <c r="AO34" s="2115"/>
      <c r="AP34" s="2116"/>
      <c r="AQ34" s="2115"/>
      <c r="AR34" s="2116"/>
      <c r="AS34" s="2115"/>
      <c r="AT34" s="2116"/>
      <c r="AU34" s="2115"/>
      <c r="AV34" s="2116"/>
      <c r="AW34" s="2117"/>
      <c r="AX34" s="2118"/>
      <c r="AY34" s="1917"/>
      <c r="AZ34" s="2133"/>
      <c r="BA34" s="2121"/>
      <c r="BB34" s="1917"/>
      <c r="BC34" s="2118"/>
      <c r="BD34" s="2122"/>
      <c r="BE34" s="2123"/>
      <c r="BF34" s="2124"/>
      <c r="BG34" s="2123"/>
      <c r="BH34" s="785"/>
    </row>
    <row r="35" spans="1:60" ht="129.75" customHeight="1" x14ac:dyDescent="0.2">
      <c r="A35" s="2635"/>
      <c r="B35" s="2141"/>
      <c r="C35" s="1535"/>
      <c r="D35" s="778"/>
      <c r="E35" s="764"/>
      <c r="F35" s="2022"/>
      <c r="G35" s="765"/>
      <c r="H35" s="120">
        <v>21</v>
      </c>
      <c r="I35" s="1969" t="s">
        <v>2017</v>
      </c>
      <c r="J35" s="1968" t="s">
        <v>324</v>
      </c>
      <c r="K35" s="1977">
        <v>100</v>
      </c>
      <c r="L35" s="1968">
        <v>72</v>
      </c>
      <c r="M35" s="2424" t="s">
        <v>2018</v>
      </c>
      <c r="N35" s="2572">
        <v>72</v>
      </c>
      <c r="O35" s="2534" t="s">
        <v>2019</v>
      </c>
      <c r="P35" s="961">
        <f>U35/Q35</f>
        <v>0.14285714285714285</v>
      </c>
      <c r="Q35" s="3522">
        <v>350000000</v>
      </c>
      <c r="R35" s="2424" t="s">
        <v>2020</v>
      </c>
      <c r="S35" s="2424" t="s">
        <v>2021</v>
      </c>
      <c r="T35" s="2000" t="s">
        <v>2022</v>
      </c>
      <c r="U35" s="1548">
        <v>50000000</v>
      </c>
      <c r="V35" s="2097">
        <v>31255000</v>
      </c>
      <c r="W35" s="2104">
        <v>11670000</v>
      </c>
      <c r="X35" s="2142">
        <v>20</v>
      </c>
      <c r="Y35" s="1987" t="s">
        <v>1963</v>
      </c>
      <c r="Z35" s="2527"/>
      <c r="AA35" s="2527"/>
      <c r="AB35" s="2527">
        <v>10</v>
      </c>
      <c r="AC35" s="2527"/>
      <c r="AD35" s="2527">
        <v>20</v>
      </c>
      <c r="AE35" s="2527"/>
      <c r="AF35" s="2527"/>
      <c r="AG35" s="2527"/>
      <c r="AH35" s="2527">
        <v>30</v>
      </c>
      <c r="AI35" s="2581"/>
      <c r="AJ35" s="2527">
        <v>40</v>
      </c>
      <c r="AK35" s="2581"/>
      <c r="AL35" s="2527"/>
      <c r="AM35" s="2527"/>
      <c r="AN35" s="2527">
        <v>5</v>
      </c>
      <c r="AO35" s="2527"/>
      <c r="AP35" s="2527"/>
      <c r="AQ35" s="2527"/>
      <c r="AR35" s="2527"/>
      <c r="AS35" s="2527"/>
      <c r="AT35" s="2527"/>
      <c r="AU35" s="2527"/>
      <c r="AV35" s="2527"/>
      <c r="AW35" s="2527"/>
      <c r="AX35" s="1968">
        <v>4</v>
      </c>
      <c r="AY35" s="2104">
        <v>31255000</v>
      </c>
      <c r="AZ35" s="2128">
        <v>11670000</v>
      </c>
      <c r="BA35" s="1993">
        <f>AY35/U35</f>
        <v>0.62509999999999999</v>
      </c>
      <c r="BB35" s="1968" t="s">
        <v>70</v>
      </c>
      <c r="BC35" s="1968" t="s">
        <v>2023</v>
      </c>
      <c r="BD35" s="2187">
        <v>42736</v>
      </c>
      <c r="BE35" s="712">
        <v>42767</v>
      </c>
      <c r="BF35" s="2017">
        <v>43100</v>
      </c>
      <c r="BG35" s="712">
        <v>42978</v>
      </c>
      <c r="BH35" s="3519" t="s">
        <v>1986</v>
      </c>
    </row>
    <row r="36" spans="1:60" ht="78" customHeight="1" x14ac:dyDescent="0.2">
      <c r="A36" s="2635"/>
      <c r="B36" s="2141"/>
      <c r="C36" s="1535"/>
      <c r="D36" s="791"/>
      <c r="E36" s="202"/>
      <c r="F36" s="2040"/>
      <c r="G36" s="792"/>
      <c r="H36" s="3537">
        <v>22</v>
      </c>
      <c r="I36" s="2424" t="s">
        <v>2024</v>
      </c>
      <c r="J36" s="2419" t="s">
        <v>324</v>
      </c>
      <c r="K36" s="2525">
        <v>1</v>
      </c>
      <c r="L36" s="2634">
        <v>1</v>
      </c>
      <c r="M36" s="2428"/>
      <c r="N36" s="2573"/>
      <c r="O36" s="2694"/>
      <c r="P36" s="2710">
        <f>(U36+U37)/Q35</f>
        <v>0.14285714285714285</v>
      </c>
      <c r="Q36" s="3517"/>
      <c r="R36" s="2428"/>
      <c r="S36" s="2428"/>
      <c r="T36" s="2000" t="s">
        <v>2025</v>
      </c>
      <c r="U36" s="2041">
        <v>20000000</v>
      </c>
      <c r="V36" s="2134">
        <v>10000000</v>
      </c>
      <c r="W36" s="1977">
        <v>0</v>
      </c>
      <c r="X36" s="2142">
        <v>20</v>
      </c>
      <c r="Y36" s="1987" t="s">
        <v>1963</v>
      </c>
      <c r="Z36" s="2639"/>
      <c r="AA36" s="2639"/>
      <c r="AB36" s="2639"/>
      <c r="AC36" s="2639"/>
      <c r="AD36" s="2639"/>
      <c r="AE36" s="2639"/>
      <c r="AF36" s="2639"/>
      <c r="AG36" s="2639"/>
      <c r="AH36" s="2639"/>
      <c r="AI36" s="2582"/>
      <c r="AJ36" s="2639"/>
      <c r="AK36" s="2582"/>
      <c r="AL36" s="2639"/>
      <c r="AM36" s="2639"/>
      <c r="AN36" s="2639"/>
      <c r="AO36" s="2639"/>
      <c r="AP36" s="2639"/>
      <c r="AQ36" s="2639"/>
      <c r="AR36" s="2639"/>
      <c r="AS36" s="2639"/>
      <c r="AT36" s="2639"/>
      <c r="AU36" s="2639"/>
      <c r="AV36" s="2639"/>
      <c r="AW36" s="2639"/>
      <c r="AX36" s="2634">
        <v>4</v>
      </c>
      <c r="AY36" s="3531">
        <v>31255000</v>
      </c>
      <c r="AZ36" s="3545">
        <v>0</v>
      </c>
      <c r="BA36" s="2587">
        <f>AY36/(U36+U37)</f>
        <v>0.62509999999999999</v>
      </c>
      <c r="BB36" s="2595" t="s">
        <v>70</v>
      </c>
      <c r="BC36" s="2595" t="s">
        <v>2023</v>
      </c>
      <c r="BD36" s="3528">
        <v>42736</v>
      </c>
      <c r="BE36" s="3528">
        <v>42767</v>
      </c>
      <c r="BF36" s="2578">
        <v>43100</v>
      </c>
      <c r="BG36" s="3528">
        <v>42978</v>
      </c>
      <c r="BH36" s="3515"/>
    </row>
    <row r="37" spans="1:60" ht="113.25" customHeight="1" x14ac:dyDescent="0.2">
      <c r="A37" s="2635"/>
      <c r="B37" s="2141"/>
      <c r="C37" s="1535"/>
      <c r="D37" s="791"/>
      <c r="E37" s="202"/>
      <c r="F37" s="2040"/>
      <c r="G37" s="792"/>
      <c r="H37" s="3538"/>
      <c r="I37" s="2429"/>
      <c r="J37" s="2419"/>
      <c r="K37" s="2525"/>
      <c r="L37" s="2636"/>
      <c r="M37" s="2428"/>
      <c r="N37" s="2573"/>
      <c r="O37" s="2694"/>
      <c r="P37" s="2711"/>
      <c r="Q37" s="3517"/>
      <c r="R37" s="2428"/>
      <c r="S37" s="2429"/>
      <c r="T37" s="2000" t="s">
        <v>2026</v>
      </c>
      <c r="U37" s="2041">
        <v>30000000</v>
      </c>
      <c r="V37" s="2134">
        <v>21255000</v>
      </c>
      <c r="W37" s="1977"/>
      <c r="X37" s="2188">
        <v>20</v>
      </c>
      <c r="Y37" s="1999" t="s">
        <v>1963</v>
      </c>
      <c r="Z37" s="2639"/>
      <c r="AA37" s="2639"/>
      <c r="AB37" s="2639"/>
      <c r="AC37" s="2639"/>
      <c r="AD37" s="2639"/>
      <c r="AE37" s="2639"/>
      <c r="AF37" s="2639"/>
      <c r="AG37" s="2639"/>
      <c r="AH37" s="2639"/>
      <c r="AI37" s="2582"/>
      <c r="AJ37" s="2639"/>
      <c r="AK37" s="2582"/>
      <c r="AL37" s="2639"/>
      <c r="AM37" s="2639"/>
      <c r="AN37" s="2639"/>
      <c r="AO37" s="2639"/>
      <c r="AP37" s="2639"/>
      <c r="AQ37" s="2639"/>
      <c r="AR37" s="2639"/>
      <c r="AS37" s="2639"/>
      <c r="AT37" s="2639"/>
      <c r="AU37" s="2639"/>
      <c r="AV37" s="2639"/>
      <c r="AW37" s="2639"/>
      <c r="AX37" s="2636"/>
      <c r="AY37" s="3533"/>
      <c r="AZ37" s="3546"/>
      <c r="BA37" s="2589"/>
      <c r="BB37" s="2596"/>
      <c r="BC37" s="2596"/>
      <c r="BD37" s="3530"/>
      <c r="BE37" s="3530"/>
      <c r="BF37" s="2580"/>
      <c r="BG37" s="3530"/>
      <c r="BH37" s="3515"/>
    </row>
    <row r="38" spans="1:60" ht="85.5" x14ac:dyDescent="0.2">
      <c r="A38" s="2635"/>
      <c r="B38" s="2141"/>
      <c r="C38" s="1535"/>
      <c r="D38" s="791"/>
      <c r="E38" s="202"/>
      <c r="F38" s="2040"/>
      <c r="G38" s="792"/>
      <c r="H38" s="3537">
        <v>23</v>
      </c>
      <c r="I38" s="2424" t="s">
        <v>2027</v>
      </c>
      <c r="J38" s="2595" t="s">
        <v>324</v>
      </c>
      <c r="K38" s="2634">
        <v>1</v>
      </c>
      <c r="L38" s="2634">
        <v>0</v>
      </c>
      <c r="M38" s="2428"/>
      <c r="N38" s="2573"/>
      <c r="O38" s="2694"/>
      <c r="P38" s="3539">
        <f>(U38+U39+U40)/Q35</f>
        <v>0.5714285714285714</v>
      </c>
      <c r="Q38" s="3517"/>
      <c r="R38" s="2428"/>
      <c r="S38" s="1982" t="s">
        <v>2028</v>
      </c>
      <c r="T38" s="1983" t="s">
        <v>2029</v>
      </c>
      <c r="U38" s="2041">
        <v>100000000</v>
      </c>
      <c r="V38" s="2134">
        <v>24915000</v>
      </c>
      <c r="W38" s="3542">
        <v>0</v>
      </c>
      <c r="X38" s="2188">
        <v>20</v>
      </c>
      <c r="Y38" s="1999" t="s">
        <v>1963</v>
      </c>
      <c r="Z38" s="2639"/>
      <c r="AA38" s="2639"/>
      <c r="AB38" s="2639"/>
      <c r="AC38" s="2639"/>
      <c r="AD38" s="2639"/>
      <c r="AE38" s="2639"/>
      <c r="AF38" s="2639"/>
      <c r="AG38" s="2639"/>
      <c r="AH38" s="2639"/>
      <c r="AI38" s="2582"/>
      <c r="AJ38" s="2639"/>
      <c r="AK38" s="2582"/>
      <c r="AL38" s="2639"/>
      <c r="AM38" s="2639"/>
      <c r="AN38" s="2639"/>
      <c r="AO38" s="2639"/>
      <c r="AP38" s="2639"/>
      <c r="AQ38" s="2639"/>
      <c r="AR38" s="2639"/>
      <c r="AS38" s="2639"/>
      <c r="AT38" s="2639"/>
      <c r="AU38" s="2639"/>
      <c r="AV38" s="2639"/>
      <c r="AW38" s="2639"/>
      <c r="AX38" s="2634">
        <v>3</v>
      </c>
      <c r="AY38" s="3531">
        <v>24915000</v>
      </c>
      <c r="AZ38" s="3534">
        <v>0</v>
      </c>
      <c r="BA38" s="2587">
        <f>AY38/U38</f>
        <v>0.24915000000000001</v>
      </c>
      <c r="BB38" s="2595" t="s">
        <v>70</v>
      </c>
      <c r="BC38" s="2634" t="s">
        <v>2023</v>
      </c>
      <c r="BD38" s="3528">
        <v>42736</v>
      </c>
      <c r="BE38" s="3528">
        <v>42767</v>
      </c>
      <c r="BF38" s="2578">
        <v>43100</v>
      </c>
      <c r="BG38" s="3528">
        <v>42978</v>
      </c>
      <c r="BH38" s="3515"/>
    </row>
    <row r="39" spans="1:60" ht="69" customHeight="1" x14ac:dyDescent="0.2">
      <c r="A39" s="2635"/>
      <c r="B39" s="2141"/>
      <c r="C39" s="1535"/>
      <c r="D39" s="791"/>
      <c r="E39" s="202"/>
      <c r="F39" s="2040"/>
      <c r="G39" s="792"/>
      <c r="H39" s="2640"/>
      <c r="I39" s="2428"/>
      <c r="J39" s="2603"/>
      <c r="K39" s="2635"/>
      <c r="L39" s="2635"/>
      <c r="M39" s="2428"/>
      <c r="N39" s="2573"/>
      <c r="O39" s="2694"/>
      <c r="P39" s="3540"/>
      <c r="Q39" s="3517"/>
      <c r="R39" s="2428"/>
      <c r="S39" s="2002"/>
      <c r="T39" s="1983" t="s">
        <v>2030</v>
      </c>
      <c r="U39" s="2041">
        <v>80000000</v>
      </c>
      <c r="V39" s="2134">
        <v>0</v>
      </c>
      <c r="W39" s="3543"/>
      <c r="X39" s="2188">
        <v>20</v>
      </c>
      <c r="Y39" s="1999" t="s">
        <v>1963</v>
      </c>
      <c r="Z39" s="2639"/>
      <c r="AA39" s="2639"/>
      <c r="AB39" s="2639"/>
      <c r="AC39" s="2639"/>
      <c r="AD39" s="2639"/>
      <c r="AE39" s="2639"/>
      <c r="AF39" s="2639"/>
      <c r="AG39" s="2639"/>
      <c r="AH39" s="2639"/>
      <c r="AI39" s="2582"/>
      <c r="AJ39" s="2639"/>
      <c r="AK39" s="2582"/>
      <c r="AL39" s="2639"/>
      <c r="AM39" s="2639"/>
      <c r="AN39" s="2639"/>
      <c r="AO39" s="2639"/>
      <c r="AP39" s="2639"/>
      <c r="AQ39" s="2639"/>
      <c r="AR39" s="2639"/>
      <c r="AS39" s="2639"/>
      <c r="AT39" s="2639"/>
      <c r="AU39" s="2639"/>
      <c r="AV39" s="2639"/>
      <c r="AW39" s="2639"/>
      <c r="AX39" s="2635"/>
      <c r="AY39" s="3532"/>
      <c r="AZ39" s="3535"/>
      <c r="BA39" s="2588"/>
      <c r="BB39" s="2603"/>
      <c r="BC39" s="2635"/>
      <c r="BD39" s="3529"/>
      <c r="BE39" s="3529"/>
      <c r="BF39" s="2579"/>
      <c r="BG39" s="3529"/>
      <c r="BH39" s="3515"/>
    </row>
    <row r="40" spans="1:60" ht="48.75" customHeight="1" x14ac:dyDescent="0.2">
      <c r="A40" s="2635"/>
      <c r="B40" s="2141"/>
      <c r="C40" s="1535"/>
      <c r="D40" s="791"/>
      <c r="E40" s="202"/>
      <c r="F40" s="2040"/>
      <c r="G40" s="792"/>
      <c r="H40" s="3538"/>
      <c r="I40" s="2429"/>
      <c r="J40" s="2596"/>
      <c r="K40" s="2636"/>
      <c r="L40" s="2636"/>
      <c r="M40" s="2428"/>
      <c r="N40" s="2573"/>
      <c r="O40" s="2694"/>
      <c r="P40" s="3541"/>
      <c r="Q40" s="3517"/>
      <c r="R40" s="2428"/>
      <c r="S40" s="2002"/>
      <c r="T40" s="1983" t="s">
        <v>2031</v>
      </c>
      <c r="U40" s="2041">
        <v>20000000</v>
      </c>
      <c r="V40" s="2134">
        <v>0</v>
      </c>
      <c r="W40" s="3544"/>
      <c r="X40" s="2188">
        <v>20</v>
      </c>
      <c r="Y40" s="1999" t="s">
        <v>1963</v>
      </c>
      <c r="Z40" s="2639"/>
      <c r="AA40" s="2639"/>
      <c r="AB40" s="2639"/>
      <c r="AC40" s="2639"/>
      <c r="AD40" s="2639"/>
      <c r="AE40" s="2639"/>
      <c r="AF40" s="2639"/>
      <c r="AG40" s="2639"/>
      <c r="AH40" s="2639"/>
      <c r="AI40" s="2582"/>
      <c r="AJ40" s="2639"/>
      <c r="AK40" s="2582"/>
      <c r="AL40" s="2639"/>
      <c r="AM40" s="2639"/>
      <c r="AN40" s="2639"/>
      <c r="AO40" s="2639"/>
      <c r="AP40" s="2639"/>
      <c r="AQ40" s="2639"/>
      <c r="AR40" s="2639"/>
      <c r="AS40" s="2639"/>
      <c r="AT40" s="2639"/>
      <c r="AU40" s="2639"/>
      <c r="AV40" s="2639"/>
      <c r="AW40" s="2639"/>
      <c r="AX40" s="2636"/>
      <c r="AY40" s="3533"/>
      <c r="AZ40" s="3536"/>
      <c r="BA40" s="2589"/>
      <c r="BB40" s="2596"/>
      <c r="BC40" s="2636"/>
      <c r="BD40" s="3530"/>
      <c r="BE40" s="3530"/>
      <c r="BF40" s="2580"/>
      <c r="BG40" s="3530"/>
      <c r="BH40" s="3515"/>
    </row>
    <row r="41" spans="1:60" ht="107.25" customHeight="1" x14ac:dyDescent="0.2">
      <c r="A41" s="2636"/>
      <c r="B41" s="2146"/>
      <c r="C41" s="2147"/>
      <c r="D41" s="803"/>
      <c r="E41" s="804"/>
      <c r="F41" s="2189"/>
      <c r="G41" s="805"/>
      <c r="H41" s="120">
        <v>24</v>
      </c>
      <c r="I41" s="1969" t="s">
        <v>2032</v>
      </c>
      <c r="J41" s="1968" t="s">
        <v>324</v>
      </c>
      <c r="K41" s="1977">
        <v>1</v>
      </c>
      <c r="L41" s="1977">
        <v>1</v>
      </c>
      <c r="M41" s="2429"/>
      <c r="N41" s="2574"/>
      <c r="O41" s="2695"/>
      <c r="P41" s="961">
        <f>U41/Q35</f>
        <v>0.14285714285714285</v>
      </c>
      <c r="Q41" s="3518"/>
      <c r="R41" s="2429"/>
      <c r="S41" s="1971"/>
      <c r="T41" s="1976" t="s">
        <v>2033</v>
      </c>
      <c r="U41" s="2041">
        <v>50000000</v>
      </c>
      <c r="V41" s="2097">
        <v>9085000</v>
      </c>
      <c r="W41" s="2190"/>
      <c r="X41" s="2142">
        <v>20</v>
      </c>
      <c r="Y41" s="1987" t="s">
        <v>1963</v>
      </c>
      <c r="Z41" s="2528"/>
      <c r="AA41" s="2528"/>
      <c r="AB41" s="2528"/>
      <c r="AC41" s="2528"/>
      <c r="AD41" s="2528"/>
      <c r="AE41" s="2528"/>
      <c r="AF41" s="2528"/>
      <c r="AG41" s="2528"/>
      <c r="AH41" s="2528"/>
      <c r="AI41" s="2583"/>
      <c r="AJ41" s="2528"/>
      <c r="AK41" s="2583"/>
      <c r="AL41" s="2528"/>
      <c r="AM41" s="2528"/>
      <c r="AN41" s="2528"/>
      <c r="AO41" s="2528"/>
      <c r="AP41" s="2528"/>
      <c r="AQ41" s="2528"/>
      <c r="AR41" s="2528"/>
      <c r="AS41" s="2528"/>
      <c r="AT41" s="2528"/>
      <c r="AU41" s="2528"/>
      <c r="AV41" s="2528"/>
      <c r="AW41" s="2528"/>
      <c r="AX41" s="1977">
        <v>1</v>
      </c>
      <c r="AY41" s="2104">
        <v>9085000</v>
      </c>
      <c r="AZ41" s="2191">
        <v>0</v>
      </c>
      <c r="BA41" s="1993">
        <f t="shared" ref="BA41" si="2">AY41/U41</f>
        <v>0.1817</v>
      </c>
      <c r="BB41" s="1968" t="s">
        <v>70</v>
      </c>
      <c r="BC41" s="1968" t="s">
        <v>2023</v>
      </c>
      <c r="BD41" s="2187">
        <v>42736</v>
      </c>
      <c r="BE41" s="2017">
        <v>42767</v>
      </c>
      <c r="BF41" s="1988">
        <v>43100</v>
      </c>
      <c r="BG41" s="2017">
        <v>42886</v>
      </c>
      <c r="BH41" s="3516"/>
    </row>
    <row r="42" spans="1:60" ht="15" x14ac:dyDescent="0.2">
      <c r="A42" s="2192"/>
      <c r="B42" s="2193"/>
      <c r="C42" s="2194"/>
      <c r="D42" s="2195"/>
      <c r="E42" s="2196"/>
      <c r="F42" s="2197">
        <v>5</v>
      </c>
      <c r="G42" s="832" t="s">
        <v>2034</v>
      </c>
      <c r="H42" s="105"/>
      <c r="I42" s="1591"/>
      <c r="J42" s="73"/>
      <c r="K42" s="2010"/>
      <c r="L42" s="105"/>
      <c r="M42" s="73"/>
      <c r="N42" s="782"/>
      <c r="O42" s="73"/>
      <c r="P42" s="2084"/>
      <c r="Q42" s="1569"/>
      <c r="R42" s="73"/>
      <c r="S42" s="73"/>
      <c r="T42" s="73"/>
      <c r="U42" s="1571"/>
      <c r="V42" s="2198"/>
      <c r="W42" s="2199"/>
      <c r="X42" s="782"/>
      <c r="Y42" s="2010"/>
      <c r="Z42" s="2086"/>
      <c r="AA42" s="2200"/>
      <c r="AB42" s="2083"/>
      <c r="AC42" s="2200"/>
      <c r="AD42" s="2086"/>
      <c r="AE42" s="2200"/>
      <c r="AF42" s="2086"/>
      <c r="AG42" s="2200"/>
      <c r="AH42" s="2086"/>
      <c r="AI42" s="2200"/>
      <c r="AJ42" s="2086"/>
      <c r="AK42" s="2200"/>
      <c r="AL42" s="2200"/>
      <c r="AM42" s="2200"/>
      <c r="AN42" s="2086"/>
      <c r="AO42" s="2200"/>
      <c r="AP42" s="2200"/>
      <c r="AQ42" s="2200"/>
      <c r="AR42" s="2200"/>
      <c r="AS42" s="2200"/>
      <c r="AT42" s="2200"/>
      <c r="AU42" s="2200"/>
      <c r="AV42" s="2200"/>
      <c r="AW42" s="2201"/>
      <c r="AX42" s="1573"/>
      <c r="AY42" s="1573"/>
      <c r="AZ42" s="2120"/>
      <c r="BA42" s="2202"/>
      <c r="BB42" s="2203"/>
      <c r="BC42" s="2203"/>
      <c r="BD42" s="2122"/>
      <c r="BE42" s="1573"/>
      <c r="BF42" s="2124"/>
      <c r="BG42" s="2199"/>
      <c r="BH42" s="785"/>
    </row>
    <row r="43" spans="1:60" ht="114" x14ac:dyDescent="0.2">
      <c r="A43" s="2634"/>
      <c r="B43" s="1536"/>
      <c r="C43" s="2138"/>
      <c r="D43" s="686"/>
      <c r="E43" s="687"/>
      <c r="F43" s="981"/>
      <c r="G43" s="941"/>
      <c r="H43" s="120">
        <v>25</v>
      </c>
      <c r="I43" s="2000" t="s">
        <v>2035</v>
      </c>
      <c r="J43" s="1968" t="s">
        <v>324</v>
      </c>
      <c r="K43" s="1977">
        <v>2</v>
      </c>
      <c r="L43" s="2004">
        <v>2</v>
      </c>
      <c r="M43" s="2424" t="s">
        <v>2036</v>
      </c>
      <c r="N43" s="2527">
        <v>176</v>
      </c>
      <c r="O43" s="2534" t="s">
        <v>2037</v>
      </c>
      <c r="P43" s="961">
        <f>U43/Q43</f>
        <v>0.87804878048780488</v>
      </c>
      <c r="Q43" s="3522">
        <v>410000000</v>
      </c>
      <c r="R43" s="2424" t="s">
        <v>2038</v>
      </c>
      <c r="S43" s="1976" t="s">
        <v>2039</v>
      </c>
      <c r="T43" s="1969" t="s">
        <v>2040</v>
      </c>
      <c r="U43" s="2149">
        <f>300000000+60000000</f>
        <v>360000000</v>
      </c>
      <c r="V43" s="2097">
        <v>120240000</v>
      </c>
      <c r="W43" s="2104">
        <v>2800000</v>
      </c>
      <c r="X43" s="2142">
        <v>20</v>
      </c>
      <c r="Y43" s="1987" t="s">
        <v>1963</v>
      </c>
      <c r="Z43" s="1979"/>
      <c r="AA43" s="2527"/>
      <c r="AB43" s="2527"/>
      <c r="AC43" s="2527"/>
      <c r="AD43" s="2527"/>
      <c r="AE43" s="2527"/>
      <c r="AF43" s="2527"/>
      <c r="AG43" s="2527"/>
      <c r="AH43" s="2527"/>
      <c r="AI43" s="2527"/>
      <c r="AJ43" s="2527"/>
      <c r="AK43" s="2527"/>
      <c r="AL43" s="2527"/>
      <c r="AM43" s="2527"/>
      <c r="AN43" s="2527"/>
      <c r="AO43" s="2527"/>
      <c r="AP43" s="2527"/>
      <c r="AQ43" s="2527"/>
      <c r="AR43" s="2527"/>
      <c r="AS43" s="2527"/>
      <c r="AT43" s="2527"/>
      <c r="AU43" s="2527"/>
      <c r="AV43" s="2527"/>
      <c r="AW43" s="2527"/>
      <c r="AX43" s="1977">
        <v>10</v>
      </c>
      <c r="AY43" s="2104">
        <v>120240000</v>
      </c>
      <c r="AZ43" s="2128">
        <v>2800000</v>
      </c>
      <c r="BA43" s="1993">
        <f t="shared" ref="BA43:BA48" si="3">AY43/U43</f>
        <v>0.33400000000000002</v>
      </c>
      <c r="BB43" s="1977" t="s">
        <v>70</v>
      </c>
      <c r="BC43" s="1968" t="s">
        <v>2023</v>
      </c>
      <c r="BD43" s="2204">
        <v>42736</v>
      </c>
      <c r="BE43" s="2017">
        <v>42767</v>
      </c>
      <c r="BF43" s="2017">
        <v>43100</v>
      </c>
      <c r="BG43" s="2017">
        <v>42978</v>
      </c>
      <c r="BH43" s="3519" t="s">
        <v>1986</v>
      </c>
    </row>
    <row r="44" spans="1:60" ht="185.25" x14ac:dyDescent="0.2">
      <c r="A44" s="2635"/>
      <c r="B44" s="2141"/>
      <c r="C44" s="1535"/>
      <c r="D44" s="41"/>
      <c r="E44" s="688"/>
      <c r="F44" s="2205"/>
      <c r="G44" s="689"/>
      <c r="H44" s="120">
        <v>26</v>
      </c>
      <c r="I44" s="2000" t="s">
        <v>2041</v>
      </c>
      <c r="J44" s="1968" t="s">
        <v>324</v>
      </c>
      <c r="K44" s="2206">
        <v>1</v>
      </c>
      <c r="L44" s="2004">
        <v>1</v>
      </c>
      <c r="M44" s="3521"/>
      <c r="N44" s="2639"/>
      <c r="O44" s="2694"/>
      <c r="P44" s="961">
        <f>U44/Q43</f>
        <v>0.12195121951219512</v>
      </c>
      <c r="Q44" s="3517"/>
      <c r="R44" s="2428"/>
      <c r="S44" s="1976" t="s">
        <v>2042</v>
      </c>
      <c r="T44" s="1969" t="s">
        <v>2043</v>
      </c>
      <c r="U44" s="2149">
        <v>50000000</v>
      </c>
      <c r="V44" s="2097">
        <v>16170000</v>
      </c>
      <c r="W44" s="2104">
        <v>2800000</v>
      </c>
      <c r="X44" s="2142">
        <v>20</v>
      </c>
      <c r="Y44" s="1987" t="s">
        <v>1963</v>
      </c>
      <c r="Z44" s="1996"/>
      <c r="AA44" s="2639"/>
      <c r="AB44" s="2639"/>
      <c r="AC44" s="2639"/>
      <c r="AD44" s="2639"/>
      <c r="AE44" s="2639"/>
      <c r="AF44" s="2639"/>
      <c r="AG44" s="2639"/>
      <c r="AH44" s="2639"/>
      <c r="AI44" s="2639"/>
      <c r="AJ44" s="2639"/>
      <c r="AK44" s="2639"/>
      <c r="AL44" s="2639"/>
      <c r="AM44" s="2639"/>
      <c r="AN44" s="2639"/>
      <c r="AO44" s="2639"/>
      <c r="AP44" s="2639"/>
      <c r="AQ44" s="2639"/>
      <c r="AR44" s="2639"/>
      <c r="AS44" s="2639"/>
      <c r="AT44" s="2639"/>
      <c r="AU44" s="2639"/>
      <c r="AV44" s="2639"/>
      <c r="AW44" s="2639"/>
      <c r="AX44" s="1977">
        <v>2</v>
      </c>
      <c r="AY44" s="2104">
        <v>16170000</v>
      </c>
      <c r="AZ44" s="2128">
        <v>2800000</v>
      </c>
      <c r="BA44" s="1993">
        <f t="shared" si="3"/>
        <v>0.32340000000000002</v>
      </c>
      <c r="BB44" s="1977" t="s">
        <v>70</v>
      </c>
      <c r="BC44" s="1968" t="s">
        <v>1985</v>
      </c>
      <c r="BD44" s="2204">
        <v>42736</v>
      </c>
      <c r="BE44" s="2017">
        <v>42782</v>
      </c>
      <c r="BF44" s="1988">
        <v>43100</v>
      </c>
      <c r="BG44" s="2017">
        <v>42963</v>
      </c>
      <c r="BH44" s="3515"/>
    </row>
    <row r="45" spans="1:60" ht="85.5" x14ac:dyDescent="0.2">
      <c r="A45" s="2635"/>
      <c r="B45" s="2141"/>
      <c r="C45" s="1535"/>
      <c r="D45" s="41"/>
      <c r="E45" s="688"/>
      <c r="F45" s="2205"/>
      <c r="G45" s="689"/>
      <c r="H45" s="120">
        <v>27</v>
      </c>
      <c r="I45" s="2000" t="s">
        <v>2044</v>
      </c>
      <c r="J45" s="1968" t="s">
        <v>324</v>
      </c>
      <c r="K45" s="2206">
        <v>2</v>
      </c>
      <c r="L45" s="2004">
        <v>0</v>
      </c>
      <c r="M45" s="3521"/>
      <c r="N45" s="2639"/>
      <c r="O45" s="2694"/>
      <c r="P45" s="961">
        <f>U45/Q43</f>
        <v>0</v>
      </c>
      <c r="Q45" s="3517"/>
      <c r="R45" s="2428"/>
      <c r="S45" s="1970" t="s">
        <v>2045</v>
      </c>
      <c r="T45" s="1976" t="s">
        <v>2046</v>
      </c>
      <c r="U45" s="2149">
        <v>0</v>
      </c>
      <c r="V45" s="2207"/>
      <c r="W45" s="2208"/>
      <c r="X45" s="2142">
        <v>20</v>
      </c>
      <c r="Y45" s="1987" t="s">
        <v>1963</v>
      </c>
      <c r="Z45" s="1996"/>
      <c r="AA45" s="2639"/>
      <c r="AB45" s="2639"/>
      <c r="AC45" s="2639"/>
      <c r="AD45" s="2639"/>
      <c r="AE45" s="2639"/>
      <c r="AF45" s="2639"/>
      <c r="AG45" s="2639"/>
      <c r="AH45" s="2639"/>
      <c r="AI45" s="2639"/>
      <c r="AJ45" s="2639"/>
      <c r="AK45" s="2639"/>
      <c r="AL45" s="2639"/>
      <c r="AM45" s="2639"/>
      <c r="AN45" s="2639"/>
      <c r="AO45" s="2639"/>
      <c r="AP45" s="2639"/>
      <c r="AQ45" s="2639"/>
      <c r="AR45" s="2639"/>
      <c r="AS45" s="2639"/>
      <c r="AT45" s="2639"/>
      <c r="AU45" s="2639"/>
      <c r="AV45" s="2639"/>
      <c r="AW45" s="2639"/>
      <c r="AX45" s="1977"/>
      <c r="AY45" s="2209"/>
      <c r="AZ45" s="2210"/>
      <c r="BA45" s="1993" t="e">
        <f t="shared" si="3"/>
        <v>#DIV/0!</v>
      </c>
      <c r="BB45" s="1977" t="s">
        <v>70</v>
      </c>
      <c r="BC45" s="2211"/>
      <c r="BD45" s="2204">
        <v>42736</v>
      </c>
      <c r="BE45" s="1977"/>
      <c r="BF45" s="1988">
        <v>43100</v>
      </c>
      <c r="BG45" s="2212"/>
      <c r="BH45" s="3515"/>
    </row>
    <row r="46" spans="1:60" ht="71.25" x14ac:dyDescent="0.2">
      <c r="A46" s="2636"/>
      <c r="B46" s="2146"/>
      <c r="C46" s="2147"/>
      <c r="D46" s="41"/>
      <c r="E46" s="688"/>
      <c r="F46" s="2205"/>
      <c r="G46" s="689"/>
      <c r="H46" s="120">
        <v>28</v>
      </c>
      <c r="I46" s="2000" t="s">
        <v>2047</v>
      </c>
      <c r="J46" s="1968" t="s">
        <v>324</v>
      </c>
      <c r="K46" s="2206">
        <v>2</v>
      </c>
      <c r="L46" s="2004">
        <v>0</v>
      </c>
      <c r="M46" s="3523"/>
      <c r="N46" s="2528"/>
      <c r="O46" s="2695"/>
      <c r="P46" s="961">
        <f>U46/Q43</f>
        <v>0</v>
      </c>
      <c r="Q46" s="3518"/>
      <c r="R46" s="2429"/>
      <c r="S46" s="1971"/>
      <c r="T46" s="1976" t="s">
        <v>2048</v>
      </c>
      <c r="U46" s="2149">
        <v>0</v>
      </c>
      <c r="V46" s="2207"/>
      <c r="W46" s="2208"/>
      <c r="X46" s="2142">
        <v>20</v>
      </c>
      <c r="Y46" s="1987" t="s">
        <v>1963</v>
      </c>
      <c r="Z46" s="1980"/>
      <c r="AA46" s="2528"/>
      <c r="AB46" s="2528"/>
      <c r="AC46" s="2528"/>
      <c r="AD46" s="2528"/>
      <c r="AE46" s="2528"/>
      <c r="AF46" s="2528"/>
      <c r="AG46" s="2528"/>
      <c r="AH46" s="2528"/>
      <c r="AI46" s="2528"/>
      <c r="AJ46" s="2528"/>
      <c r="AK46" s="2528"/>
      <c r="AL46" s="2528"/>
      <c r="AM46" s="2528"/>
      <c r="AN46" s="2528"/>
      <c r="AO46" s="2528"/>
      <c r="AP46" s="2528"/>
      <c r="AQ46" s="2528"/>
      <c r="AR46" s="2528"/>
      <c r="AS46" s="2528"/>
      <c r="AT46" s="2528"/>
      <c r="AU46" s="2528"/>
      <c r="AV46" s="2528"/>
      <c r="AW46" s="2528"/>
      <c r="AX46" s="1977"/>
      <c r="AY46" s="2209"/>
      <c r="AZ46" s="2210"/>
      <c r="BA46" s="1993" t="e">
        <f t="shared" si="3"/>
        <v>#DIV/0!</v>
      </c>
      <c r="BB46" s="1977" t="s">
        <v>70</v>
      </c>
      <c r="BC46" s="2211"/>
      <c r="BD46" s="2204">
        <v>42736</v>
      </c>
      <c r="BE46" s="1977"/>
      <c r="BF46" s="1988">
        <v>43100</v>
      </c>
      <c r="BG46" s="2212"/>
      <c r="BH46" s="3516"/>
    </row>
    <row r="47" spans="1:60" ht="128.25" x14ac:dyDescent="0.2">
      <c r="A47" s="1976"/>
      <c r="B47" s="3524"/>
      <c r="C47" s="3525"/>
      <c r="D47" s="41"/>
      <c r="E47" s="688"/>
      <c r="F47" s="2205"/>
      <c r="G47" s="689"/>
      <c r="H47" s="120">
        <v>29</v>
      </c>
      <c r="I47" s="2000" t="s">
        <v>2049</v>
      </c>
      <c r="J47" s="1968" t="s">
        <v>324</v>
      </c>
      <c r="K47" s="2206">
        <v>1</v>
      </c>
      <c r="L47" s="2004">
        <v>0</v>
      </c>
      <c r="M47" s="2213" t="s">
        <v>2050</v>
      </c>
      <c r="N47" s="1978">
        <v>177</v>
      </c>
      <c r="O47" s="2003" t="s">
        <v>2051</v>
      </c>
      <c r="P47" s="961">
        <f>U47/Q47</f>
        <v>1</v>
      </c>
      <c r="Q47" s="2214">
        <v>25000000</v>
      </c>
      <c r="R47" s="1970" t="s">
        <v>2052</v>
      </c>
      <c r="S47" s="1969" t="s">
        <v>2053</v>
      </c>
      <c r="T47" s="1976" t="s">
        <v>2054</v>
      </c>
      <c r="U47" s="2149">
        <v>25000000</v>
      </c>
      <c r="V47" s="2215">
        <v>0</v>
      </c>
      <c r="W47" s="2212"/>
      <c r="X47" s="2142">
        <v>20</v>
      </c>
      <c r="Y47" s="1987" t="s">
        <v>1963</v>
      </c>
      <c r="Z47" s="1978"/>
      <c r="AA47" s="2216"/>
      <c r="AB47" s="2217"/>
      <c r="AC47" s="2216"/>
      <c r="AD47" s="1979">
        <v>70</v>
      </c>
      <c r="AE47" s="2216"/>
      <c r="AF47" s="1979">
        <v>100</v>
      </c>
      <c r="AG47" s="2216"/>
      <c r="AH47" s="1979">
        <v>150</v>
      </c>
      <c r="AI47" s="2216"/>
      <c r="AJ47" s="1979">
        <v>30</v>
      </c>
      <c r="AK47" s="2218"/>
      <c r="AL47" s="2218"/>
      <c r="AM47" s="2218"/>
      <c r="AN47" s="1978"/>
      <c r="AO47" s="2218"/>
      <c r="AP47" s="2218"/>
      <c r="AQ47" s="2218"/>
      <c r="AR47" s="2218"/>
      <c r="AS47" s="2218"/>
      <c r="AT47" s="2218"/>
      <c r="AU47" s="2218"/>
      <c r="AV47" s="2218"/>
      <c r="AW47" s="2219"/>
      <c r="AX47" s="1977"/>
      <c r="AY47" s="1977">
        <v>0</v>
      </c>
      <c r="AZ47" s="2210"/>
      <c r="BA47" s="1993">
        <f t="shared" si="3"/>
        <v>0</v>
      </c>
      <c r="BB47" s="1977" t="s">
        <v>70</v>
      </c>
      <c r="BC47" s="2211"/>
      <c r="BD47" s="2204">
        <v>42736</v>
      </c>
      <c r="BE47" s="1977"/>
      <c r="BF47" s="1988">
        <v>43100</v>
      </c>
      <c r="BG47" s="2212"/>
      <c r="BH47" s="2220" t="s">
        <v>1986</v>
      </c>
    </row>
    <row r="48" spans="1:60" ht="99.75" x14ac:dyDescent="0.2">
      <c r="A48" s="2013"/>
      <c r="B48" s="3526"/>
      <c r="C48" s="3527"/>
      <c r="D48" s="727"/>
      <c r="E48" s="728"/>
      <c r="F48" s="2221"/>
      <c r="G48" s="729"/>
      <c r="H48" s="1975">
        <v>30</v>
      </c>
      <c r="I48" s="2222" t="s">
        <v>2055</v>
      </c>
      <c r="J48" s="1968" t="s">
        <v>324</v>
      </c>
      <c r="K48" s="2206">
        <v>1</v>
      </c>
      <c r="L48" s="121">
        <v>0</v>
      </c>
      <c r="M48" s="2213" t="s">
        <v>2056</v>
      </c>
      <c r="N48" s="1978">
        <v>175</v>
      </c>
      <c r="O48" s="1972" t="s">
        <v>2057</v>
      </c>
      <c r="P48" s="961">
        <f>U48/Q48</f>
        <v>1</v>
      </c>
      <c r="Q48" s="2214">
        <v>45000000</v>
      </c>
      <c r="R48" s="1969" t="s">
        <v>2058</v>
      </c>
      <c r="S48" s="1971" t="s">
        <v>2059</v>
      </c>
      <c r="T48" s="1976" t="s">
        <v>2060</v>
      </c>
      <c r="U48" s="2149">
        <f>25000000+20000000</f>
        <v>45000000</v>
      </c>
      <c r="V48" s="2215">
        <v>0</v>
      </c>
      <c r="W48" s="2212"/>
      <c r="X48" s="2142">
        <v>20</v>
      </c>
      <c r="Y48" s="1987" t="s">
        <v>1963</v>
      </c>
      <c r="Z48" s="1978"/>
      <c r="AA48" s="2218"/>
      <c r="AB48" s="2223"/>
      <c r="AC48" s="2218"/>
      <c r="AD48" s="1978"/>
      <c r="AE48" s="2218"/>
      <c r="AF48" s="1978"/>
      <c r="AG48" s="2218"/>
      <c r="AH48" s="1978"/>
      <c r="AI48" s="2218"/>
      <c r="AJ48" s="1978"/>
      <c r="AK48" s="2218"/>
      <c r="AL48" s="2218"/>
      <c r="AM48" s="2218"/>
      <c r="AN48" s="2224"/>
      <c r="AO48" s="2218"/>
      <c r="AP48" s="2218"/>
      <c r="AQ48" s="2218"/>
      <c r="AR48" s="2218"/>
      <c r="AS48" s="2218"/>
      <c r="AT48" s="2218"/>
      <c r="AU48" s="2218"/>
      <c r="AV48" s="2218"/>
      <c r="AW48" s="2219"/>
      <c r="AX48" s="1977"/>
      <c r="AY48" s="1977">
        <v>0</v>
      </c>
      <c r="AZ48" s="2210"/>
      <c r="BA48" s="1993">
        <f t="shared" si="3"/>
        <v>0</v>
      </c>
      <c r="BB48" s="1977" t="s">
        <v>70</v>
      </c>
      <c r="BC48" s="2211"/>
      <c r="BD48" s="2204">
        <v>42736</v>
      </c>
      <c r="BE48" s="1977"/>
      <c r="BF48" s="2017">
        <v>43100</v>
      </c>
      <c r="BG48" s="1977"/>
      <c r="BH48" s="2220" t="s">
        <v>1986</v>
      </c>
    </row>
    <row r="49" spans="1:60" ht="12.75" customHeight="1" thickBot="1" x14ac:dyDescent="0.25">
      <c r="A49" s="1573"/>
      <c r="B49" s="1573"/>
      <c r="C49" s="1573"/>
      <c r="D49" s="2195"/>
      <c r="E49" s="2090"/>
      <c r="F49" s="2197">
        <v>6</v>
      </c>
      <c r="G49" s="832" t="s">
        <v>2061</v>
      </c>
      <c r="H49" s="105"/>
      <c r="I49" s="1591"/>
      <c r="J49" s="73"/>
      <c r="K49" s="2010"/>
      <c r="L49" s="104"/>
      <c r="M49" s="73"/>
      <c r="N49" s="782"/>
      <c r="O49" s="73"/>
      <c r="P49" s="2084"/>
      <c r="Q49" s="1569"/>
      <c r="R49" s="73"/>
      <c r="S49" s="73"/>
      <c r="T49" s="73"/>
      <c r="U49" s="1571"/>
      <c r="V49" s="2198"/>
      <c r="W49" s="2199"/>
      <c r="X49" s="782"/>
      <c r="Y49" s="2010"/>
      <c r="Z49" s="2086"/>
      <c r="AA49" s="2088"/>
      <c r="AB49" s="2225"/>
      <c r="AC49" s="2088"/>
      <c r="AD49" s="2226"/>
      <c r="AE49" s="2088"/>
      <c r="AF49" s="2226"/>
      <c r="AG49" s="2088"/>
      <c r="AH49" s="2226"/>
      <c r="AI49" s="2088"/>
      <c r="AJ49" s="2226"/>
      <c r="AK49" s="2088"/>
      <c r="AL49" s="2088"/>
      <c r="AM49" s="2088"/>
      <c r="AN49" s="2086"/>
      <c r="AO49" s="2086"/>
      <c r="AP49" s="2086"/>
      <c r="AQ49" s="2086"/>
      <c r="AR49" s="2086"/>
      <c r="AS49" s="2086"/>
      <c r="AT49" s="2086"/>
      <c r="AU49" s="2086"/>
      <c r="AV49" s="2086"/>
      <c r="AW49" s="2086"/>
      <c r="AX49" s="939"/>
      <c r="AY49" s="1573"/>
      <c r="AZ49" s="2120"/>
      <c r="BA49" s="2227"/>
      <c r="BB49" s="2086"/>
      <c r="BC49" s="936"/>
      <c r="BD49" s="782"/>
      <c r="BE49" s="2228"/>
      <c r="BF49" s="833"/>
      <c r="BG49" s="2228"/>
      <c r="BH49" s="833"/>
    </row>
    <row r="50" spans="1:60" ht="185.25" x14ac:dyDescent="0.2">
      <c r="A50" s="2635"/>
      <c r="B50" s="2141"/>
      <c r="C50" s="2185"/>
      <c r="D50" s="686"/>
      <c r="E50" s="687"/>
      <c r="F50" s="981"/>
      <c r="G50" s="941"/>
      <c r="H50" s="2206">
        <v>31</v>
      </c>
      <c r="I50" s="2000" t="s">
        <v>2062</v>
      </c>
      <c r="J50" s="120" t="s">
        <v>324</v>
      </c>
      <c r="K50" s="2229">
        <v>4</v>
      </c>
      <c r="L50" s="2004">
        <v>2</v>
      </c>
      <c r="M50" s="3520" t="s">
        <v>2063</v>
      </c>
      <c r="N50" s="2527">
        <v>75</v>
      </c>
      <c r="O50" s="2534" t="s">
        <v>2064</v>
      </c>
      <c r="P50" s="961">
        <f>U50/Q50</f>
        <v>0.30257142857142855</v>
      </c>
      <c r="Q50" s="3522">
        <v>350000000</v>
      </c>
      <c r="R50" s="2424" t="s">
        <v>2065</v>
      </c>
      <c r="S50" s="1976" t="s">
        <v>2066</v>
      </c>
      <c r="T50" s="1976" t="s">
        <v>2067</v>
      </c>
      <c r="U50" s="2042">
        <f>95900000+10000000</f>
        <v>105900000</v>
      </c>
      <c r="V50" s="2097">
        <v>45200000</v>
      </c>
      <c r="W50" s="2104">
        <v>3117500</v>
      </c>
      <c r="X50" s="2142">
        <v>20</v>
      </c>
      <c r="Y50" s="1987" t="s">
        <v>1963</v>
      </c>
      <c r="Z50" s="2527"/>
      <c r="AA50" s="2527"/>
      <c r="AB50" s="2527"/>
      <c r="AC50" s="2527"/>
      <c r="AD50" s="2527"/>
      <c r="AE50" s="2527"/>
      <c r="AF50" s="2527"/>
      <c r="AG50" s="2527"/>
      <c r="AH50" s="2527">
        <v>300</v>
      </c>
      <c r="AI50" s="2527"/>
      <c r="AJ50" s="2527">
        <v>10</v>
      </c>
      <c r="AK50" s="2527"/>
      <c r="AL50" s="2527"/>
      <c r="AM50" s="2527"/>
      <c r="AN50" s="2527"/>
      <c r="AO50" s="2527"/>
      <c r="AP50" s="2527"/>
      <c r="AQ50" s="2527"/>
      <c r="AR50" s="2527"/>
      <c r="AS50" s="2527"/>
      <c r="AT50" s="2527"/>
      <c r="AU50" s="2527"/>
      <c r="AV50" s="2527"/>
      <c r="AW50" s="2527"/>
      <c r="AX50" s="1977">
        <v>6</v>
      </c>
      <c r="AY50" s="2104">
        <v>45200000</v>
      </c>
      <c r="AZ50" s="2128">
        <v>3117500</v>
      </c>
      <c r="BA50" s="1981">
        <f>AY50/U50</f>
        <v>0.42681775259678945</v>
      </c>
      <c r="BB50" s="1977" t="s">
        <v>70</v>
      </c>
      <c r="BC50" s="1968" t="s">
        <v>1985</v>
      </c>
      <c r="BD50" s="2204">
        <v>42736</v>
      </c>
      <c r="BE50" s="2017">
        <v>42767</v>
      </c>
      <c r="BF50" s="1988">
        <v>43100</v>
      </c>
      <c r="BG50" s="2017">
        <v>42978</v>
      </c>
      <c r="BH50" s="3519" t="s">
        <v>1986</v>
      </c>
    </row>
    <row r="51" spans="1:60" ht="242.25" x14ac:dyDescent="0.2">
      <c r="A51" s="2635"/>
      <c r="B51" s="2141"/>
      <c r="C51" s="2185"/>
      <c r="D51" s="41"/>
      <c r="E51" s="688"/>
      <c r="F51" s="2205"/>
      <c r="G51" s="689"/>
      <c r="H51" s="2206">
        <v>32</v>
      </c>
      <c r="I51" s="2000" t="s">
        <v>2068</v>
      </c>
      <c r="J51" s="120" t="s">
        <v>324</v>
      </c>
      <c r="K51" s="2043">
        <v>30</v>
      </c>
      <c r="L51" s="2004">
        <v>7</v>
      </c>
      <c r="M51" s="3521"/>
      <c r="N51" s="2639"/>
      <c r="O51" s="2694"/>
      <c r="P51" s="961">
        <f>U51/Q50</f>
        <v>0.53400000000000003</v>
      </c>
      <c r="Q51" s="3517"/>
      <c r="R51" s="2428"/>
      <c r="S51" s="1976" t="s">
        <v>2069</v>
      </c>
      <c r="T51" s="1976" t="s">
        <v>2070</v>
      </c>
      <c r="U51" s="2042">
        <f>86900000+100000000</f>
        <v>186900000</v>
      </c>
      <c r="V51" s="2097">
        <v>27130000</v>
      </c>
      <c r="W51" s="2104">
        <v>3117500</v>
      </c>
      <c r="X51" s="2142">
        <v>20</v>
      </c>
      <c r="Y51" s="1987" t="s">
        <v>1963</v>
      </c>
      <c r="Z51" s="2639"/>
      <c r="AA51" s="2639"/>
      <c r="AB51" s="2639"/>
      <c r="AC51" s="2639"/>
      <c r="AD51" s="2639"/>
      <c r="AE51" s="2639"/>
      <c r="AF51" s="2639"/>
      <c r="AG51" s="2639"/>
      <c r="AH51" s="2639"/>
      <c r="AI51" s="2639"/>
      <c r="AJ51" s="2639"/>
      <c r="AK51" s="2639"/>
      <c r="AL51" s="2639"/>
      <c r="AM51" s="2639"/>
      <c r="AN51" s="2639"/>
      <c r="AO51" s="2639"/>
      <c r="AP51" s="2639"/>
      <c r="AQ51" s="2639"/>
      <c r="AR51" s="2639"/>
      <c r="AS51" s="2639"/>
      <c r="AT51" s="2639"/>
      <c r="AU51" s="2639"/>
      <c r="AV51" s="2639"/>
      <c r="AW51" s="2639"/>
      <c r="AX51" s="1977">
        <v>3</v>
      </c>
      <c r="AY51" s="2104">
        <v>27130000</v>
      </c>
      <c r="AZ51" s="2128">
        <v>3117500</v>
      </c>
      <c r="BA51" s="1981">
        <f>AY51/U51</f>
        <v>0.14515783841626539</v>
      </c>
      <c r="BB51" s="1977" t="s">
        <v>70</v>
      </c>
      <c r="BC51" s="1968" t="s">
        <v>1985</v>
      </c>
      <c r="BD51" s="2204">
        <v>42736</v>
      </c>
      <c r="BE51" s="2017">
        <v>42767</v>
      </c>
      <c r="BF51" s="1988">
        <v>43100</v>
      </c>
      <c r="BG51" s="2017">
        <v>43008</v>
      </c>
      <c r="BH51" s="3515"/>
    </row>
    <row r="52" spans="1:60" ht="185.25" x14ac:dyDescent="0.2">
      <c r="A52" s="2635"/>
      <c r="B52" s="2141"/>
      <c r="C52" s="2185"/>
      <c r="D52" s="41"/>
      <c r="E52" s="688"/>
      <c r="F52" s="2205"/>
      <c r="G52" s="689"/>
      <c r="H52" s="2206">
        <v>33</v>
      </c>
      <c r="I52" s="2000" t="s">
        <v>2071</v>
      </c>
      <c r="J52" s="120" t="s">
        <v>324</v>
      </c>
      <c r="K52" s="2043">
        <v>400</v>
      </c>
      <c r="L52" s="2004">
        <v>272</v>
      </c>
      <c r="M52" s="3521"/>
      <c r="N52" s="2639"/>
      <c r="O52" s="2694"/>
      <c r="P52" s="961">
        <f>U52/Q50</f>
        <v>8.1714285714285712E-2</v>
      </c>
      <c r="Q52" s="3517"/>
      <c r="R52" s="2428"/>
      <c r="S52" s="1976" t="s">
        <v>2072</v>
      </c>
      <c r="T52" s="1976" t="s">
        <v>2073</v>
      </c>
      <c r="U52" s="2042">
        <f>8600000+20000000</f>
        <v>28600000</v>
      </c>
      <c r="V52" s="2097">
        <v>19520000</v>
      </c>
      <c r="W52" s="2104">
        <v>3117500</v>
      </c>
      <c r="X52" s="2142">
        <v>20</v>
      </c>
      <c r="Y52" s="1987" t="s">
        <v>1963</v>
      </c>
      <c r="Z52" s="2639"/>
      <c r="AA52" s="2639"/>
      <c r="AB52" s="2639"/>
      <c r="AC52" s="2639"/>
      <c r="AD52" s="2639"/>
      <c r="AE52" s="2639"/>
      <c r="AF52" s="2639"/>
      <c r="AG52" s="2639"/>
      <c r="AH52" s="2639"/>
      <c r="AI52" s="2639"/>
      <c r="AJ52" s="2639"/>
      <c r="AK52" s="2639"/>
      <c r="AL52" s="2639"/>
      <c r="AM52" s="2639"/>
      <c r="AN52" s="2639"/>
      <c r="AO52" s="2639"/>
      <c r="AP52" s="2639"/>
      <c r="AQ52" s="2639"/>
      <c r="AR52" s="2639"/>
      <c r="AS52" s="2639"/>
      <c r="AT52" s="2639"/>
      <c r="AU52" s="2639"/>
      <c r="AV52" s="2639"/>
      <c r="AW52" s="2639"/>
      <c r="AX52" s="1977">
        <v>6</v>
      </c>
      <c r="AY52" s="2104">
        <v>19520000</v>
      </c>
      <c r="AZ52" s="2128">
        <v>3117500</v>
      </c>
      <c r="BA52" s="1981">
        <f>AY52/U52</f>
        <v>0.68251748251748257</v>
      </c>
      <c r="BB52" s="1977" t="s">
        <v>70</v>
      </c>
      <c r="BC52" s="1968" t="s">
        <v>1985</v>
      </c>
      <c r="BD52" s="2204">
        <v>42736</v>
      </c>
      <c r="BE52" s="2017">
        <v>42782</v>
      </c>
      <c r="BF52" s="1988">
        <v>43100</v>
      </c>
      <c r="BG52" s="2017">
        <v>42978</v>
      </c>
      <c r="BH52" s="3515"/>
    </row>
    <row r="53" spans="1:60" ht="185.25" x14ac:dyDescent="0.2">
      <c r="A53" s="2636"/>
      <c r="B53" s="2146"/>
      <c r="C53" s="2230"/>
      <c r="D53" s="727"/>
      <c r="E53" s="728"/>
      <c r="F53" s="2221"/>
      <c r="G53" s="729"/>
      <c r="H53" s="2231">
        <v>34</v>
      </c>
      <c r="I53" s="2000" t="s">
        <v>2074</v>
      </c>
      <c r="J53" s="2015" t="s">
        <v>324</v>
      </c>
      <c r="K53" s="2016">
        <v>800</v>
      </c>
      <c r="L53" s="2004">
        <v>500</v>
      </c>
      <c r="M53" s="3523"/>
      <c r="N53" s="2528"/>
      <c r="O53" s="2695"/>
      <c r="P53" s="961">
        <f>U53/Q50</f>
        <v>8.1714285714285712E-2</v>
      </c>
      <c r="Q53" s="3518"/>
      <c r="R53" s="2429"/>
      <c r="S53" s="2013" t="s">
        <v>2075</v>
      </c>
      <c r="T53" s="2013" t="s">
        <v>2076</v>
      </c>
      <c r="U53" s="2044">
        <f>8600000+20000000</f>
        <v>28600000</v>
      </c>
      <c r="V53" s="2097">
        <v>18090000</v>
      </c>
      <c r="W53" s="2104">
        <v>3117500</v>
      </c>
      <c r="X53" s="2232">
        <v>20</v>
      </c>
      <c r="Y53" s="1992" t="s">
        <v>1963</v>
      </c>
      <c r="Z53" s="2528"/>
      <c r="AA53" s="2528"/>
      <c r="AB53" s="2528"/>
      <c r="AC53" s="2528"/>
      <c r="AD53" s="2528"/>
      <c r="AE53" s="2528"/>
      <c r="AF53" s="2528"/>
      <c r="AG53" s="2528"/>
      <c r="AH53" s="2528"/>
      <c r="AI53" s="2528"/>
      <c r="AJ53" s="2528"/>
      <c r="AK53" s="2528"/>
      <c r="AL53" s="2528"/>
      <c r="AM53" s="2528"/>
      <c r="AN53" s="2528"/>
      <c r="AO53" s="2528"/>
      <c r="AP53" s="2528"/>
      <c r="AQ53" s="2528"/>
      <c r="AR53" s="2528"/>
      <c r="AS53" s="2528"/>
      <c r="AT53" s="2528"/>
      <c r="AU53" s="2528"/>
      <c r="AV53" s="2528"/>
      <c r="AW53" s="2528"/>
      <c r="AX53" s="1977">
        <v>5</v>
      </c>
      <c r="AY53" s="2104">
        <v>18090000</v>
      </c>
      <c r="AZ53" s="2128">
        <v>3117500</v>
      </c>
      <c r="BA53" s="1981">
        <f>AY53/U53</f>
        <v>0.63251748251748252</v>
      </c>
      <c r="BB53" s="1977" t="s">
        <v>70</v>
      </c>
      <c r="BC53" s="1968" t="s">
        <v>1985</v>
      </c>
      <c r="BD53" s="2204">
        <v>42736</v>
      </c>
      <c r="BE53" s="2017">
        <v>42782</v>
      </c>
      <c r="BF53" s="1988">
        <v>43100</v>
      </c>
      <c r="BG53" s="2017">
        <v>42978</v>
      </c>
      <c r="BH53" s="3516"/>
    </row>
    <row r="54" spans="1:60" ht="15" x14ac:dyDescent="0.2">
      <c r="A54" s="2192"/>
      <c r="B54" s="2193"/>
      <c r="C54" s="2194"/>
      <c r="D54" s="2090"/>
      <c r="E54" s="2090"/>
      <c r="F54" s="2197">
        <v>7</v>
      </c>
      <c r="G54" s="832" t="s">
        <v>2077</v>
      </c>
      <c r="H54" s="105"/>
      <c r="I54" s="2233"/>
      <c r="J54" s="73"/>
      <c r="K54" s="2010"/>
      <c r="L54" s="104"/>
      <c r="M54" s="73"/>
      <c r="N54" s="782"/>
      <c r="O54" s="73"/>
      <c r="P54" s="2084"/>
      <c r="Q54" s="1569"/>
      <c r="R54" s="73"/>
      <c r="S54" s="73"/>
      <c r="T54" s="73"/>
      <c r="U54" s="1571"/>
      <c r="V54" s="2198"/>
      <c r="W54" s="2199"/>
      <c r="X54" s="782"/>
      <c r="Y54" s="2010"/>
      <c r="Z54" s="2086"/>
      <c r="AA54" s="2200"/>
      <c r="AB54" s="2234"/>
      <c r="AC54" s="2200"/>
      <c r="AD54" s="833"/>
      <c r="AE54" s="2200"/>
      <c r="AF54" s="833"/>
      <c r="AG54" s="2200"/>
      <c r="AH54" s="833"/>
      <c r="AI54" s="2200"/>
      <c r="AJ54" s="833"/>
      <c r="AK54" s="2200"/>
      <c r="AL54" s="2200"/>
      <c r="AM54" s="2200"/>
      <c r="AN54" s="2086"/>
      <c r="AO54" s="2088"/>
      <c r="AP54" s="2088"/>
      <c r="AQ54" s="2088"/>
      <c r="AR54" s="2088"/>
      <c r="AS54" s="2088"/>
      <c r="AT54" s="2088"/>
      <c r="AU54" s="2088"/>
      <c r="AV54" s="2088"/>
      <c r="AW54" s="2088"/>
      <c r="AX54" s="1573"/>
      <c r="AY54" s="1573"/>
      <c r="AZ54" s="2120"/>
      <c r="BA54" s="2202"/>
      <c r="BB54" s="2203"/>
      <c r="BC54" s="2203"/>
      <c r="BD54" s="2122"/>
      <c r="BE54" s="1573"/>
      <c r="BF54" s="2124"/>
      <c r="BG54" s="1573"/>
      <c r="BH54" s="785"/>
    </row>
    <row r="55" spans="1:60" ht="71.25" x14ac:dyDescent="0.2">
      <c r="A55" s="2634"/>
      <c r="B55" s="1536"/>
      <c r="C55" s="1537"/>
      <c r="D55" s="686"/>
      <c r="E55" s="687"/>
      <c r="F55" s="981"/>
      <c r="G55" s="941"/>
      <c r="H55" s="2043">
        <v>35</v>
      </c>
      <c r="I55" s="2000" t="s">
        <v>2078</v>
      </c>
      <c r="J55" s="120" t="s">
        <v>324</v>
      </c>
      <c r="K55" s="2206">
        <v>5</v>
      </c>
      <c r="L55" s="2004">
        <v>4</v>
      </c>
      <c r="M55" s="3520" t="s">
        <v>2079</v>
      </c>
      <c r="N55" s="2527">
        <v>78</v>
      </c>
      <c r="O55" s="2534" t="s">
        <v>2080</v>
      </c>
      <c r="P55" s="961">
        <f>U55/Q55</f>
        <v>0.4</v>
      </c>
      <c r="Q55" s="3522">
        <v>150000000</v>
      </c>
      <c r="R55" s="2424" t="s">
        <v>2081</v>
      </c>
      <c r="S55" s="1976" t="s">
        <v>2082</v>
      </c>
      <c r="T55" s="1976" t="s">
        <v>2083</v>
      </c>
      <c r="U55" s="2039">
        <f>90000000-30000000</f>
        <v>60000000</v>
      </c>
      <c r="V55" s="2097">
        <v>33211667</v>
      </c>
      <c r="W55" s="2212"/>
      <c r="X55" s="2142">
        <v>20</v>
      </c>
      <c r="Y55" s="1968" t="s">
        <v>1963</v>
      </c>
      <c r="Z55" s="2527"/>
      <c r="AA55" s="2527"/>
      <c r="AB55" s="2527"/>
      <c r="AC55" s="2527"/>
      <c r="AD55" s="2527">
        <v>20</v>
      </c>
      <c r="AE55" s="2527"/>
      <c r="AF55" s="2527">
        <v>40</v>
      </c>
      <c r="AG55" s="2527"/>
      <c r="AH55" s="2527">
        <v>50</v>
      </c>
      <c r="AI55" s="2527"/>
      <c r="AJ55" s="2527">
        <v>50</v>
      </c>
      <c r="AK55" s="2527"/>
      <c r="AL55" s="2527"/>
      <c r="AM55" s="2527"/>
      <c r="AN55" s="2527"/>
      <c r="AO55" s="2527"/>
      <c r="AP55" s="2527"/>
      <c r="AQ55" s="2527"/>
      <c r="AR55" s="2527"/>
      <c r="AS55" s="2527"/>
      <c r="AT55" s="2527"/>
      <c r="AU55" s="2527"/>
      <c r="AV55" s="2527"/>
      <c r="AW55" s="2527"/>
      <c r="AX55" s="1977">
        <v>4</v>
      </c>
      <c r="AY55" s="2104">
        <v>33211667</v>
      </c>
      <c r="AZ55" s="2210">
        <v>0</v>
      </c>
      <c r="BA55" s="1981">
        <f>AY55/U55</f>
        <v>0.5535277833333333</v>
      </c>
      <c r="BB55" s="1977" t="s">
        <v>70</v>
      </c>
      <c r="BC55" s="1968" t="s">
        <v>1985</v>
      </c>
      <c r="BD55" s="2204">
        <v>42736</v>
      </c>
      <c r="BE55" s="2017">
        <v>42774</v>
      </c>
      <c r="BF55" s="2017">
        <v>43100</v>
      </c>
      <c r="BG55" s="2017">
        <v>42978</v>
      </c>
      <c r="BH55" s="3519" t="s">
        <v>1986</v>
      </c>
    </row>
    <row r="56" spans="1:60" ht="85.5" x14ac:dyDescent="0.2">
      <c r="A56" s="2635"/>
      <c r="B56" s="2141"/>
      <c r="C56" s="2185"/>
      <c r="D56" s="41"/>
      <c r="E56" s="688"/>
      <c r="F56" s="2205"/>
      <c r="G56" s="689"/>
      <c r="H56" s="2043">
        <v>36</v>
      </c>
      <c r="I56" s="2000" t="s">
        <v>2084</v>
      </c>
      <c r="J56" s="120" t="s">
        <v>324</v>
      </c>
      <c r="K56" s="2206">
        <v>1</v>
      </c>
      <c r="L56" s="2004">
        <v>1</v>
      </c>
      <c r="M56" s="3521"/>
      <c r="N56" s="2639"/>
      <c r="O56" s="2694"/>
      <c r="P56" s="961">
        <f>U56/Q55</f>
        <v>0.22333333333333333</v>
      </c>
      <c r="Q56" s="3517"/>
      <c r="R56" s="2428"/>
      <c r="S56" s="2424" t="s">
        <v>2085</v>
      </c>
      <c r="T56" s="1976" t="s">
        <v>2086</v>
      </c>
      <c r="U56" s="2039">
        <f>3500000+30000000</f>
        <v>33500000</v>
      </c>
      <c r="V56" s="2097">
        <v>21418333</v>
      </c>
      <c r="W56" s="2212"/>
      <c r="X56" s="2142">
        <v>20</v>
      </c>
      <c r="Y56" s="1968" t="s">
        <v>1963</v>
      </c>
      <c r="Z56" s="2639"/>
      <c r="AA56" s="2639"/>
      <c r="AB56" s="2639"/>
      <c r="AC56" s="2639"/>
      <c r="AD56" s="2639"/>
      <c r="AE56" s="2639"/>
      <c r="AF56" s="2639"/>
      <c r="AG56" s="2639"/>
      <c r="AH56" s="2639"/>
      <c r="AI56" s="2639"/>
      <c r="AJ56" s="2639"/>
      <c r="AK56" s="2639"/>
      <c r="AL56" s="2639"/>
      <c r="AM56" s="2639"/>
      <c r="AN56" s="2639"/>
      <c r="AO56" s="2639"/>
      <c r="AP56" s="2639"/>
      <c r="AQ56" s="2639"/>
      <c r="AR56" s="2639"/>
      <c r="AS56" s="2639"/>
      <c r="AT56" s="2639"/>
      <c r="AU56" s="2639"/>
      <c r="AV56" s="2639"/>
      <c r="AW56" s="2639"/>
      <c r="AX56" s="1978">
        <v>4</v>
      </c>
      <c r="AY56" s="2104">
        <v>21418333</v>
      </c>
      <c r="AZ56" s="2210">
        <v>0</v>
      </c>
      <c r="BA56" s="1981">
        <f>AY56/U56</f>
        <v>0.63935322388059701</v>
      </c>
      <c r="BB56" s="1977" t="s">
        <v>70</v>
      </c>
      <c r="BC56" s="1968" t="s">
        <v>1985</v>
      </c>
      <c r="BD56" s="2204">
        <v>42736</v>
      </c>
      <c r="BE56" s="2017">
        <v>42775</v>
      </c>
      <c r="BF56" s="1988">
        <v>43100</v>
      </c>
      <c r="BG56" s="2017">
        <v>42979</v>
      </c>
      <c r="BH56" s="3515"/>
    </row>
    <row r="57" spans="1:60" ht="128.25" x14ac:dyDescent="0.2">
      <c r="A57" s="2635"/>
      <c r="B57" s="2141"/>
      <c r="C57" s="2185"/>
      <c r="D57" s="727"/>
      <c r="E57" s="728"/>
      <c r="F57" s="2221"/>
      <c r="G57" s="729"/>
      <c r="H57" s="2016">
        <v>37</v>
      </c>
      <c r="I57" s="2007" t="s">
        <v>2087</v>
      </c>
      <c r="J57" s="2015" t="s">
        <v>324</v>
      </c>
      <c r="K57" s="2231">
        <v>1</v>
      </c>
      <c r="L57" s="1966">
        <v>0</v>
      </c>
      <c r="M57" s="3521"/>
      <c r="N57" s="2639"/>
      <c r="O57" s="2694"/>
      <c r="P57" s="2005">
        <f>U57/Q55</f>
        <v>0.37666666666666665</v>
      </c>
      <c r="Q57" s="3517"/>
      <c r="R57" s="2428"/>
      <c r="S57" s="2428"/>
      <c r="T57" s="2013" t="s">
        <v>2088</v>
      </c>
      <c r="U57" s="2044">
        <f>6500000+20000000+30000000</f>
        <v>56500000</v>
      </c>
      <c r="V57" s="2097">
        <v>23830000</v>
      </c>
      <c r="W57" s="1998"/>
      <c r="X57" s="2235">
        <v>20</v>
      </c>
      <c r="Y57" s="1992" t="s">
        <v>1963</v>
      </c>
      <c r="Z57" s="2528"/>
      <c r="AA57" s="2528"/>
      <c r="AB57" s="2528"/>
      <c r="AC57" s="2528"/>
      <c r="AD57" s="2528"/>
      <c r="AE57" s="2528"/>
      <c r="AF57" s="2528"/>
      <c r="AG57" s="2528"/>
      <c r="AH57" s="2528"/>
      <c r="AI57" s="2528"/>
      <c r="AJ57" s="2528"/>
      <c r="AK57" s="2528"/>
      <c r="AL57" s="2528"/>
      <c r="AM57" s="2528"/>
      <c r="AN57" s="2528"/>
      <c r="AO57" s="2528"/>
      <c r="AP57" s="2528"/>
      <c r="AQ57" s="2528"/>
      <c r="AR57" s="2528"/>
      <c r="AS57" s="2528"/>
      <c r="AT57" s="2528"/>
      <c r="AU57" s="2528"/>
      <c r="AV57" s="2528"/>
      <c r="AW57" s="2528"/>
      <c r="AX57" s="1978">
        <v>3</v>
      </c>
      <c r="AY57" s="2104">
        <v>23830000</v>
      </c>
      <c r="AZ57" s="2236">
        <v>0</v>
      </c>
      <c r="BA57" s="1981">
        <f>AY57/U57</f>
        <v>0.42176991150442478</v>
      </c>
      <c r="BB57" s="1977" t="s">
        <v>70</v>
      </c>
      <c r="BC57" s="1968" t="s">
        <v>1985</v>
      </c>
      <c r="BD57" s="2204">
        <v>42736</v>
      </c>
      <c r="BE57" s="2017">
        <v>42816</v>
      </c>
      <c r="BF57" s="1988">
        <v>43100</v>
      </c>
      <c r="BG57" s="2017">
        <v>43000</v>
      </c>
      <c r="BH57" s="3515"/>
    </row>
    <row r="58" spans="1:60" ht="15" x14ac:dyDescent="0.2">
      <c r="A58" s="2237">
        <v>3</v>
      </c>
      <c r="B58" s="2238" t="s">
        <v>811</v>
      </c>
      <c r="C58" s="2238"/>
      <c r="D58" s="2239"/>
      <c r="E58" s="2239"/>
      <c r="F58" s="2239"/>
      <c r="G58" s="2239"/>
      <c r="H58" s="2238"/>
      <c r="I58" s="2240"/>
      <c r="J58" s="2238"/>
      <c r="K58" s="2238"/>
      <c r="L58" s="2239"/>
      <c r="M58" s="2241"/>
      <c r="N58" s="2242"/>
      <c r="O58" s="2241"/>
      <c r="P58" s="2243"/>
      <c r="Q58" s="2244"/>
      <c r="R58" s="2241"/>
      <c r="S58" s="2241"/>
      <c r="T58" s="2241"/>
      <c r="U58" s="2245"/>
      <c r="V58" s="2246"/>
      <c r="W58" s="2247"/>
      <c r="X58" s="2248"/>
      <c r="Y58" s="2242"/>
      <c r="Z58" s="2249"/>
      <c r="AA58" s="2250"/>
      <c r="AB58" s="2251"/>
      <c r="AC58" s="2250"/>
      <c r="AD58" s="2251"/>
      <c r="AE58" s="2250"/>
      <c r="AF58" s="2251"/>
      <c r="AG58" s="2250"/>
      <c r="AH58" s="2251"/>
      <c r="AI58" s="2250"/>
      <c r="AJ58" s="2251"/>
      <c r="AK58" s="2250"/>
      <c r="AL58" s="2250"/>
      <c r="AM58" s="2250"/>
      <c r="AN58" s="2252"/>
      <c r="AO58" s="2250"/>
      <c r="AP58" s="2250"/>
      <c r="AQ58" s="2250"/>
      <c r="AR58" s="2250"/>
      <c r="AS58" s="2250"/>
      <c r="AT58" s="2250"/>
      <c r="AU58" s="2250"/>
      <c r="AV58" s="2250"/>
      <c r="AW58" s="2253"/>
      <c r="AX58" s="2254"/>
      <c r="AY58" s="2255"/>
      <c r="AZ58" s="2256"/>
      <c r="BA58" s="2257"/>
      <c r="BB58" s="2239"/>
      <c r="BC58" s="2239"/>
      <c r="BD58" s="2160"/>
      <c r="BE58" s="2255"/>
      <c r="BF58" s="2161"/>
      <c r="BG58" s="2255"/>
      <c r="BH58" s="2162"/>
    </row>
    <row r="59" spans="1:60" ht="15" x14ac:dyDescent="0.2">
      <c r="A59" s="2258"/>
      <c r="B59" s="2258"/>
      <c r="C59" s="2259">
        <v>11</v>
      </c>
      <c r="D59" s="2260" t="s">
        <v>812</v>
      </c>
      <c r="E59" s="2260"/>
      <c r="F59" s="2260"/>
      <c r="G59" s="2260"/>
      <c r="H59" s="2260"/>
      <c r="I59" s="2261"/>
      <c r="J59" s="2260"/>
      <c r="K59" s="2262"/>
      <c r="L59" s="2263"/>
      <c r="M59" s="2262"/>
      <c r="N59" s="2259"/>
      <c r="O59" s="2262"/>
      <c r="P59" s="2264"/>
      <c r="Q59" s="2265"/>
      <c r="R59" s="2262"/>
      <c r="S59" s="2262"/>
      <c r="T59" s="2262"/>
      <c r="U59" s="2266"/>
      <c r="V59" s="2267"/>
      <c r="W59" s="2268"/>
      <c r="X59" s="2259"/>
      <c r="Y59" s="2269"/>
      <c r="Z59" s="2270"/>
      <c r="AA59" s="2271"/>
      <c r="AB59" s="2272"/>
      <c r="AC59" s="2271"/>
      <c r="AD59" s="2273"/>
      <c r="AE59" s="2271"/>
      <c r="AF59" s="2273"/>
      <c r="AG59" s="2271"/>
      <c r="AH59" s="2273"/>
      <c r="AI59" s="2271"/>
      <c r="AJ59" s="2273"/>
      <c r="AK59" s="2271"/>
      <c r="AL59" s="2271"/>
      <c r="AM59" s="2271"/>
      <c r="AN59" s="2274"/>
      <c r="AO59" s="2271"/>
      <c r="AP59" s="2271"/>
      <c r="AQ59" s="2271"/>
      <c r="AR59" s="2271"/>
      <c r="AS59" s="2271"/>
      <c r="AT59" s="2271"/>
      <c r="AU59" s="2271"/>
      <c r="AV59" s="2271"/>
      <c r="AW59" s="2275"/>
      <c r="AX59" s="2258"/>
      <c r="AY59" s="2258"/>
      <c r="AZ59" s="2276"/>
      <c r="BA59" s="2277"/>
      <c r="BB59" s="2263"/>
      <c r="BC59" s="2263"/>
      <c r="BD59" s="2278"/>
      <c r="BE59" s="2258"/>
      <c r="BF59" s="2183"/>
      <c r="BG59" s="2258"/>
      <c r="BH59" s="2279"/>
    </row>
    <row r="60" spans="1:60" ht="15" x14ac:dyDescent="0.2">
      <c r="A60" s="1573"/>
      <c r="B60" s="1573"/>
      <c r="C60" s="1573"/>
      <c r="D60" s="2280"/>
      <c r="E60" s="2280"/>
      <c r="F60" s="2082">
        <v>34</v>
      </c>
      <c r="G60" s="2281" t="s">
        <v>2089</v>
      </c>
      <c r="H60" s="104"/>
      <c r="I60" s="2233"/>
      <c r="J60" s="793"/>
      <c r="K60" s="794"/>
      <c r="L60" s="104"/>
      <c r="M60" s="793"/>
      <c r="N60" s="798"/>
      <c r="O60" s="793"/>
      <c r="P60" s="2282"/>
      <c r="Q60" s="2283"/>
      <c r="R60" s="793"/>
      <c r="S60" s="793"/>
      <c r="T60" s="793"/>
      <c r="U60" s="2284"/>
      <c r="V60" s="2198"/>
      <c r="W60" s="2199"/>
      <c r="X60" s="798"/>
      <c r="Y60" s="794"/>
      <c r="Z60" s="2285"/>
      <c r="AA60" s="2200"/>
      <c r="AB60" s="2234"/>
      <c r="AC60" s="2200"/>
      <c r="AD60" s="833"/>
      <c r="AE60" s="2200"/>
      <c r="AF60" s="833"/>
      <c r="AG60" s="2200"/>
      <c r="AH60" s="833"/>
      <c r="AI60" s="2200"/>
      <c r="AJ60" s="833"/>
      <c r="AK60" s="2200"/>
      <c r="AL60" s="2200"/>
      <c r="AM60" s="2200"/>
      <c r="AN60" s="2286"/>
      <c r="AO60" s="2200"/>
      <c r="AP60" s="2200"/>
      <c r="AQ60" s="2200"/>
      <c r="AR60" s="2200"/>
      <c r="AS60" s="2200"/>
      <c r="AT60" s="2200"/>
      <c r="AU60" s="2200"/>
      <c r="AV60" s="2200"/>
      <c r="AW60" s="2201"/>
      <c r="AX60" s="1573"/>
      <c r="AY60" s="1573"/>
      <c r="AZ60" s="2120"/>
      <c r="BA60" s="2202"/>
      <c r="BB60" s="2203"/>
      <c r="BC60" s="2203"/>
      <c r="BD60" s="2122"/>
      <c r="BE60" s="1573"/>
      <c r="BF60" s="2124"/>
      <c r="BG60" s="1573"/>
      <c r="BH60" s="785"/>
    </row>
    <row r="61" spans="1:60" ht="71.25" x14ac:dyDescent="0.2">
      <c r="A61" s="2635"/>
      <c r="B61" s="2141"/>
      <c r="C61" s="1535"/>
      <c r="D61" s="686"/>
      <c r="E61" s="687"/>
      <c r="F61" s="981"/>
      <c r="G61" s="941"/>
      <c r="H61" s="2287">
        <v>122</v>
      </c>
      <c r="I61" s="2008" t="s">
        <v>2090</v>
      </c>
      <c r="J61" s="2018" t="s">
        <v>324</v>
      </c>
      <c r="K61" s="1995">
        <v>1</v>
      </c>
      <c r="L61" s="1967">
        <v>1</v>
      </c>
      <c r="M61" s="2428" t="s">
        <v>2091</v>
      </c>
      <c r="N61" s="2573">
        <v>79</v>
      </c>
      <c r="O61" s="2694" t="s">
        <v>2092</v>
      </c>
      <c r="P61" s="2006">
        <f>U61/Q61</f>
        <v>5.128205128205128E-2</v>
      </c>
      <c r="Q61" s="3517">
        <v>195000000</v>
      </c>
      <c r="R61" s="2428" t="s">
        <v>2093</v>
      </c>
      <c r="S61" s="2003" t="s">
        <v>2090</v>
      </c>
      <c r="T61" s="2014" t="s">
        <v>2094</v>
      </c>
      <c r="U61" s="2045">
        <v>10000000</v>
      </c>
      <c r="V61" s="2097">
        <v>6000000</v>
      </c>
      <c r="W61" s="2020"/>
      <c r="X61" s="2288">
        <v>20</v>
      </c>
      <c r="Y61" s="1987" t="s">
        <v>1963</v>
      </c>
      <c r="Z61" s="2527"/>
      <c r="AA61" s="2527"/>
      <c r="AB61" s="2527"/>
      <c r="AC61" s="2527"/>
      <c r="AD61" s="2527"/>
      <c r="AE61" s="2527"/>
      <c r="AF61" s="2527"/>
      <c r="AG61" s="2527"/>
      <c r="AH61" s="2527"/>
      <c r="AI61" s="2527"/>
      <c r="AJ61" s="2527"/>
      <c r="AK61" s="2527"/>
      <c r="AL61" s="2527"/>
      <c r="AM61" s="2527"/>
      <c r="AN61" s="2527"/>
      <c r="AO61" s="2527"/>
      <c r="AP61" s="2527"/>
      <c r="AQ61" s="2527"/>
      <c r="AR61" s="2527"/>
      <c r="AS61" s="2527"/>
      <c r="AT61" s="2527"/>
      <c r="AU61" s="2527"/>
      <c r="AV61" s="2527"/>
      <c r="AW61" s="2527"/>
      <c r="AX61" s="1978">
        <v>1</v>
      </c>
      <c r="AY61" s="2104">
        <v>6000000</v>
      </c>
      <c r="AZ61" s="2289">
        <v>0</v>
      </c>
      <c r="BA61" s="1981">
        <f>AY61/U61</f>
        <v>0.6</v>
      </c>
      <c r="BB61" s="1977" t="s">
        <v>70</v>
      </c>
      <c r="BC61" s="1977" t="s">
        <v>2023</v>
      </c>
      <c r="BD61" s="2204">
        <v>42736</v>
      </c>
      <c r="BE61" s="2017">
        <v>42767</v>
      </c>
      <c r="BF61" s="2017">
        <v>43100</v>
      </c>
      <c r="BG61" s="2017">
        <v>42886</v>
      </c>
      <c r="BH61" s="3515" t="s">
        <v>1986</v>
      </c>
    </row>
    <row r="62" spans="1:60" ht="142.5" x14ac:dyDescent="0.2">
      <c r="A62" s="2635"/>
      <c r="B62" s="2141"/>
      <c r="C62" s="1535"/>
      <c r="D62" s="41"/>
      <c r="E62" s="688"/>
      <c r="F62" s="2205"/>
      <c r="G62" s="689"/>
      <c r="H62" s="2046">
        <v>123</v>
      </c>
      <c r="I62" s="2000" t="s">
        <v>2095</v>
      </c>
      <c r="J62" s="120" t="s">
        <v>324</v>
      </c>
      <c r="K62" s="1977">
        <v>4</v>
      </c>
      <c r="L62" s="2004">
        <v>1</v>
      </c>
      <c r="M62" s="2428"/>
      <c r="N62" s="2573"/>
      <c r="O62" s="2694"/>
      <c r="P62" s="961">
        <f>U62/Q61</f>
        <v>0.41025641025641024</v>
      </c>
      <c r="Q62" s="3517"/>
      <c r="R62" s="2428"/>
      <c r="S62" s="1969" t="s">
        <v>2096</v>
      </c>
      <c r="T62" s="1976" t="s">
        <v>2097</v>
      </c>
      <c r="U62" s="2042">
        <f>20000000+60000000</f>
        <v>80000000</v>
      </c>
      <c r="V62" s="2097">
        <v>6000000</v>
      </c>
      <c r="W62" s="2212"/>
      <c r="X62" s="2142">
        <v>20</v>
      </c>
      <c r="Y62" s="1987" t="s">
        <v>1963</v>
      </c>
      <c r="Z62" s="2639"/>
      <c r="AA62" s="2639"/>
      <c r="AB62" s="2639"/>
      <c r="AC62" s="2639"/>
      <c r="AD62" s="2639"/>
      <c r="AE62" s="2639"/>
      <c r="AF62" s="2639"/>
      <c r="AG62" s="2639"/>
      <c r="AH62" s="2639"/>
      <c r="AI62" s="2639"/>
      <c r="AJ62" s="2639"/>
      <c r="AK62" s="2639"/>
      <c r="AL62" s="2639"/>
      <c r="AM62" s="2639"/>
      <c r="AN62" s="2639"/>
      <c r="AO62" s="2639"/>
      <c r="AP62" s="2639"/>
      <c r="AQ62" s="2639"/>
      <c r="AR62" s="2639"/>
      <c r="AS62" s="2639"/>
      <c r="AT62" s="2639"/>
      <c r="AU62" s="2639"/>
      <c r="AV62" s="2639"/>
      <c r="AW62" s="2639"/>
      <c r="AX62" s="1978">
        <v>1</v>
      </c>
      <c r="AY62" s="2104">
        <v>6000000</v>
      </c>
      <c r="AZ62" s="2210">
        <v>0</v>
      </c>
      <c r="BA62" s="1981">
        <f>AY62/U62</f>
        <v>7.4999999999999997E-2</v>
      </c>
      <c r="BB62" s="1977" t="s">
        <v>70</v>
      </c>
      <c r="BC62" s="1977" t="s">
        <v>2023</v>
      </c>
      <c r="BD62" s="2204">
        <v>42736</v>
      </c>
      <c r="BE62" s="2017">
        <v>42767</v>
      </c>
      <c r="BF62" s="1988">
        <v>43100</v>
      </c>
      <c r="BG62" s="2017">
        <v>42886</v>
      </c>
      <c r="BH62" s="3515"/>
    </row>
    <row r="63" spans="1:60" ht="114" x14ac:dyDescent="0.2">
      <c r="A63" s="2635"/>
      <c r="B63" s="2141"/>
      <c r="C63" s="1535"/>
      <c r="D63" s="41"/>
      <c r="E63" s="688"/>
      <c r="F63" s="2205"/>
      <c r="G63" s="689"/>
      <c r="H63" s="2046">
        <v>124</v>
      </c>
      <c r="I63" s="2000" t="s">
        <v>2098</v>
      </c>
      <c r="J63" s="120" t="s">
        <v>324</v>
      </c>
      <c r="K63" s="1977">
        <v>150</v>
      </c>
      <c r="L63" s="2004">
        <v>3.6</v>
      </c>
      <c r="M63" s="2428"/>
      <c r="N63" s="2573"/>
      <c r="O63" s="2694"/>
      <c r="P63" s="961">
        <f>U63/Q61</f>
        <v>0.28205128205128205</v>
      </c>
      <c r="Q63" s="3517"/>
      <c r="R63" s="2428"/>
      <c r="S63" s="1969" t="s">
        <v>2096</v>
      </c>
      <c r="T63" s="1976" t="s">
        <v>2099</v>
      </c>
      <c r="U63" s="2042">
        <f>20000000+35000000</f>
        <v>55000000</v>
      </c>
      <c r="V63" s="2097">
        <v>6000000</v>
      </c>
      <c r="W63" s="2212"/>
      <c r="X63" s="2142">
        <v>20</v>
      </c>
      <c r="Y63" s="1987" t="s">
        <v>1963</v>
      </c>
      <c r="Z63" s="2639"/>
      <c r="AA63" s="2639"/>
      <c r="AB63" s="2639"/>
      <c r="AC63" s="2639"/>
      <c r="AD63" s="2639"/>
      <c r="AE63" s="2639"/>
      <c r="AF63" s="2639"/>
      <c r="AG63" s="2639"/>
      <c r="AH63" s="2639"/>
      <c r="AI63" s="2639"/>
      <c r="AJ63" s="2639"/>
      <c r="AK63" s="2639"/>
      <c r="AL63" s="2639"/>
      <c r="AM63" s="2639"/>
      <c r="AN63" s="2639"/>
      <c r="AO63" s="2639"/>
      <c r="AP63" s="2639"/>
      <c r="AQ63" s="2639"/>
      <c r="AR63" s="2639"/>
      <c r="AS63" s="2639"/>
      <c r="AT63" s="2639"/>
      <c r="AU63" s="2639"/>
      <c r="AV63" s="2639"/>
      <c r="AW63" s="2639"/>
      <c r="AX63" s="1978">
        <v>1</v>
      </c>
      <c r="AY63" s="2104">
        <v>6000000</v>
      </c>
      <c r="AZ63" s="2210">
        <v>0</v>
      </c>
      <c r="BA63" s="1981">
        <f>AY63/U63</f>
        <v>0.10909090909090909</v>
      </c>
      <c r="BB63" s="1977" t="s">
        <v>70</v>
      </c>
      <c r="BC63" s="1977" t="s">
        <v>2023</v>
      </c>
      <c r="BD63" s="2204">
        <v>42736</v>
      </c>
      <c r="BE63" s="2017">
        <v>42767</v>
      </c>
      <c r="BF63" s="1988">
        <v>43100</v>
      </c>
      <c r="BG63" s="2017">
        <v>42886</v>
      </c>
      <c r="BH63" s="3515"/>
    </row>
    <row r="64" spans="1:60" ht="114" x14ac:dyDescent="0.2">
      <c r="A64" s="2635"/>
      <c r="B64" s="2141"/>
      <c r="C64" s="1535"/>
      <c r="D64" s="41"/>
      <c r="E64" s="688"/>
      <c r="F64" s="2205"/>
      <c r="G64" s="689"/>
      <c r="H64" s="120">
        <v>126</v>
      </c>
      <c r="I64" s="2222" t="s">
        <v>2100</v>
      </c>
      <c r="J64" s="1968" t="s">
        <v>324</v>
      </c>
      <c r="K64" s="2021" t="s">
        <v>2101</v>
      </c>
      <c r="L64" s="2004">
        <v>0</v>
      </c>
      <c r="M64" s="2428"/>
      <c r="N64" s="2573"/>
      <c r="O64" s="2694"/>
      <c r="P64" s="961">
        <f>U64/Q61</f>
        <v>5.128205128205128E-2</v>
      </c>
      <c r="Q64" s="3517"/>
      <c r="R64" s="2428"/>
      <c r="S64" s="1969" t="s">
        <v>2102</v>
      </c>
      <c r="T64" s="2290" t="s">
        <v>2103</v>
      </c>
      <c r="U64" s="2042">
        <v>10000000</v>
      </c>
      <c r="V64" s="2097">
        <v>6000000</v>
      </c>
      <c r="W64" s="2212"/>
      <c r="X64" s="2142">
        <v>20</v>
      </c>
      <c r="Y64" s="1987" t="s">
        <v>1963</v>
      </c>
      <c r="Z64" s="2639"/>
      <c r="AA64" s="2639"/>
      <c r="AB64" s="2639"/>
      <c r="AC64" s="2639"/>
      <c r="AD64" s="2639"/>
      <c r="AE64" s="2639"/>
      <c r="AF64" s="2639"/>
      <c r="AG64" s="2639"/>
      <c r="AH64" s="2639"/>
      <c r="AI64" s="2639"/>
      <c r="AJ64" s="2639"/>
      <c r="AK64" s="2639"/>
      <c r="AL64" s="2639"/>
      <c r="AM64" s="2639"/>
      <c r="AN64" s="2639"/>
      <c r="AO64" s="2639"/>
      <c r="AP64" s="2639"/>
      <c r="AQ64" s="2639"/>
      <c r="AR64" s="2639"/>
      <c r="AS64" s="2639"/>
      <c r="AT64" s="2639"/>
      <c r="AU64" s="2639"/>
      <c r="AV64" s="2639"/>
      <c r="AW64" s="2639"/>
      <c r="AX64" s="1978">
        <v>1</v>
      </c>
      <c r="AY64" s="2104">
        <v>6000000</v>
      </c>
      <c r="AZ64" s="2210">
        <v>0</v>
      </c>
      <c r="BA64" s="1981">
        <f>AY64/U64</f>
        <v>0.6</v>
      </c>
      <c r="BB64" s="1977" t="s">
        <v>70</v>
      </c>
      <c r="BC64" s="1977" t="s">
        <v>2023</v>
      </c>
      <c r="BD64" s="2204">
        <v>42736</v>
      </c>
      <c r="BE64" s="2017">
        <v>42767</v>
      </c>
      <c r="BF64" s="1988">
        <v>43100</v>
      </c>
      <c r="BG64" s="2017">
        <v>42886</v>
      </c>
      <c r="BH64" s="3515"/>
    </row>
    <row r="65" spans="1:60" ht="128.25" x14ac:dyDescent="0.2">
      <c r="A65" s="2636"/>
      <c r="B65" s="2146"/>
      <c r="C65" s="2147"/>
      <c r="D65" s="727"/>
      <c r="E65" s="728"/>
      <c r="F65" s="2221"/>
      <c r="G65" s="729"/>
      <c r="H65" s="1975">
        <v>125</v>
      </c>
      <c r="I65" s="2000" t="s">
        <v>2104</v>
      </c>
      <c r="J65" s="1968" t="s">
        <v>324</v>
      </c>
      <c r="K65" s="2291">
        <v>400</v>
      </c>
      <c r="L65" s="2004">
        <v>310</v>
      </c>
      <c r="M65" s="2429"/>
      <c r="N65" s="2574"/>
      <c r="O65" s="2695"/>
      <c r="P65" s="961">
        <f>U65/Q61</f>
        <v>0.20512820512820512</v>
      </c>
      <c r="Q65" s="3518"/>
      <c r="R65" s="2429"/>
      <c r="S65" s="2000" t="s">
        <v>2104</v>
      </c>
      <c r="T65" s="1976" t="s">
        <v>2105</v>
      </c>
      <c r="U65" s="2126">
        <f>20000000+20000000</f>
        <v>40000000</v>
      </c>
      <c r="V65" s="2097">
        <v>13290000</v>
      </c>
      <c r="W65" s="2212"/>
      <c r="X65" s="2142">
        <v>20</v>
      </c>
      <c r="Y65" s="1987" t="s">
        <v>1963</v>
      </c>
      <c r="Z65" s="2528"/>
      <c r="AA65" s="2528"/>
      <c r="AB65" s="2528"/>
      <c r="AC65" s="2528"/>
      <c r="AD65" s="2528"/>
      <c r="AE65" s="2528"/>
      <c r="AF65" s="2528"/>
      <c r="AG65" s="2528"/>
      <c r="AH65" s="2528"/>
      <c r="AI65" s="2528"/>
      <c r="AJ65" s="2528"/>
      <c r="AK65" s="2528"/>
      <c r="AL65" s="2528"/>
      <c r="AM65" s="2528"/>
      <c r="AN65" s="2528"/>
      <c r="AO65" s="2528"/>
      <c r="AP65" s="2528"/>
      <c r="AQ65" s="2528"/>
      <c r="AR65" s="2528"/>
      <c r="AS65" s="2528"/>
      <c r="AT65" s="2528"/>
      <c r="AU65" s="2528"/>
      <c r="AV65" s="2528"/>
      <c r="AW65" s="2528"/>
      <c r="AX65" s="1978">
        <v>2</v>
      </c>
      <c r="AY65" s="2104">
        <v>13290000</v>
      </c>
      <c r="AZ65" s="2210">
        <v>0</v>
      </c>
      <c r="BA65" s="1981">
        <f>AY65/U65</f>
        <v>0.33224999999999999</v>
      </c>
      <c r="BB65" s="1977" t="s">
        <v>70</v>
      </c>
      <c r="BC65" s="1977" t="s">
        <v>2023</v>
      </c>
      <c r="BD65" s="2204">
        <v>42736</v>
      </c>
      <c r="BE65" s="2017">
        <v>42767</v>
      </c>
      <c r="BF65" s="1988">
        <v>43100</v>
      </c>
      <c r="BG65" s="2017">
        <v>42978</v>
      </c>
      <c r="BH65" s="3516"/>
    </row>
    <row r="66" spans="1:60" x14ac:dyDescent="0.2">
      <c r="AY66" s="2294"/>
    </row>
    <row r="67" spans="1:60" x14ac:dyDescent="0.2">
      <c r="A67" s="2309"/>
      <c r="B67" s="2313"/>
      <c r="C67" s="2313"/>
      <c r="D67" s="2313"/>
      <c r="E67" s="2313"/>
      <c r="F67" s="2313"/>
      <c r="G67" s="2313"/>
      <c r="H67" s="2313"/>
      <c r="I67" s="1962"/>
      <c r="J67" s="2313"/>
      <c r="K67" s="2313"/>
      <c r="L67" s="2313"/>
      <c r="M67" s="1962"/>
      <c r="N67" s="2313"/>
      <c r="O67" s="2310"/>
      <c r="P67" s="2317"/>
      <c r="Q67" s="2308">
        <f>SUM(Q13:Q65)</f>
        <v>2816507173</v>
      </c>
      <c r="R67" s="2309"/>
      <c r="S67" s="2310"/>
      <c r="T67" s="1963"/>
      <c r="U67" s="2311">
        <f>SUM(U13:U65)</f>
        <v>2816507173</v>
      </c>
      <c r="V67" s="2312">
        <f t="shared" ref="V67:W67" si="4">SUM(V13:V65)</f>
        <v>841596668</v>
      </c>
      <c r="W67" s="2311">
        <f t="shared" si="4"/>
        <v>43650000</v>
      </c>
      <c r="X67" s="2309"/>
      <c r="Y67" s="2313"/>
      <c r="Z67" s="2314"/>
      <c r="AA67" s="2314"/>
      <c r="AB67" s="2314"/>
      <c r="AC67" s="2314"/>
      <c r="AD67" s="2314"/>
      <c r="AE67" s="2314"/>
      <c r="AF67" s="2314"/>
      <c r="AG67" s="2314"/>
      <c r="AH67" s="2314"/>
      <c r="AI67" s="2314"/>
      <c r="AJ67" s="2314"/>
      <c r="AK67" s="2314"/>
      <c r="AL67" s="2314"/>
      <c r="AM67" s="2314"/>
      <c r="AN67" s="2314"/>
      <c r="AO67" s="2314"/>
      <c r="AP67" s="2314"/>
      <c r="AQ67" s="2314"/>
      <c r="AR67" s="2314"/>
      <c r="AS67" s="2314"/>
      <c r="AT67" s="2314"/>
      <c r="AU67" s="2314"/>
      <c r="AV67" s="2314"/>
      <c r="AW67" s="2314"/>
      <c r="AX67" s="1161"/>
      <c r="AY67" s="2315">
        <f>SUM(AY13:AY65)</f>
        <v>841596668</v>
      </c>
      <c r="AZ67" s="2315">
        <f>SUM(AZ13:AZ65)</f>
        <v>43650000</v>
      </c>
      <c r="BA67" s="2316"/>
      <c r="BB67" s="2313"/>
      <c r="BC67" s="2313"/>
      <c r="BD67" s="987"/>
      <c r="BE67" s="987"/>
      <c r="BF67" s="987"/>
      <c r="BG67" s="987"/>
      <c r="BH67" s="1144"/>
    </row>
    <row r="74" spans="1:60" ht="15" x14ac:dyDescent="0.25">
      <c r="D74" s="2299" t="s">
        <v>2112</v>
      </c>
      <c r="E74" s="2299"/>
      <c r="F74" s="2299"/>
      <c r="G74" s="2299"/>
      <c r="H74" s="2299"/>
      <c r="I74" s="2318"/>
    </row>
    <row r="75" spans="1:60" x14ac:dyDescent="0.2">
      <c r="D75" s="38" t="s">
        <v>2113</v>
      </c>
    </row>
  </sheetData>
  <sheetProtection password="CBEB" sheet="1" objects="1" scenarios="1"/>
  <mergeCells count="399">
    <mergeCell ref="H7:H9"/>
    <mergeCell ref="I7:I9"/>
    <mergeCell ref="J7:J9"/>
    <mergeCell ref="K7:L8"/>
    <mergeCell ref="M7:M9"/>
    <mergeCell ref="N7:N9"/>
    <mergeCell ref="A7:A9"/>
    <mergeCell ref="B7:B9"/>
    <mergeCell ref="C7:C9"/>
    <mergeCell ref="D7:E9"/>
    <mergeCell ref="F7:F9"/>
    <mergeCell ref="G7:G9"/>
    <mergeCell ref="BD7:BE8"/>
    <mergeCell ref="BF7:BG8"/>
    <mergeCell ref="BH7:BH9"/>
    <mergeCell ref="Z8:AA8"/>
    <mergeCell ref="AB8:AC8"/>
    <mergeCell ref="AD8:AE8"/>
    <mergeCell ref="AF8:AG8"/>
    <mergeCell ref="AH8:AI8"/>
    <mergeCell ref="AJ8:AK8"/>
    <mergeCell ref="AL8:AM8"/>
    <mergeCell ref="Z7:AK7"/>
    <mergeCell ref="AL7:AW7"/>
    <mergeCell ref="AX7:BC7"/>
    <mergeCell ref="AN8:AO8"/>
    <mergeCell ref="AP8:AQ8"/>
    <mergeCell ref="AR8:AS8"/>
    <mergeCell ref="AT8:AU8"/>
    <mergeCell ref="BC8:BC9"/>
    <mergeCell ref="AV8:AW8"/>
    <mergeCell ref="AX8:AX9"/>
    <mergeCell ref="AY8:AY9"/>
    <mergeCell ref="AZ8:AZ9"/>
    <mergeCell ref="BA8:BA9"/>
    <mergeCell ref="BB8:BB9"/>
    <mergeCell ref="A11:A18"/>
    <mergeCell ref="D11:F11"/>
    <mergeCell ref="G12:K12"/>
    <mergeCell ref="M13:M18"/>
    <mergeCell ref="N13:N18"/>
    <mergeCell ref="O13:O18"/>
    <mergeCell ref="Q13:Q18"/>
    <mergeCell ref="R13:R18"/>
    <mergeCell ref="S13:S14"/>
    <mergeCell ref="U7:W8"/>
    <mergeCell ref="X7:X9"/>
    <mergeCell ref="Y7:Y9"/>
    <mergeCell ref="O7:O9"/>
    <mergeCell ref="P7:P9"/>
    <mergeCell ref="Q7:Q9"/>
    <mergeCell ref="R7:R9"/>
    <mergeCell ref="S7:S9"/>
    <mergeCell ref="AH13:AH18"/>
    <mergeCell ref="T7:T9"/>
    <mergeCell ref="AI13:AI18"/>
    <mergeCell ref="AJ13:AJ18"/>
    <mergeCell ref="AK13:AK18"/>
    <mergeCell ref="Z13:Z18"/>
    <mergeCell ref="AA13:AA18"/>
    <mergeCell ref="AB13:AB18"/>
    <mergeCell ref="AC13:AC18"/>
    <mergeCell ref="AD13:AD18"/>
    <mergeCell ref="AE13:AE18"/>
    <mergeCell ref="BH13:BH18"/>
    <mergeCell ref="S15:S18"/>
    <mergeCell ref="G19:I19"/>
    <mergeCell ref="A20:A21"/>
    <mergeCell ref="M20:M21"/>
    <mergeCell ref="N20:N21"/>
    <mergeCell ref="O20:O21"/>
    <mergeCell ref="Q20:Q21"/>
    <mergeCell ref="R20:R21"/>
    <mergeCell ref="S20:S21"/>
    <mergeCell ref="AR13:AR18"/>
    <mergeCell ref="AS13:AS18"/>
    <mergeCell ref="AT13:AT18"/>
    <mergeCell ref="AU13:AU18"/>
    <mergeCell ref="AV13:AV18"/>
    <mergeCell ref="AW13:AW18"/>
    <mergeCell ref="AL13:AL18"/>
    <mergeCell ref="AM13:AM18"/>
    <mergeCell ref="AN13:AN18"/>
    <mergeCell ref="AO13:AO18"/>
    <mergeCell ref="AP13:AP18"/>
    <mergeCell ref="AQ13:AQ18"/>
    <mergeCell ref="AF13:AF18"/>
    <mergeCell ref="AG13:AG18"/>
    <mergeCell ref="AG20:AG21"/>
    <mergeCell ref="AH20:AH21"/>
    <mergeCell ref="AI20:AI21"/>
    <mergeCell ref="AJ20:AJ21"/>
    <mergeCell ref="AK20:AK21"/>
    <mergeCell ref="AL20:AL21"/>
    <mergeCell ref="Z20:Z21"/>
    <mergeCell ref="AB20:AB21"/>
    <mergeCell ref="AC20:AC21"/>
    <mergeCell ref="AD20:AD21"/>
    <mergeCell ref="AE20:AE21"/>
    <mergeCell ref="AF20:AF21"/>
    <mergeCell ref="AS20:AS21"/>
    <mergeCell ref="AT20:AT21"/>
    <mergeCell ref="AU20:AU21"/>
    <mergeCell ref="AV20:AV21"/>
    <mergeCell ref="AW20:AW21"/>
    <mergeCell ref="BH20:BH21"/>
    <mergeCell ref="AM20:AM21"/>
    <mergeCell ref="AN20:AN21"/>
    <mergeCell ref="AO20:AO21"/>
    <mergeCell ref="AP20:AP21"/>
    <mergeCell ref="AQ20:AQ21"/>
    <mergeCell ref="AR20:AR21"/>
    <mergeCell ref="M23:M25"/>
    <mergeCell ref="N23:N25"/>
    <mergeCell ref="O23:O25"/>
    <mergeCell ref="P23:P25"/>
    <mergeCell ref="Q23:Q25"/>
    <mergeCell ref="R23:R25"/>
    <mergeCell ref="A23:A25"/>
    <mergeCell ref="H23:H25"/>
    <mergeCell ref="I23:I25"/>
    <mergeCell ref="J23:J25"/>
    <mergeCell ref="K23:K25"/>
    <mergeCell ref="L23:L25"/>
    <mergeCell ref="AE23:AE25"/>
    <mergeCell ref="AF23:AF25"/>
    <mergeCell ref="AG23:AG25"/>
    <mergeCell ref="AH23:AH25"/>
    <mergeCell ref="AI23:AI25"/>
    <mergeCell ref="AJ23:AJ25"/>
    <mergeCell ref="S23:S25"/>
    <mergeCell ref="Z23:Z25"/>
    <mergeCell ref="AA23:AA25"/>
    <mergeCell ref="AB23:AB25"/>
    <mergeCell ref="AC23:AC25"/>
    <mergeCell ref="AD23:AD25"/>
    <mergeCell ref="AQ23:AQ25"/>
    <mergeCell ref="AR23:AR25"/>
    <mergeCell ref="AS23:AS25"/>
    <mergeCell ref="AT23:AT25"/>
    <mergeCell ref="AU23:AU25"/>
    <mergeCell ref="AV23:AV25"/>
    <mergeCell ref="AK23:AK25"/>
    <mergeCell ref="AL23:AL25"/>
    <mergeCell ref="AM23:AM25"/>
    <mergeCell ref="AN23:AN25"/>
    <mergeCell ref="AO23:AO25"/>
    <mergeCell ref="AP23:AP25"/>
    <mergeCell ref="BC23:BC25"/>
    <mergeCell ref="BD23:BD25"/>
    <mergeCell ref="BE23:BE25"/>
    <mergeCell ref="BF23:BF25"/>
    <mergeCell ref="BG23:BG25"/>
    <mergeCell ref="BH23:BH25"/>
    <mergeCell ref="AW23:AW25"/>
    <mergeCell ref="AX23:AX25"/>
    <mergeCell ref="AY23:AY25"/>
    <mergeCell ref="AZ23:AZ25"/>
    <mergeCell ref="BA23:BA25"/>
    <mergeCell ref="BB23:BB25"/>
    <mergeCell ref="M26:M31"/>
    <mergeCell ref="N26:N31"/>
    <mergeCell ref="O26:O31"/>
    <mergeCell ref="P26:P27"/>
    <mergeCell ref="Q26:Q31"/>
    <mergeCell ref="R26:R31"/>
    <mergeCell ref="A26:A31"/>
    <mergeCell ref="H26:H27"/>
    <mergeCell ref="I26:I27"/>
    <mergeCell ref="J26:J27"/>
    <mergeCell ref="K26:K27"/>
    <mergeCell ref="L26:L27"/>
    <mergeCell ref="AG26:AG31"/>
    <mergeCell ref="AH26:AH27"/>
    <mergeCell ref="AI26:AI31"/>
    <mergeCell ref="AJ26:AJ27"/>
    <mergeCell ref="S26:S29"/>
    <mergeCell ref="Z26:Z31"/>
    <mergeCell ref="AA26:AA31"/>
    <mergeCell ref="AB26:AB31"/>
    <mergeCell ref="AC26:AC31"/>
    <mergeCell ref="AD26:AD31"/>
    <mergeCell ref="AW26:AW31"/>
    <mergeCell ref="BH26:BH31"/>
    <mergeCell ref="AN28:AN33"/>
    <mergeCell ref="A33:A41"/>
    <mergeCell ref="D33:I33"/>
    <mergeCell ref="G34:L34"/>
    <mergeCell ref="M35:M41"/>
    <mergeCell ref="N35:N41"/>
    <mergeCell ref="O35:O41"/>
    <mergeCell ref="Q35:Q41"/>
    <mergeCell ref="AQ26:AQ31"/>
    <mergeCell ref="AR26:AR31"/>
    <mergeCell ref="AS26:AS31"/>
    <mergeCell ref="AT26:AT31"/>
    <mergeCell ref="AU26:AU31"/>
    <mergeCell ref="AV26:AV31"/>
    <mergeCell ref="AK26:AK31"/>
    <mergeCell ref="AL26:AL31"/>
    <mergeCell ref="AM26:AM31"/>
    <mergeCell ref="AN26:AN27"/>
    <mergeCell ref="AO26:AO31"/>
    <mergeCell ref="AP26:AP31"/>
    <mergeCell ref="AE26:AE31"/>
    <mergeCell ref="AF26:AF27"/>
    <mergeCell ref="BH35:BH41"/>
    <mergeCell ref="H36:H37"/>
    <mergeCell ref="I36:I37"/>
    <mergeCell ref="J36:J37"/>
    <mergeCell ref="K36:K37"/>
    <mergeCell ref="L36:L37"/>
    <mergeCell ref="P36:P37"/>
    <mergeCell ref="AX36:AX37"/>
    <mergeCell ref="AP35:AP41"/>
    <mergeCell ref="AQ35:AQ41"/>
    <mergeCell ref="AR35:AR41"/>
    <mergeCell ref="AS35:AS41"/>
    <mergeCell ref="AT35:AT41"/>
    <mergeCell ref="AU35:AU41"/>
    <mergeCell ref="AJ35:AJ41"/>
    <mergeCell ref="AK35:AK41"/>
    <mergeCell ref="AL35:AL41"/>
    <mergeCell ref="AM35:AM41"/>
    <mergeCell ref="AN35:AN41"/>
    <mergeCell ref="AO35:AO41"/>
    <mergeCell ref="AD35:AD41"/>
    <mergeCell ref="AE35:AE41"/>
    <mergeCell ref="AF35:AF41"/>
    <mergeCell ref="AG35:AG41"/>
    <mergeCell ref="BC36:BC37"/>
    <mergeCell ref="BD36:BD37"/>
    <mergeCell ref="AV35:AV41"/>
    <mergeCell ref="AW35:AW41"/>
    <mergeCell ref="AH35:AH41"/>
    <mergeCell ref="AI35:AI41"/>
    <mergeCell ref="R35:R41"/>
    <mergeCell ref="S35:S37"/>
    <mergeCell ref="Z35:Z41"/>
    <mergeCell ref="AA35:AA41"/>
    <mergeCell ref="BD38:BD40"/>
    <mergeCell ref="J38:J40"/>
    <mergeCell ref="K38:K40"/>
    <mergeCell ref="L38:L40"/>
    <mergeCell ref="P38:P40"/>
    <mergeCell ref="W38:W40"/>
    <mergeCell ref="AY36:AY37"/>
    <mergeCell ref="AZ36:AZ37"/>
    <mergeCell ref="BA36:BA37"/>
    <mergeCell ref="BB36:BB37"/>
    <mergeCell ref="BE38:BE40"/>
    <mergeCell ref="BF38:BF40"/>
    <mergeCell ref="BG38:BG40"/>
    <mergeCell ref="A43:A46"/>
    <mergeCell ref="M43:M46"/>
    <mergeCell ref="N43:N46"/>
    <mergeCell ref="O43:O46"/>
    <mergeCell ref="Q43:Q46"/>
    <mergeCell ref="R43:R46"/>
    <mergeCell ref="AX38:AX40"/>
    <mergeCell ref="AY38:AY40"/>
    <mergeCell ref="AZ38:AZ40"/>
    <mergeCell ref="BA38:BA40"/>
    <mergeCell ref="BB38:BB40"/>
    <mergeCell ref="BC38:BC40"/>
    <mergeCell ref="AB35:AB41"/>
    <mergeCell ref="AC35:AC41"/>
    <mergeCell ref="AV43:AV46"/>
    <mergeCell ref="AW43:AW46"/>
    <mergeCell ref="BE36:BE37"/>
    <mergeCell ref="BF36:BF37"/>
    <mergeCell ref="BG36:BG37"/>
    <mergeCell ref="H38:H40"/>
    <mergeCell ref="I38:I40"/>
    <mergeCell ref="BH43:BH46"/>
    <mergeCell ref="AM43:AM46"/>
    <mergeCell ref="AN43:AN46"/>
    <mergeCell ref="AO43:AO46"/>
    <mergeCell ref="AP43:AP46"/>
    <mergeCell ref="AQ43:AQ46"/>
    <mergeCell ref="AR43:AR46"/>
    <mergeCell ref="B47:C47"/>
    <mergeCell ref="B48:C48"/>
    <mergeCell ref="AA43:AA46"/>
    <mergeCell ref="AB43:AB46"/>
    <mergeCell ref="AC43:AC46"/>
    <mergeCell ref="AD43:AD46"/>
    <mergeCell ref="AE43:AE46"/>
    <mergeCell ref="AF43:AF46"/>
    <mergeCell ref="AF50:AF53"/>
    <mergeCell ref="AG50:AG53"/>
    <mergeCell ref="AH50:AH53"/>
    <mergeCell ref="AS43:AS46"/>
    <mergeCell ref="AT43:AT46"/>
    <mergeCell ref="AU43:AU46"/>
    <mergeCell ref="AG43:AG46"/>
    <mergeCell ref="AH43:AH46"/>
    <mergeCell ref="AI43:AI46"/>
    <mergeCell ref="AJ43:AJ46"/>
    <mergeCell ref="AK43:AK46"/>
    <mergeCell ref="AL43:AL46"/>
    <mergeCell ref="AV50:AV53"/>
    <mergeCell ref="AW50:AW53"/>
    <mergeCell ref="BH50:BH53"/>
    <mergeCell ref="A55:A57"/>
    <mergeCell ref="M55:M57"/>
    <mergeCell ref="N55:N57"/>
    <mergeCell ref="O55:O57"/>
    <mergeCell ref="Q55:Q57"/>
    <mergeCell ref="R55:R57"/>
    <mergeCell ref="Z55:Z57"/>
    <mergeCell ref="AP50:AP53"/>
    <mergeCell ref="AQ50:AQ53"/>
    <mergeCell ref="AR50:AR53"/>
    <mergeCell ref="AS50:AS53"/>
    <mergeCell ref="AT50:AT53"/>
    <mergeCell ref="AU50:AU53"/>
    <mergeCell ref="AJ50:AJ53"/>
    <mergeCell ref="AK50:AK53"/>
    <mergeCell ref="AL50:AL53"/>
    <mergeCell ref="A50:A53"/>
    <mergeCell ref="M50:M53"/>
    <mergeCell ref="N50:N53"/>
    <mergeCell ref="O50:O53"/>
    <mergeCell ref="AI50:AI53"/>
    <mergeCell ref="AV55:AV57"/>
    <mergeCell ref="AW55:AW57"/>
    <mergeCell ref="BH55:BH57"/>
    <mergeCell ref="AM55:AM57"/>
    <mergeCell ref="AN55:AN57"/>
    <mergeCell ref="AO55:AO57"/>
    <mergeCell ref="AP55:AP57"/>
    <mergeCell ref="AQ55:AQ57"/>
    <mergeCell ref="AR55:AR57"/>
    <mergeCell ref="AU55:AU57"/>
    <mergeCell ref="A61:A65"/>
    <mergeCell ref="M61:M65"/>
    <mergeCell ref="N61:N65"/>
    <mergeCell ref="O61:O65"/>
    <mergeCell ref="Q61:Q65"/>
    <mergeCell ref="AM50:AM53"/>
    <mergeCell ref="AN50:AN53"/>
    <mergeCell ref="AO50:AO53"/>
    <mergeCell ref="AD50:AD53"/>
    <mergeCell ref="AE50:AE53"/>
    <mergeCell ref="AG55:AG57"/>
    <mergeCell ref="AH55:AH57"/>
    <mergeCell ref="AI55:AI57"/>
    <mergeCell ref="AJ55:AJ57"/>
    <mergeCell ref="AK55:AK57"/>
    <mergeCell ref="AL55:AL57"/>
    <mergeCell ref="R50:R53"/>
    <mergeCell ref="Z50:Z53"/>
    <mergeCell ref="AA50:AA53"/>
    <mergeCell ref="AB50:AB53"/>
    <mergeCell ref="AC50:AC53"/>
    <mergeCell ref="Q50:Q53"/>
    <mergeCell ref="Z61:Z65"/>
    <mergeCell ref="S56:S57"/>
    <mergeCell ref="AQ61:AQ65"/>
    <mergeCell ref="AF61:AF65"/>
    <mergeCell ref="AG61:AG65"/>
    <mergeCell ref="AH61:AH65"/>
    <mergeCell ref="AI61:AI65"/>
    <mergeCell ref="AA61:AA65"/>
    <mergeCell ref="AB61:AB65"/>
    <mergeCell ref="AC61:AC65"/>
    <mergeCell ref="AD61:AD65"/>
    <mergeCell ref="AE61:AE65"/>
    <mergeCell ref="AA55:AA57"/>
    <mergeCell ref="AB55:AB57"/>
    <mergeCell ref="AC55:AC57"/>
    <mergeCell ref="AD55:AD57"/>
    <mergeCell ref="AE55:AE57"/>
    <mergeCell ref="AF55:AF57"/>
    <mergeCell ref="BH61:BH65"/>
    <mergeCell ref="A1:BF2"/>
    <mergeCell ref="A3:BF3"/>
    <mergeCell ref="A4:BF4"/>
    <mergeCell ref="A5:L6"/>
    <mergeCell ref="M5:Y6"/>
    <mergeCell ref="Z5:AW6"/>
    <mergeCell ref="AX5:BH6"/>
    <mergeCell ref="AR61:AR65"/>
    <mergeCell ref="AS61:AS65"/>
    <mergeCell ref="AT61:AT65"/>
    <mergeCell ref="AU61:AU65"/>
    <mergeCell ref="AV61:AV65"/>
    <mergeCell ref="AW61:AW65"/>
    <mergeCell ref="AL61:AL65"/>
    <mergeCell ref="AM61:AM65"/>
    <mergeCell ref="AN61:AN65"/>
    <mergeCell ref="AO61:AO65"/>
    <mergeCell ref="AP61:AP65"/>
    <mergeCell ref="R61:R65"/>
    <mergeCell ref="AS55:AS57"/>
    <mergeCell ref="AT55:AT57"/>
    <mergeCell ref="AJ61:AJ65"/>
    <mergeCell ref="AK61:AK65"/>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BT44"/>
  <sheetViews>
    <sheetView showGridLines="0" zoomScale="60" zoomScaleNormal="60" workbookViewId="0">
      <selection sqref="A1:BF2"/>
    </sheetView>
  </sheetViews>
  <sheetFormatPr baseColWidth="10" defaultColWidth="11.42578125" defaultRowHeight="14.25" x14ac:dyDescent="0.2"/>
  <cols>
    <col min="1" max="1" width="11" style="38" customWidth="1"/>
    <col min="2" max="2" width="16.5703125" style="38" bestFit="1" customWidth="1"/>
    <col min="3" max="3" width="11.5703125" style="38" bestFit="1" customWidth="1"/>
    <col min="4" max="4" width="17.140625" style="38" customWidth="1"/>
    <col min="5" max="5" width="11.42578125" style="38" hidden="1" customWidth="1"/>
    <col min="6" max="6" width="10.5703125" style="38" customWidth="1"/>
    <col min="7" max="7" width="20.5703125" style="38" customWidth="1"/>
    <col min="8" max="8" width="14.42578125" style="38" customWidth="1"/>
    <col min="9" max="9" width="19" style="38" customWidth="1"/>
    <col min="10" max="10" width="14.85546875" style="38" customWidth="1"/>
    <col min="11" max="11" width="12.5703125" style="38" customWidth="1"/>
    <col min="12" max="12" width="12.5703125" style="744" customWidth="1"/>
    <col min="13" max="13" width="21.42578125" style="38" customWidth="1"/>
    <col min="14" max="14" width="11.7109375" style="38" customWidth="1"/>
    <col min="15" max="15" width="21.5703125" style="38" customWidth="1"/>
    <col min="16" max="16" width="11.5703125" style="38" bestFit="1" customWidth="1"/>
    <col min="17" max="17" width="24.42578125" style="749" customWidth="1"/>
    <col min="18" max="18" width="26.85546875" style="38" customWidth="1"/>
    <col min="19" max="19" width="27.42578125" style="38" customWidth="1"/>
    <col min="20" max="20" width="25" style="746" customWidth="1"/>
    <col min="21" max="21" width="24.42578125" style="1586" customWidth="1"/>
    <col min="22" max="22" width="24.42578125" style="1587" customWidth="1"/>
    <col min="23" max="23" width="24.42578125" style="1588" customWidth="1"/>
    <col min="24" max="24" width="14.7109375" style="38" customWidth="1"/>
    <col min="25" max="25" width="16.140625" style="38" customWidth="1"/>
    <col min="26" max="26" width="12.7109375" style="38" customWidth="1"/>
    <col min="27" max="27" width="12.7109375" style="744" customWidth="1"/>
    <col min="28" max="28" width="11.42578125" style="38"/>
    <col min="29" max="29" width="11.42578125" style="746"/>
    <col min="30" max="30" width="11.5703125" style="38" bestFit="1" customWidth="1"/>
    <col min="31" max="31" width="11.5703125" style="746" customWidth="1"/>
    <col min="32" max="32" width="11.5703125" style="38" bestFit="1" customWidth="1"/>
    <col min="33" max="33" width="11.5703125" style="1012" customWidth="1"/>
    <col min="34" max="34" width="11.42578125" style="38" customWidth="1"/>
    <col min="35" max="35" width="11.42578125" style="1589" customWidth="1"/>
    <col min="36" max="36" width="11.5703125" style="38" bestFit="1" customWidth="1"/>
    <col min="37" max="37" width="11.5703125" style="1589" customWidth="1"/>
    <col min="38" max="38" width="11.5703125" style="38" bestFit="1" customWidth="1"/>
    <col min="39" max="39" width="11.5703125" style="1589" customWidth="1"/>
    <col min="40" max="40" width="11.5703125" style="38" bestFit="1" customWidth="1"/>
    <col min="41" max="41" width="11.5703125" style="1589" customWidth="1"/>
    <col min="42" max="42" width="11.42578125" style="38"/>
    <col min="43" max="43" width="11.42578125" style="1589"/>
    <col min="44" max="44" width="11.42578125" style="38"/>
    <col min="45" max="45" width="11.42578125" style="1589"/>
    <col min="46" max="46" width="11.42578125" style="38"/>
    <col min="47" max="47" width="11.42578125" style="1589"/>
    <col min="48" max="48" width="11.5703125" style="38" bestFit="1" customWidth="1"/>
    <col min="49" max="49" width="11.5703125" style="1589" customWidth="1"/>
    <col min="50" max="50" width="21" style="744" customWidth="1"/>
    <col min="51" max="52" width="21" style="1587" customWidth="1"/>
    <col min="53" max="53" width="21" style="744" customWidth="1"/>
    <col min="54" max="54" width="21" style="451" customWidth="1"/>
    <col min="55" max="55" width="21" style="450" customWidth="1"/>
    <col min="56" max="59" width="22.7109375" style="744" customWidth="1"/>
    <col min="60" max="60" width="28.7109375" style="192" customWidth="1"/>
    <col min="61" max="16384" width="11.42578125" style="38"/>
  </cols>
  <sheetData>
    <row r="1" spans="1:72" ht="15" customHeight="1" x14ac:dyDescent="0.2">
      <c r="A1" s="3596" t="s">
        <v>141</v>
      </c>
      <c r="B1" s="3596"/>
      <c r="C1" s="3596"/>
      <c r="D1" s="3596"/>
      <c r="E1" s="3596"/>
      <c r="F1" s="3596"/>
      <c r="G1" s="3596"/>
      <c r="H1" s="3596"/>
      <c r="I1" s="3596"/>
      <c r="J1" s="3596"/>
      <c r="K1" s="3596"/>
      <c r="L1" s="3596"/>
      <c r="M1" s="3596"/>
      <c r="N1" s="3596"/>
      <c r="O1" s="3596"/>
      <c r="P1" s="3596"/>
      <c r="Q1" s="3596"/>
      <c r="R1" s="3596"/>
      <c r="S1" s="3596"/>
      <c r="T1" s="3596"/>
      <c r="U1" s="3596"/>
      <c r="V1" s="3596"/>
      <c r="W1" s="3596"/>
      <c r="X1" s="3596"/>
      <c r="Y1" s="3596"/>
      <c r="Z1" s="3596"/>
      <c r="AA1" s="3596"/>
      <c r="AB1" s="3596"/>
      <c r="AC1" s="3596"/>
      <c r="AD1" s="3596"/>
      <c r="AE1" s="3596"/>
      <c r="AF1" s="3596"/>
      <c r="AG1" s="3596"/>
      <c r="AH1" s="3596"/>
      <c r="AI1" s="3596"/>
      <c r="AJ1" s="3596"/>
      <c r="AK1" s="3596"/>
      <c r="AL1" s="3596"/>
      <c r="AM1" s="3596"/>
      <c r="AN1" s="3596"/>
      <c r="AO1" s="3596"/>
      <c r="AP1" s="3596"/>
      <c r="AQ1" s="3596"/>
      <c r="AR1" s="3596"/>
      <c r="AS1" s="3596"/>
      <c r="AT1" s="3596"/>
      <c r="AU1" s="3596"/>
      <c r="AV1" s="3596"/>
      <c r="AW1" s="3596"/>
      <c r="AX1" s="3596"/>
      <c r="AY1" s="3596"/>
      <c r="AZ1" s="3596"/>
      <c r="BA1" s="3596"/>
      <c r="BB1" s="3596"/>
      <c r="BC1" s="3596"/>
      <c r="BD1" s="3596"/>
      <c r="BE1" s="3596"/>
      <c r="BF1" s="3597"/>
      <c r="BG1" s="1020" t="s">
        <v>0</v>
      </c>
      <c r="BH1" s="1020" t="s">
        <v>1</v>
      </c>
    </row>
    <row r="2" spans="1:72" ht="15" x14ac:dyDescent="0.2">
      <c r="A2" s="3596"/>
      <c r="B2" s="3596"/>
      <c r="C2" s="3596"/>
      <c r="D2" s="3596"/>
      <c r="E2" s="3596"/>
      <c r="F2" s="3596"/>
      <c r="G2" s="3596"/>
      <c r="H2" s="3596"/>
      <c r="I2" s="3596"/>
      <c r="J2" s="3596"/>
      <c r="K2" s="3596"/>
      <c r="L2" s="3596"/>
      <c r="M2" s="3596"/>
      <c r="N2" s="3596"/>
      <c r="O2" s="3596"/>
      <c r="P2" s="3596"/>
      <c r="Q2" s="3596"/>
      <c r="R2" s="3596"/>
      <c r="S2" s="3596"/>
      <c r="T2" s="3596"/>
      <c r="U2" s="3596"/>
      <c r="V2" s="3596"/>
      <c r="W2" s="3596"/>
      <c r="X2" s="3596"/>
      <c r="Y2" s="3596"/>
      <c r="Z2" s="3596"/>
      <c r="AA2" s="3596"/>
      <c r="AB2" s="3596"/>
      <c r="AC2" s="3596"/>
      <c r="AD2" s="3596"/>
      <c r="AE2" s="3596"/>
      <c r="AF2" s="3596"/>
      <c r="AG2" s="3596"/>
      <c r="AH2" s="3596"/>
      <c r="AI2" s="3596"/>
      <c r="AJ2" s="3596"/>
      <c r="AK2" s="3596"/>
      <c r="AL2" s="3596"/>
      <c r="AM2" s="3596"/>
      <c r="AN2" s="3596"/>
      <c r="AO2" s="3596"/>
      <c r="AP2" s="3596"/>
      <c r="AQ2" s="3596"/>
      <c r="AR2" s="3596"/>
      <c r="AS2" s="3596"/>
      <c r="AT2" s="3596"/>
      <c r="AU2" s="3596"/>
      <c r="AV2" s="3596"/>
      <c r="AW2" s="3596"/>
      <c r="AX2" s="3596"/>
      <c r="AY2" s="3596"/>
      <c r="AZ2" s="3596"/>
      <c r="BA2" s="3596"/>
      <c r="BB2" s="3596"/>
      <c r="BC2" s="3596"/>
      <c r="BD2" s="3596"/>
      <c r="BE2" s="3596"/>
      <c r="BF2" s="3597"/>
      <c r="BG2" s="1516" t="s">
        <v>2</v>
      </c>
      <c r="BH2" s="1517">
        <v>5</v>
      </c>
    </row>
    <row r="3" spans="1:72" ht="21" customHeight="1" x14ac:dyDescent="0.2">
      <c r="A3" s="3596" t="s">
        <v>245</v>
      </c>
      <c r="B3" s="3596"/>
      <c r="C3" s="3596"/>
      <c r="D3" s="3596"/>
      <c r="E3" s="3596"/>
      <c r="F3" s="3596"/>
      <c r="G3" s="3596"/>
      <c r="H3" s="3596"/>
      <c r="I3" s="3596"/>
      <c r="J3" s="3596"/>
      <c r="K3" s="3596"/>
      <c r="L3" s="3596"/>
      <c r="M3" s="3596"/>
      <c r="N3" s="3596"/>
      <c r="O3" s="3596"/>
      <c r="P3" s="3596"/>
      <c r="Q3" s="3596"/>
      <c r="R3" s="3596"/>
      <c r="S3" s="3596"/>
      <c r="T3" s="3596"/>
      <c r="U3" s="3596"/>
      <c r="V3" s="3596"/>
      <c r="W3" s="3596"/>
      <c r="X3" s="3596"/>
      <c r="Y3" s="3596"/>
      <c r="Z3" s="3596"/>
      <c r="AA3" s="3596"/>
      <c r="AB3" s="3596"/>
      <c r="AC3" s="3596"/>
      <c r="AD3" s="3596"/>
      <c r="AE3" s="3596"/>
      <c r="AF3" s="3596"/>
      <c r="AG3" s="3596"/>
      <c r="AH3" s="3596"/>
      <c r="AI3" s="3596"/>
      <c r="AJ3" s="3596"/>
      <c r="AK3" s="3596"/>
      <c r="AL3" s="3596"/>
      <c r="AM3" s="3596"/>
      <c r="AN3" s="3596"/>
      <c r="AO3" s="3596"/>
      <c r="AP3" s="3596"/>
      <c r="AQ3" s="3596"/>
      <c r="AR3" s="3596"/>
      <c r="AS3" s="3596"/>
      <c r="AT3" s="3596"/>
      <c r="AU3" s="3596"/>
      <c r="AV3" s="3596"/>
      <c r="AW3" s="3596"/>
      <c r="AX3" s="3596"/>
      <c r="AY3" s="3596"/>
      <c r="AZ3" s="3596"/>
      <c r="BA3" s="3596"/>
      <c r="BB3" s="3596"/>
      <c r="BC3" s="3596"/>
      <c r="BD3" s="3596"/>
      <c r="BE3" s="3596"/>
      <c r="BF3" s="3597"/>
      <c r="BG3" s="1020" t="s">
        <v>3</v>
      </c>
      <c r="BH3" s="1518" t="s">
        <v>4</v>
      </c>
    </row>
    <row r="4" spans="1:72" s="40" customFormat="1" ht="21" customHeight="1" x14ac:dyDescent="0.2">
      <c r="A4" s="3598" t="s">
        <v>139</v>
      </c>
      <c r="B4" s="3598"/>
      <c r="C4" s="3598"/>
      <c r="D4" s="3598"/>
      <c r="E4" s="3598"/>
      <c r="F4" s="3598"/>
      <c r="G4" s="3598"/>
      <c r="H4" s="3598"/>
      <c r="I4" s="3598"/>
      <c r="J4" s="3598"/>
      <c r="K4" s="3598"/>
      <c r="L4" s="3598"/>
      <c r="M4" s="3598"/>
      <c r="N4" s="3598"/>
      <c r="O4" s="3598"/>
      <c r="P4" s="3598"/>
      <c r="Q4" s="3598"/>
      <c r="R4" s="3598"/>
      <c r="S4" s="3598"/>
      <c r="T4" s="3598"/>
      <c r="U4" s="3598"/>
      <c r="V4" s="3598"/>
      <c r="W4" s="3598"/>
      <c r="X4" s="3598"/>
      <c r="Y4" s="3598"/>
      <c r="Z4" s="3598"/>
      <c r="AA4" s="3598"/>
      <c r="AB4" s="3598"/>
      <c r="AC4" s="3598"/>
      <c r="AD4" s="3598"/>
      <c r="AE4" s="3598"/>
      <c r="AF4" s="3598"/>
      <c r="AG4" s="3598"/>
      <c r="AH4" s="3598"/>
      <c r="AI4" s="3598"/>
      <c r="AJ4" s="3598"/>
      <c r="AK4" s="3598"/>
      <c r="AL4" s="3598"/>
      <c r="AM4" s="3598"/>
      <c r="AN4" s="3598"/>
      <c r="AO4" s="3598"/>
      <c r="AP4" s="3598"/>
      <c r="AQ4" s="3598"/>
      <c r="AR4" s="3598"/>
      <c r="AS4" s="3598"/>
      <c r="AT4" s="3598"/>
      <c r="AU4" s="3598"/>
      <c r="AV4" s="3598"/>
      <c r="AW4" s="3598"/>
      <c r="AX4" s="3598"/>
      <c r="AY4" s="3598"/>
      <c r="AZ4" s="3598"/>
      <c r="BA4" s="3598"/>
      <c r="BB4" s="3598"/>
      <c r="BC4" s="3598"/>
      <c r="BD4" s="3598"/>
      <c r="BE4" s="3598"/>
      <c r="BF4" s="3599"/>
      <c r="BG4" s="1020" t="s">
        <v>5</v>
      </c>
      <c r="BH4" s="1021" t="s">
        <v>6</v>
      </c>
    </row>
    <row r="5" spans="1:72" ht="15" customHeight="1" x14ac:dyDescent="0.2">
      <c r="A5" s="3600" t="s">
        <v>7</v>
      </c>
      <c r="B5" s="3592"/>
      <c r="C5" s="3592"/>
      <c r="D5" s="3592"/>
      <c r="E5" s="3592"/>
      <c r="F5" s="3592"/>
      <c r="G5" s="3592"/>
      <c r="H5" s="3592"/>
      <c r="I5" s="3592"/>
      <c r="J5" s="3592"/>
      <c r="K5" s="3592"/>
      <c r="L5" s="3593"/>
      <c r="M5" s="3600" t="s">
        <v>8</v>
      </c>
      <c r="N5" s="3592"/>
      <c r="O5" s="3592"/>
      <c r="P5" s="3592"/>
      <c r="Q5" s="3592"/>
      <c r="R5" s="3592"/>
      <c r="S5" s="3592"/>
      <c r="T5" s="3592"/>
      <c r="U5" s="3592"/>
      <c r="V5" s="3592"/>
      <c r="W5" s="3592"/>
      <c r="X5" s="3592"/>
      <c r="Y5" s="3593"/>
      <c r="Z5" s="3600" t="s">
        <v>9</v>
      </c>
      <c r="AA5" s="3592"/>
      <c r="AB5" s="3592"/>
      <c r="AC5" s="3592"/>
      <c r="AD5" s="3592"/>
      <c r="AE5" s="3592"/>
      <c r="AF5" s="3592"/>
      <c r="AG5" s="3592"/>
      <c r="AH5" s="3592"/>
      <c r="AI5" s="3592"/>
      <c r="AJ5" s="3592"/>
      <c r="AK5" s="3592"/>
      <c r="AL5" s="3592"/>
      <c r="AM5" s="3592"/>
      <c r="AN5" s="3592"/>
      <c r="AO5" s="3592"/>
      <c r="AP5" s="3592"/>
      <c r="AQ5" s="3592"/>
      <c r="AR5" s="3592"/>
      <c r="AS5" s="3592"/>
      <c r="AT5" s="3592"/>
      <c r="AU5" s="3592"/>
      <c r="AV5" s="3592"/>
      <c r="AW5" s="3592"/>
      <c r="AX5" s="3592"/>
      <c r="AY5" s="3592"/>
      <c r="AZ5" s="3592"/>
      <c r="BA5" s="3592"/>
      <c r="BB5" s="3592"/>
      <c r="BC5" s="3592"/>
      <c r="BD5" s="3592"/>
      <c r="BE5" s="3592"/>
      <c r="BF5" s="3592"/>
      <c r="BG5" s="3592"/>
      <c r="BH5" s="3593"/>
    </row>
    <row r="6" spans="1:72" ht="14.45" customHeight="1" thickBot="1" x14ac:dyDescent="0.25">
      <c r="A6" s="3601"/>
      <c r="B6" s="3602"/>
      <c r="C6" s="3602"/>
      <c r="D6" s="3602"/>
      <c r="E6" s="3602"/>
      <c r="F6" s="3602"/>
      <c r="G6" s="3602"/>
      <c r="H6" s="3602"/>
      <c r="I6" s="3602"/>
      <c r="J6" s="3602"/>
      <c r="K6" s="3602"/>
      <c r="L6" s="3603"/>
      <c r="M6" s="3601"/>
      <c r="N6" s="3602"/>
      <c r="O6" s="3602"/>
      <c r="P6" s="3602"/>
      <c r="Q6" s="3602"/>
      <c r="R6" s="3602"/>
      <c r="S6" s="3602"/>
      <c r="T6" s="3602"/>
      <c r="U6" s="3602"/>
      <c r="V6" s="3602"/>
      <c r="W6" s="3602"/>
      <c r="X6" s="3602"/>
      <c r="Y6" s="3603"/>
      <c r="Z6" s="3601"/>
      <c r="AA6" s="3602"/>
      <c r="AB6" s="3602"/>
      <c r="AC6" s="3602"/>
      <c r="AD6" s="3602"/>
      <c r="AE6" s="3602"/>
      <c r="AF6" s="3602"/>
      <c r="AG6" s="3602"/>
      <c r="AH6" s="3602"/>
      <c r="AI6" s="3602"/>
      <c r="AJ6" s="3602"/>
      <c r="AK6" s="3602"/>
      <c r="AL6" s="3602"/>
      <c r="AM6" s="3602"/>
      <c r="AN6" s="3602"/>
      <c r="AO6" s="3602"/>
      <c r="AP6" s="3602"/>
      <c r="AQ6" s="3602"/>
      <c r="AR6" s="3602"/>
      <c r="AS6" s="3602"/>
      <c r="AT6" s="3602"/>
      <c r="AU6" s="3602"/>
      <c r="AV6" s="3602"/>
      <c r="AW6" s="3602"/>
      <c r="AX6" s="3594"/>
      <c r="AY6" s="3594"/>
      <c r="AZ6" s="3594"/>
      <c r="BA6" s="3594"/>
      <c r="BB6" s="3594"/>
      <c r="BC6" s="3594"/>
      <c r="BD6" s="3594"/>
      <c r="BE6" s="3594"/>
      <c r="BF6" s="3594"/>
      <c r="BG6" s="3594"/>
      <c r="BH6" s="3595"/>
    </row>
    <row r="7" spans="1:72" ht="22.5" customHeight="1" x14ac:dyDescent="0.2">
      <c r="A7" s="3605" t="s">
        <v>10</v>
      </c>
      <c r="B7" s="3605" t="s">
        <v>11</v>
      </c>
      <c r="C7" s="3604" t="s">
        <v>10</v>
      </c>
      <c r="D7" s="3604" t="s">
        <v>12</v>
      </c>
      <c r="E7" s="3604"/>
      <c r="F7" s="3604" t="s">
        <v>10</v>
      </c>
      <c r="G7" s="3604" t="s">
        <v>13</v>
      </c>
      <c r="H7" s="3604" t="s">
        <v>10</v>
      </c>
      <c r="I7" s="3604" t="s">
        <v>14</v>
      </c>
      <c r="J7" s="3604" t="s">
        <v>15</v>
      </c>
      <c r="K7" s="3606" t="s">
        <v>16</v>
      </c>
      <c r="L7" s="3607"/>
      <c r="M7" s="3604" t="s">
        <v>17</v>
      </c>
      <c r="N7" s="3605" t="s">
        <v>18</v>
      </c>
      <c r="O7" s="3604" t="s">
        <v>8</v>
      </c>
      <c r="P7" s="3604" t="s">
        <v>19</v>
      </c>
      <c r="Q7" s="3627" t="s">
        <v>20</v>
      </c>
      <c r="R7" s="3604" t="s">
        <v>21</v>
      </c>
      <c r="S7" s="3604" t="s">
        <v>22</v>
      </c>
      <c r="T7" s="3604" t="s">
        <v>23</v>
      </c>
      <c r="U7" s="3606" t="s">
        <v>20</v>
      </c>
      <c r="V7" s="3635"/>
      <c r="W7" s="3607"/>
      <c r="X7" s="3605" t="s">
        <v>10</v>
      </c>
      <c r="Y7" s="3604" t="s">
        <v>24</v>
      </c>
      <c r="Z7" s="3619" t="s">
        <v>25</v>
      </c>
      <c r="AA7" s="3620"/>
      <c r="AB7" s="3620"/>
      <c r="AC7" s="3620"/>
      <c r="AD7" s="3620"/>
      <c r="AE7" s="3620"/>
      <c r="AF7" s="3620"/>
      <c r="AG7" s="3620"/>
      <c r="AH7" s="3620"/>
      <c r="AI7" s="3620"/>
      <c r="AJ7" s="3620"/>
      <c r="AK7" s="3621"/>
      <c r="AL7" s="3619" t="s">
        <v>26</v>
      </c>
      <c r="AM7" s="3620"/>
      <c r="AN7" s="3620"/>
      <c r="AO7" s="3620"/>
      <c r="AP7" s="3620"/>
      <c r="AQ7" s="3620"/>
      <c r="AR7" s="3620"/>
      <c r="AS7" s="3620"/>
      <c r="AT7" s="3620"/>
      <c r="AU7" s="3620"/>
      <c r="AV7" s="3620"/>
      <c r="AW7" s="3621"/>
      <c r="AX7" s="3622" t="s">
        <v>27</v>
      </c>
      <c r="AY7" s="3623"/>
      <c r="AZ7" s="3623"/>
      <c r="BA7" s="3623"/>
      <c r="BB7" s="3623"/>
      <c r="BC7" s="3624"/>
      <c r="BD7" s="3611" t="s">
        <v>28</v>
      </c>
      <c r="BE7" s="3612"/>
      <c r="BF7" s="3611" t="s">
        <v>29</v>
      </c>
      <c r="BG7" s="3612"/>
      <c r="BH7" s="3615" t="s">
        <v>30</v>
      </c>
    </row>
    <row r="8" spans="1:72" ht="31.5" customHeight="1" x14ac:dyDescent="0.2">
      <c r="A8" s="3610"/>
      <c r="B8" s="3610"/>
      <c r="C8" s="3604"/>
      <c r="D8" s="3604"/>
      <c r="E8" s="3604"/>
      <c r="F8" s="3604"/>
      <c r="G8" s="3604"/>
      <c r="H8" s="3604"/>
      <c r="I8" s="3604"/>
      <c r="J8" s="3604"/>
      <c r="K8" s="3608"/>
      <c r="L8" s="3609"/>
      <c r="M8" s="3604"/>
      <c r="N8" s="3610"/>
      <c r="O8" s="3604"/>
      <c r="P8" s="3604"/>
      <c r="Q8" s="3627"/>
      <c r="R8" s="3604"/>
      <c r="S8" s="3604"/>
      <c r="T8" s="3604"/>
      <c r="U8" s="3636"/>
      <c r="V8" s="3637"/>
      <c r="W8" s="3638"/>
      <c r="X8" s="3610"/>
      <c r="Y8" s="3604"/>
      <c r="Z8" s="3617" t="s">
        <v>31</v>
      </c>
      <c r="AA8" s="3618"/>
      <c r="AB8" s="3617" t="s">
        <v>32</v>
      </c>
      <c r="AC8" s="3618"/>
      <c r="AD8" s="3617" t="s">
        <v>33</v>
      </c>
      <c r="AE8" s="3618"/>
      <c r="AF8" s="3617" t="s">
        <v>34</v>
      </c>
      <c r="AG8" s="3618"/>
      <c r="AH8" s="3617" t="s">
        <v>35</v>
      </c>
      <c r="AI8" s="3618"/>
      <c r="AJ8" s="3617" t="s">
        <v>36</v>
      </c>
      <c r="AK8" s="3618"/>
      <c r="AL8" s="3617" t="s">
        <v>37</v>
      </c>
      <c r="AM8" s="3618"/>
      <c r="AN8" s="3617" t="s">
        <v>38</v>
      </c>
      <c r="AO8" s="3618"/>
      <c r="AP8" s="3617" t="s">
        <v>39</v>
      </c>
      <c r="AQ8" s="3618"/>
      <c r="AR8" s="3617" t="s">
        <v>40</v>
      </c>
      <c r="AS8" s="3618"/>
      <c r="AT8" s="3617" t="s">
        <v>41</v>
      </c>
      <c r="AU8" s="3618"/>
      <c r="AV8" s="3617" t="s">
        <v>42</v>
      </c>
      <c r="AW8" s="3618"/>
      <c r="AX8" s="3604" t="s">
        <v>43</v>
      </c>
      <c r="AY8" s="3627" t="s">
        <v>44</v>
      </c>
      <c r="AZ8" s="3629" t="s">
        <v>45</v>
      </c>
      <c r="BA8" s="3631" t="s">
        <v>46</v>
      </c>
      <c r="BB8" s="3633" t="s">
        <v>47</v>
      </c>
      <c r="BC8" s="3625" t="s">
        <v>48</v>
      </c>
      <c r="BD8" s="3613"/>
      <c r="BE8" s="3614"/>
      <c r="BF8" s="3613"/>
      <c r="BG8" s="3614"/>
      <c r="BH8" s="3616"/>
    </row>
    <row r="9" spans="1:72" ht="15" x14ac:dyDescent="0.2">
      <c r="A9" s="3610"/>
      <c r="B9" s="3610"/>
      <c r="C9" s="3605"/>
      <c r="D9" s="3605"/>
      <c r="E9" s="3605"/>
      <c r="F9" s="3605"/>
      <c r="G9" s="3605"/>
      <c r="H9" s="3605"/>
      <c r="I9" s="3605"/>
      <c r="J9" s="3605"/>
      <c r="K9" s="611" t="s">
        <v>49</v>
      </c>
      <c r="L9" s="611" t="s">
        <v>50</v>
      </c>
      <c r="M9" s="3605"/>
      <c r="N9" s="3610"/>
      <c r="O9" s="3605"/>
      <c r="P9" s="3605"/>
      <c r="Q9" s="3628"/>
      <c r="R9" s="3605"/>
      <c r="S9" s="3605"/>
      <c r="T9" s="3605"/>
      <c r="U9" s="1519" t="s">
        <v>51</v>
      </c>
      <c r="V9" s="1520" t="s">
        <v>52</v>
      </c>
      <c r="W9" s="1519" t="s">
        <v>53</v>
      </c>
      <c r="X9" s="3610"/>
      <c r="Y9" s="3605"/>
      <c r="Z9" s="611" t="s">
        <v>49</v>
      </c>
      <c r="AA9" s="612" t="s">
        <v>50</v>
      </c>
      <c r="AB9" s="611" t="s">
        <v>49</v>
      </c>
      <c r="AC9" s="612" t="s">
        <v>50</v>
      </c>
      <c r="AD9" s="611" t="s">
        <v>49</v>
      </c>
      <c r="AE9" s="612" t="s">
        <v>50</v>
      </c>
      <c r="AF9" s="611" t="s">
        <v>49</v>
      </c>
      <c r="AG9" s="1521" t="s">
        <v>50</v>
      </c>
      <c r="AH9" s="611" t="s">
        <v>49</v>
      </c>
      <c r="AI9" s="1521" t="s">
        <v>50</v>
      </c>
      <c r="AJ9" s="611" t="s">
        <v>49</v>
      </c>
      <c r="AK9" s="1521" t="s">
        <v>50</v>
      </c>
      <c r="AL9" s="611" t="s">
        <v>49</v>
      </c>
      <c r="AM9" s="1521" t="s">
        <v>50</v>
      </c>
      <c r="AN9" s="611" t="s">
        <v>49</v>
      </c>
      <c r="AO9" s="1521" t="s">
        <v>50</v>
      </c>
      <c r="AP9" s="611" t="s">
        <v>49</v>
      </c>
      <c r="AQ9" s="1521" t="s">
        <v>50</v>
      </c>
      <c r="AR9" s="611" t="s">
        <v>49</v>
      </c>
      <c r="AS9" s="1521" t="s">
        <v>50</v>
      </c>
      <c r="AT9" s="611" t="s">
        <v>49</v>
      </c>
      <c r="AU9" s="1521" t="s">
        <v>50</v>
      </c>
      <c r="AV9" s="611" t="s">
        <v>49</v>
      </c>
      <c r="AW9" s="1521" t="s">
        <v>50</v>
      </c>
      <c r="AX9" s="3605"/>
      <c r="AY9" s="3628"/>
      <c r="AZ9" s="3630"/>
      <c r="BA9" s="3632"/>
      <c r="BB9" s="3625"/>
      <c r="BC9" s="3626"/>
      <c r="BD9" s="1522" t="s">
        <v>49</v>
      </c>
      <c r="BE9" s="1522" t="s">
        <v>50</v>
      </c>
      <c r="BF9" s="1522" t="s">
        <v>49</v>
      </c>
      <c r="BG9" s="1522" t="s">
        <v>50</v>
      </c>
      <c r="BH9" s="1523"/>
    </row>
    <row r="10" spans="1:72" s="916" customFormat="1" ht="23.25" customHeight="1" x14ac:dyDescent="0.25">
      <c r="A10" s="662">
        <v>5</v>
      </c>
      <c r="B10" s="1524" t="s">
        <v>143</v>
      </c>
      <c r="C10" s="754"/>
      <c r="D10" s="754"/>
      <c r="E10" s="754"/>
      <c r="F10" s="754"/>
      <c r="G10" s="754"/>
      <c r="H10" s="754"/>
      <c r="I10" s="754"/>
      <c r="J10" s="754"/>
      <c r="K10" s="755"/>
      <c r="L10" s="756"/>
      <c r="M10" s="754"/>
      <c r="N10" s="754"/>
      <c r="O10" s="756"/>
      <c r="P10" s="755"/>
      <c r="Q10" s="1525"/>
      <c r="R10" s="1283"/>
      <c r="S10" s="755"/>
      <c r="T10" s="755"/>
      <c r="U10" s="1526"/>
      <c r="V10" s="1527"/>
      <c r="W10" s="1525"/>
      <c r="X10" s="756"/>
      <c r="Y10" s="754"/>
      <c r="Z10" s="754"/>
      <c r="AA10" s="756"/>
      <c r="AB10" s="754"/>
      <c r="AC10" s="754"/>
      <c r="AD10" s="754"/>
      <c r="AE10" s="754"/>
      <c r="AF10" s="754"/>
      <c r="AG10" s="759"/>
      <c r="AH10" s="754"/>
      <c r="AI10" s="908"/>
      <c r="AJ10" s="754"/>
      <c r="AK10" s="908"/>
      <c r="AL10" s="761"/>
      <c r="AM10" s="1528"/>
      <c r="AN10" s="913"/>
      <c r="AO10" s="1529"/>
      <c r="AP10" s="913"/>
      <c r="AQ10" s="1529"/>
      <c r="AR10" s="913"/>
      <c r="AS10" s="1529"/>
      <c r="AT10" s="913"/>
      <c r="AU10" s="1529"/>
      <c r="AV10" s="913"/>
      <c r="AW10" s="1529"/>
      <c r="AX10" s="1530"/>
      <c r="AY10" s="1531"/>
      <c r="AZ10" s="1531"/>
      <c r="BA10" s="1530"/>
      <c r="BB10" s="1590"/>
      <c r="BC10" s="1590"/>
      <c r="BD10" s="913"/>
      <c r="BE10" s="913"/>
      <c r="BF10" s="913"/>
      <c r="BG10" s="913"/>
      <c r="BH10" s="915"/>
      <c r="BI10" s="1031"/>
      <c r="BJ10" s="1031"/>
      <c r="BK10" s="1031"/>
      <c r="BL10" s="1031"/>
      <c r="BM10" s="1031"/>
      <c r="BN10" s="1031"/>
      <c r="BO10" s="1031"/>
      <c r="BP10" s="1031"/>
      <c r="BQ10" s="1031"/>
      <c r="BR10" s="1031"/>
      <c r="BS10" s="1031"/>
      <c r="BT10" s="1031"/>
    </row>
    <row r="11" spans="1:72" s="1534" customFormat="1" ht="23.25" customHeight="1" x14ac:dyDescent="0.25">
      <c r="A11" s="776"/>
      <c r="B11" s="777"/>
      <c r="C11" s="1532">
        <v>26</v>
      </c>
      <c r="D11" s="1533" t="s">
        <v>246</v>
      </c>
      <c r="E11" s="806"/>
      <c r="F11" s="806"/>
      <c r="G11" s="1532"/>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71"/>
      <c r="BC11" s="71"/>
      <c r="BD11" s="53"/>
      <c r="BE11" s="53"/>
      <c r="BF11" s="53"/>
      <c r="BG11" s="53"/>
      <c r="BH11" s="1533"/>
    </row>
    <row r="12" spans="1:72" s="746" customFormat="1" ht="23.25" customHeight="1" x14ac:dyDescent="0.25">
      <c r="A12" s="1535"/>
      <c r="B12" s="1535"/>
      <c r="C12" s="1536"/>
      <c r="D12" s="1537"/>
      <c r="E12" s="1538"/>
      <c r="F12" s="329">
        <v>83</v>
      </c>
      <c r="G12" s="2728" t="s">
        <v>247</v>
      </c>
      <c r="H12" s="2728"/>
      <c r="I12" s="935"/>
      <c r="J12" s="935"/>
      <c r="K12" s="935"/>
      <c r="L12" s="934"/>
      <c r="M12" s="935"/>
      <c r="N12" s="935"/>
      <c r="O12" s="935"/>
      <c r="P12" s="935"/>
      <c r="Q12" s="1539"/>
      <c r="R12" s="935"/>
      <c r="S12" s="935"/>
      <c r="T12" s="935"/>
      <c r="U12" s="1539"/>
      <c r="V12" s="1540"/>
      <c r="W12" s="1541"/>
      <c r="X12" s="935"/>
      <c r="Y12" s="935"/>
      <c r="Z12" s="935"/>
      <c r="AA12" s="934"/>
      <c r="AB12" s="935"/>
      <c r="AC12" s="935"/>
      <c r="AD12" s="935"/>
      <c r="AE12" s="935"/>
      <c r="AF12" s="935"/>
      <c r="AG12" s="939"/>
      <c r="AH12" s="935"/>
      <c r="AI12" s="936"/>
      <c r="AJ12" s="935"/>
      <c r="AK12" s="936"/>
      <c r="AL12" s="935"/>
      <c r="AM12" s="936"/>
      <c r="AN12" s="935"/>
      <c r="AO12" s="936"/>
      <c r="AP12" s="935"/>
      <c r="AQ12" s="936"/>
      <c r="AR12" s="935"/>
      <c r="AS12" s="936"/>
      <c r="AT12" s="935"/>
      <c r="AU12" s="936"/>
      <c r="AV12" s="935"/>
      <c r="AW12" s="936"/>
      <c r="AX12" s="934"/>
      <c r="AY12" s="1542"/>
      <c r="AZ12" s="1542"/>
      <c r="BA12" s="934"/>
      <c r="BB12" s="1591"/>
      <c r="BC12" s="1591"/>
      <c r="BD12" s="934"/>
      <c r="BE12" s="934"/>
      <c r="BF12" s="934"/>
      <c r="BG12" s="935"/>
      <c r="BH12" s="940"/>
    </row>
    <row r="13" spans="1:72" ht="99.75" x14ac:dyDescent="0.2">
      <c r="A13" s="791"/>
      <c r="B13" s="202"/>
      <c r="C13" s="791"/>
      <c r="D13" s="792"/>
      <c r="E13" s="1543"/>
      <c r="F13" s="815"/>
      <c r="G13" s="816"/>
      <c r="H13" s="3537">
        <v>244</v>
      </c>
      <c r="I13" s="2424" t="s">
        <v>248</v>
      </c>
      <c r="J13" s="2595" t="s">
        <v>18</v>
      </c>
      <c r="K13" s="3634">
        <v>12</v>
      </c>
      <c r="L13" s="2634">
        <v>0</v>
      </c>
      <c r="M13" s="2595" t="s">
        <v>249</v>
      </c>
      <c r="N13" s="2595">
        <v>82</v>
      </c>
      <c r="O13" s="2424" t="s">
        <v>250</v>
      </c>
      <c r="P13" s="2587">
        <f>(U13+U14+U15+U16+U17+U18+U19)/Q13</f>
        <v>1</v>
      </c>
      <c r="Q13" s="3568">
        <f>SUM(U13:U20)</f>
        <v>1189534666</v>
      </c>
      <c r="R13" s="2424" t="s">
        <v>251</v>
      </c>
      <c r="S13" s="2436" t="s">
        <v>252</v>
      </c>
      <c r="T13" s="1544" t="s">
        <v>253</v>
      </c>
      <c r="U13" s="1545">
        <f>160034666+53333334</f>
        <v>213368000</v>
      </c>
      <c r="V13" s="964">
        <v>61100000</v>
      </c>
      <c r="W13" s="963">
        <v>16170000</v>
      </c>
      <c r="X13" s="2572">
        <v>20</v>
      </c>
      <c r="Y13" s="2595" t="s">
        <v>153</v>
      </c>
      <c r="Z13" s="3642">
        <v>0</v>
      </c>
      <c r="AA13" s="2634">
        <v>0</v>
      </c>
      <c r="AB13" s="3645">
        <v>0</v>
      </c>
      <c r="AC13" s="2634">
        <v>0</v>
      </c>
      <c r="AD13" s="3642">
        <v>30</v>
      </c>
      <c r="AE13" s="2634">
        <v>0</v>
      </c>
      <c r="AF13" s="3642">
        <v>0</v>
      </c>
      <c r="AG13" s="3639">
        <v>0</v>
      </c>
      <c r="AH13" s="3642">
        <v>150</v>
      </c>
      <c r="AI13" s="3639">
        <v>0</v>
      </c>
      <c r="AJ13" s="3642">
        <v>0</v>
      </c>
      <c r="AK13" s="3639">
        <v>0</v>
      </c>
      <c r="AL13" s="3642">
        <v>0</v>
      </c>
      <c r="AM13" s="3639">
        <v>0</v>
      </c>
      <c r="AN13" s="3642">
        <v>0</v>
      </c>
      <c r="AO13" s="3639">
        <v>0</v>
      </c>
      <c r="AP13" s="3642">
        <v>0</v>
      </c>
      <c r="AQ13" s="3639">
        <v>0</v>
      </c>
      <c r="AR13" s="3642">
        <v>0</v>
      </c>
      <c r="AS13" s="3639">
        <v>0</v>
      </c>
      <c r="AT13" s="3642">
        <v>0</v>
      </c>
      <c r="AU13" s="3639">
        <v>0</v>
      </c>
      <c r="AV13" s="3642">
        <v>0</v>
      </c>
      <c r="AW13" s="3652">
        <v>0</v>
      </c>
      <c r="AX13" s="602">
        <v>8</v>
      </c>
      <c r="AY13" s="964">
        <f t="shared" ref="AY13:AZ19" si="0">V13</f>
        <v>61100000</v>
      </c>
      <c r="AZ13" s="1546">
        <f>W13</f>
        <v>16170000</v>
      </c>
      <c r="BA13" s="1547">
        <f>AZ13/AY13</f>
        <v>0.26464811783960718</v>
      </c>
      <c r="BB13" s="600" t="s">
        <v>121</v>
      </c>
      <c r="BC13" s="595" t="s">
        <v>254</v>
      </c>
      <c r="BD13" s="2578">
        <v>42736</v>
      </c>
      <c r="BE13" s="3661">
        <v>42755</v>
      </c>
      <c r="BF13" s="2578">
        <v>43100</v>
      </c>
      <c r="BG13" s="2597">
        <v>42935</v>
      </c>
      <c r="BH13" s="2436" t="s">
        <v>255</v>
      </c>
    </row>
    <row r="14" spans="1:72" ht="42.75" customHeight="1" x14ac:dyDescent="0.2">
      <c r="A14" s="791"/>
      <c r="B14" s="202"/>
      <c r="C14" s="791"/>
      <c r="D14" s="792"/>
      <c r="E14" s="1543"/>
      <c r="F14" s="791"/>
      <c r="G14" s="792"/>
      <c r="H14" s="2640"/>
      <c r="I14" s="2428"/>
      <c r="J14" s="2603"/>
      <c r="K14" s="2611"/>
      <c r="L14" s="2635"/>
      <c r="M14" s="2603"/>
      <c r="N14" s="2603"/>
      <c r="O14" s="2428"/>
      <c r="P14" s="2588"/>
      <c r="Q14" s="3569"/>
      <c r="R14" s="2428"/>
      <c r="S14" s="2438"/>
      <c r="T14" s="595" t="s">
        <v>256</v>
      </c>
      <c r="U14" s="1548">
        <f>157000000+53333334</f>
        <v>210333334</v>
      </c>
      <c r="V14" s="964">
        <v>0</v>
      </c>
      <c r="W14" s="963"/>
      <c r="X14" s="2573"/>
      <c r="Y14" s="2603"/>
      <c r="Z14" s="3643"/>
      <c r="AA14" s="2635"/>
      <c r="AB14" s="3644"/>
      <c r="AC14" s="2635"/>
      <c r="AD14" s="3643"/>
      <c r="AE14" s="2635"/>
      <c r="AF14" s="3643"/>
      <c r="AG14" s="3640"/>
      <c r="AH14" s="3643"/>
      <c r="AI14" s="3640"/>
      <c r="AJ14" s="3643"/>
      <c r="AK14" s="3640"/>
      <c r="AL14" s="3643"/>
      <c r="AM14" s="3640"/>
      <c r="AN14" s="3643"/>
      <c r="AO14" s="3640"/>
      <c r="AP14" s="3643"/>
      <c r="AQ14" s="3640"/>
      <c r="AR14" s="3643"/>
      <c r="AS14" s="3640"/>
      <c r="AT14" s="3643"/>
      <c r="AU14" s="3640"/>
      <c r="AV14" s="3643"/>
      <c r="AW14" s="3653"/>
      <c r="AX14" s="602">
        <v>0</v>
      </c>
      <c r="AY14" s="964">
        <f t="shared" si="0"/>
        <v>0</v>
      </c>
      <c r="AZ14" s="1546">
        <f t="shared" si="0"/>
        <v>0</v>
      </c>
      <c r="BA14" s="1547">
        <f>AY14/$Q$13</f>
        <v>0</v>
      </c>
      <c r="BB14" s="600" t="s">
        <v>121</v>
      </c>
      <c r="BC14" s="1549"/>
      <c r="BD14" s="2579"/>
      <c r="BE14" s="2525"/>
      <c r="BF14" s="2579"/>
      <c r="BG14" s="2597"/>
      <c r="BH14" s="2437"/>
    </row>
    <row r="15" spans="1:72" ht="39" customHeight="1" x14ac:dyDescent="0.2">
      <c r="A15" s="791"/>
      <c r="B15" s="202"/>
      <c r="C15" s="791"/>
      <c r="D15" s="792"/>
      <c r="E15" s="1543"/>
      <c r="F15" s="791"/>
      <c r="G15" s="792"/>
      <c r="H15" s="2640"/>
      <c r="I15" s="2428"/>
      <c r="J15" s="2603"/>
      <c r="K15" s="2611"/>
      <c r="L15" s="2635"/>
      <c r="M15" s="2603"/>
      <c r="N15" s="2603"/>
      <c r="O15" s="2428"/>
      <c r="P15" s="2588"/>
      <c r="Q15" s="3569"/>
      <c r="R15" s="2428"/>
      <c r="S15" s="2424" t="s">
        <v>257</v>
      </c>
      <c r="T15" s="1544" t="s">
        <v>258</v>
      </c>
      <c r="U15" s="1545">
        <f>79000000+53333333</f>
        <v>132333333</v>
      </c>
      <c r="V15" s="964">
        <v>9950000</v>
      </c>
      <c r="W15" s="963">
        <v>0</v>
      </c>
      <c r="X15" s="2573"/>
      <c r="Y15" s="2603"/>
      <c r="Z15" s="3643"/>
      <c r="AA15" s="2635"/>
      <c r="AB15" s="3644"/>
      <c r="AC15" s="2635"/>
      <c r="AD15" s="3643"/>
      <c r="AE15" s="2635"/>
      <c r="AF15" s="3643"/>
      <c r="AG15" s="3640"/>
      <c r="AH15" s="3643"/>
      <c r="AI15" s="3640"/>
      <c r="AJ15" s="3643"/>
      <c r="AK15" s="3640"/>
      <c r="AL15" s="3643"/>
      <c r="AM15" s="3640"/>
      <c r="AN15" s="3643"/>
      <c r="AO15" s="3640"/>
      <c r="AP15" s="3643"/>
      <c r="AQ15" s="3640"/>
      <c r="AR15" s="3643"/>
      <c r="AS15" s="3640"/>
      <c r="AT15" s="3643"/>
      <c r="AU15" s="3640"/>
      <c r="AV15" s="3643"/>
      <c r="AW15" s="3653"/>
      <c r="AX15" s="602">
        <v>3</v>
      </c>
      <c r="AY15" s="964">
        <f t="shared" si="0"/>
        <v>9950000</v>
      </c>
      <c r="AZ15" s="1546">
        <f t="shared" si="0"/>
        <v>0</v>
      </c>
      <c r="BA15" s="1547">
        <v>0</v>
      </c>
      <c r="BB15" s="600" t="s">
        <v>121</v>
      </c>
      <c r="BC15" s="1549"/>
      <c r="BD15" s="2579"/>
      <c r="BE15" s="2525"/>
      <c r="BF15" s="2579"/>
      <c r="BG15" s="2597"/>
      <c r="BH15" s="2437"/>
    </row>
    <row r="16" spans="1:72" ht="71.25" x14ac:dyDescent="0.2">
      <c r="A16" s="791"/>
      <c r="B16" s="202"/>
      <c r="C16" s="791"/>
      <c r="D16" s="792"/>
      <c r="E16" s="1543"/>
      <c r="F16" s="791"/>
      <c r="G16" s="792"/>
      <c r="H16" s="2640"/>
      <c r="I16" s="2428"/>
      <c r="J16" s="2603"/>
      <c r="K16" s="2611"/>
      <c r="L16" s="2635"/>
      <c r="M16" s="2603"/>
      <c r="N16" s="2603"/>
      <c r="O16" s="2428"/>
      <c r="P16" s="2588"/>
      <c r="Q16" s="3569"/>
      <c r="R16" s="2428"/>
      <c r="S16" s="2429"/>
      <c r="T16" s="1544" t="s">
        <v>259</v>
      </c>
      <c r="U16" s="1545">
        <f>79000000+53333333</f>
        <v>132333333</v>
      </c>
      <c r="V16" s="964">
        <v>29850000</v>
      </c>
      <c r="W16" s="963">
        <v>6930000</v>
      </c>
      <c r="X16" s="2573"/>
      <c r="Y16" s="2603"/>
      <c r="Z16" s="3643"/>
      <c r="AA16" s="2635"/>
      <c r="AB16" s="3644"/>
      <c r="AC16" s="2635"/>
      <c r="AD16" s="3643"/>
      <c r="AE16" s="2635"/>
      <c r="AF16" s="3643"/>
      <c r="AG16" s="3640"/>
      <c r="AH16" s="3643"/>
      <c r="AI16" s="3640"/>
      <c r="AJ16" s="3643"/>
      <c r="AK16" s="3640"/>
      <c r="AL16" s="3643"/>
      <c r="AM16" s="3640"/>
      <c r="AN16" s="3643"/>
      <c r="AO16" s="3640"/>
      <c r="AP16" s="3643"/>
      <c r="AQ16" s="3640"/>
      <c r="AR16" s="3643"/>
      <c r="AS16" s="3640"/>
      <c r="AT16" s="3643"/>
      <c r="AU16" s="3640"/>
      <c r="AV16" s="3643"/>
      <c r="AW16" s="3653"/>
      <c r="AX16" s="602">
        <v>4</v>
      </c>
      <c r="AY16" s="964">
        <f t="shared" si="0"/>
        <v>29850000</v>
      </c>
      <c r="AZ16" s="1546">
        <f>W16</f>
        <v>6930000</v>
      </c>
      <c r="BA16" s="1547">
        <f>AZ16/AY16</f>
        <v>0.2321608040201005</v>
      </c>
      <c r="BB16" s="600" t="s">
        <v>121</v>
      </c>
      <c r="BC16" s="1093" t="s">
        <v>260</v>
      </c>
      <c r="BD16" s="2579"/>
      <c r="BE16" s="2525"/>
      <c r="BF16" s="2579"/>
      <c r="BG16" s="2597"/>
      <c r="BH16" s="2437"/>
    </row>
    <row r="17" spans="1:60" ht="45.75" customHeight="1" x14ac:dyDescent="0.2">
      <c r="A17" s="791"/>
      <c r="B17" s="202"/>
      <c r="C17" s="791"/>
      <c r="D17" s="792"/>
      <c r="E17" s="1543"/>
      <c r="F17" s="791"/>
      <c r="G17" s="792"/>
      <c r="H17" s="2640"/>
      <c r="I17" s="2428"/>
      <c r="J17" s="2603"/>
      <c r="K17" s="2611"/>
      <c r="L17" s="2635"/>
      <c r="M17" s="2603"/>
      <c r="N17" s="2603"/>
      <c r="O17" s="2428"/>
      <c r="P17" s="2588"/>
      <c r="Q17" s="3569"/>
      <c r="R17" s="2428"/>
      <c r="S17" s="2595" t="s">
        <v>261</v>
      </c>
      <c r="T17" s="1544" t="s">
        <v>262</v>
      </c>
      <c r="U17" s="1545">
        <f>236000000+53333333</f>
        <v>289333333</v>
      </c>
      <c r="V17" s="964">
        <v>39550000</v>
      </c>
      <c r="W17" s="963">
        <v>9110000</v>
      </c>
      <c r="X17" s="2573"/>
      <c r="Y17" s="2603"/>
      <c r="Z17" s="3643"/>
      <c r="AA17" s="2635"/>
      <c r="AB17" s="3644"/>
      <c r="AC17" s="2635"/>
      <c r="AD17" s="3643"/>
      <c r="AE17" s="2635"/>
      <c r="AF17" s="3643"/>
      <c r="AG17" s="3640"/>
      <c r="AH17" s="3643"/>
      <c r="AI17" s="3640"/>
      <c r="AJ17" s="3643"/>
      <c r="AK17" s="3640"/>
      <c r="AL17" s="3643"/>
      <c r="AM17" s="3640"/>
      <c r="AN17" s="3643"/>
      <c r="AO17" s="3640"/>
      <c r="AP17" s="3643"/>
      <c r="AQ17" s="3640"/>
      <c r="AR17" s="3643"/>
      <c r="AS17" s="3640"/>
      <c r="AT17" s="3643"/>
      <c r="AU17" s="3640"/>
      <c r="AV17" s="3643"/>
      <c r="AW17" s="3653"/>
      <c r="AX17" s="602">
        <v>5</v>
      </c>
      <c r="AY17" s="964">
        <f t="shared" si="0"/>
        <v>39550000</v>
      </c>
      <c r="AZ17" s="1546">
        <f t="shared" si="0"/>
        <v>9110000</v>
      </c>
      <c r="BA17" s="1547">
        <f>AZ17/AY17</f>
        <v>0.23034134007585336</v>
      </c>
      <c r="BB17" s="600" t="s">
        <v>121</v>
      </c>
      <c r="BC17" s="595" t="s">
        <v>263</v>
      </c>
      <c r="BD17" s="2579"/>
      <c r="BE17" s="2525"/>
      <c r="BF17" s="2579"/>
      <c r="BG17" s="2597"/>
      <c r="BH17" s="2437"/>
    </row>
    <row r="18" spans="1:60" ht="31.5" customHeight="1" x14ac:dyDescent="0.2">
      <c r="A18" s="791"/>
      <c r="B18" s="202"/>
      <c r="C18" s="791"/>
      <c r="D18" s="792"/>
      <c r="E18" s="202"/>
      <c r="F18" s="791"/>
      <c r="G18" s="792"/>
      <c r="H18" s="2640"/>
      <c r="I18" s="2428"/>
      <c r="J18" s="2603"/>
      <c r="K18" s="2611"/>
      <c r="L18" s="2635"/>
      <c r="M18" s="2603"/>
      <c r="N18" s="2603"/>
      <c r="O18" s="2428"/>
      <c r="P18" s="2588"/>
      <c r="Q18" s="3569"/>
      <c r="R18" s="2428"/>
      <c r="S18" s="2603"/>
      <c r="T18" s="1544" t="s">
        <v>264</v>
      </c>
      <c r="U18" s="1545">
        <f>38500000+80000000</f>
        <v>118500000</v>
      </c>
      <c r="V18" s="964">
        <v>0</v>
      </c>
      <c r="W18" s="963">
        <v>0</v>
      </c>
      <c r="X18" s="2573"/>
      <c r="Y18" s="2603"/>
      <c r="Z18" s="3644"/>
      <c r="AA18" s="2635"/>
      <c r="AB18" s="3644"/>
      <c r="AC18" s="2635"/>
      <c r="AD18" s="3643"/>
      <c r="AE18" s="2635"/>
      <c r="AF18" s="3643"/>
      <c r="AG18" s="3640"/>
      <c r="AH18" s="3643"/>
      <c r="AI18" s="3640"/>
      <c r="AJ18" s="3643"/>
      <c r="AK18" s="3640"/>
      <c r="AL18" s="3643"/>
      <c r="AM18" s="3640"/>
      <c r="AN18" s="3643"/>
      <c r="AO18" s="3640"/>
      <c r="AP18" s="3643"/>
      <c r="AQ18" s="3640"/>
      <c r="AR18" s="3643"/>
      <c r="AS18" s="3640"/>
      <c r="AT18" s="3643"/>
      <c r="AU18" s="3640"/>
      <c r="AV18" s="3643"/>
      <c r="AW18" s="3653"/>
      <c r="AX18" s="602"/>
      <c r="AY18" s="964">
        <f t="shared" si="0"/>
        <v>0</v>
      </c>
      <c r="AZ18" s="1546">
        <f t="shared" si="0"/>
        <v>0</v>
      </c>
      <c r="BA18" s="1547">
        <f>AY18/$Q$13</f>
        <v>0</v>
      </c>
      <c r="BB18" s="599" t="s">
        <v>121</v>
      </c>
      <c r="BC18" s="1549"/>
      <c r="BD18" s="2579"/>
      <c r="BE18" s="2525"/>
      <c r="BF18" s="2579"/>
      <c r="BG18" s="2597"/>
      <c r="BH18" s="2437"/>
    </row>
    <row r="19" spans="1:60" x14ac:dyDescent="0.2">
      <c r="A19" s="791"/>
      <c r="B19" s="202"/>
      <c r="C19" s="791"/>
      <c r="D19" s="792"/>
      <c r="E19" s="202"/>
      <c r="F19" s="791"/>
      <c r="G19" s="792"/>
      <c r="H19" s="2640"/>
      <c r="I19" s="2428"/>
      <c r="J19" s="2603"/>
      <c r="K19" s="2611"/>
      <c r="L19" s="2635"/>
      <c r="M19" s="2603"/>
      <c r="N19" s="2603"/>
      <c r="O19" s="2428"/>
      <c r="P19" s="2588"/>
      <c r="Q19" s="3569"/>
      <c r="R19" s="2428"/>
      <c r="S19" s="2603"/>
      <c r="T19" s="2424" t="s">
        <v>265</v>
      </c>
      <c r="U19" s="3648">
        <f>40000000+53333333</f>
        <v>93333333</v>
      </c>
      <c r="V19" s="3650">
        <v>0</v>
      </c>
      <c r="W19" s="3646">
        <v>0</v>
      </c>
      <c r="X19" s="2573"/>
      <c r="Y19" s="2603"/>
      <c r="Z19" s="3644"/>
      <c r="AA19" s="2635"/>
      <c r="AB19" s="3644"/>
      <c r="AC19" s="2635"/>
      <c r="AD19" s="3643"/>
      <c r="AE19" s="2635"/>
      <c r="AF19" s="3643"/>
      <c r="AG19" s="3640"/>
      <c r="AH19" s="3643"/>
      <c r="AI19" s="3640"/>
      <c r="AJ19" s="3643"/>
      <c r="AK19" s="3640"/>
      <c r="AL19" s="3643"/>
      <c r="AM19" s="3640"/>
      <c r="AN19" s="3643"/>
      <c r="AO19" s="3640"/>
      <c r="AP19" s="3643"/>
      <c r="AQ19" s="3640"/>
      <c r="AR19" s="3643"/>
      <c r="AS19" s="3640"/>
      <c r="AT19" s="3643"/>
      <c r="AU19" s="3640"/>
      <c r="AV19" s="3643"/>
      <c r="AW19" s="3653"/>
      <c r="AX19" s="2634"/>
      <c r="AY19" s="3646">
        <f t="shared" si="0"/>
        <v>0</v>
      </c>
      <c r="AZ19" s="3655"/>
      <c r="BA19" s="3657">
        <f>AY19/Q13</f>
        <v>0</v>
      </c>
      <c r="BB19" s="2802" t="s">
        <v>121</v>
      </c>
      <c r="BC19" s="3659"/>
      <c r="BD19" s="2579"/>
      <c r="BE19" s="2525"/>
      <c r="BF19" s="2579"/>
      <c r="BG19" s="2597"/>
      <c r="BH19" s="2437"/>
    </row>
    <row r="20" spans="1:60" x14ac:dyDescent="0.2">
      <c r="A20" s="791"/>
      <c r="B20" s="202"/>
      <c r="C20" s="791"/>
      <c r="D20" s="792"/>
      <c r="E20" s="202"/>
      <c r="F20" s="791"/>
      <c r="G20" s="792"/>
      <c r="H20" s="2640"/>
      <c r="I20" s="2428"/>
      <c r="J20" s="2603"/>
      <c r="K20" s="2611"/>
      <c r="L20" s="2636"/>
      <c r="M20" s="2603"/>
      <c r="N20" s="2603"/>
      <c r="O20" s="2428"/>
      <c r="P20" s="2588"/>
      <c r="Q20" s="3569"/>
      <c r="R20" s="2428"/>
      <c r="S20" s="2603"/>
      <c r="T20" s="2429"/>
      <c r="U20" s="3649"/>
      <c r="V20" s="3651"/>
      <c r="W20" s="3647"/>
      <c r="X20" s="2573"/>
      <c r="Y20" s="2603"/>
      <c r="Z20" s="3644"/>
      <c r="AA20" s="2636"/>
      <c r="AB20" s="3644"/>
      <c r="AC20" s="2636"/>
      <c r="AD20" s="3643"/>
      <c r="AE20" s="2636"/>
      <c r="AF20" s="3643"/>
      <c r="AG20" s="3641"/>
      <c r="AH20" s="3643"/>
      <c r="AI20" s="3641"/>
      <c r="AJ20" s="3643"/>
      <c r="AK20" s="3641"/>
      <c r="AL20" s="3643"/>
      <c r="AM20" s="3641"/>
      <c r="AN20" s="3643"/>
      <c r="AO20" s="3641"/>
      <c r="AP20" s="3643"/>
      <c r="AQ20" s="3641"/>
      <c r="AR20" s="3643"/>
      <c r="AS20" s="3641"/>
      <c r="AT20" s="3643"/>
      <c r="AU20" s="3641"/>
      <c r="AV20" s="3643"/>
      <c r="AW20" s="3654"/>
      <c r="AX20" s="2636"/>
      <c r="AY20" s="3647"/>
      <c r="AZ20" s="3656"/>
      <c r="BA20" s="3658"/>
      <c r="BB20" s="2801"/>
      <c r="BC20" s="3660"/>
      <c r="BD20" s="2579"/>
      <c r="BE20" s="2525"/>
      <c r="BF20" s="2579"/>
      <c r="BG20" s="2597"/>
      <c r="BH20" s="2437"/>
    </row>
    <row r="21" spans="1:60" ht="48.75" customHeight="1" x14ac:dyDescent="0.2">
      <c r="A21" s="41"/>
      <c r="B21" s="688"/>
      <c r="C21" s="41"/>
      <c r="D21" s="689"/>
      <c r="F21" s="41"/>
      <c r="G21" s="689"/>
      <c r="H21" s="3537">
        <v>245</v>
      </c>
      <c r="I21" s="2424" t="s">
        <v>266</v>
      </c>
      <c r="J21" s="2595" t="s">
        <v>18</v>
      </c>
      <c r="K21" s="3634">
        <v>1</v>
      </c>
      <c r="L21" s="2415">
        <v>0</v>
      </c>
      <c r="M21" s="2595" t="s">
        <v>267</v>
      </c>
      <c r="N21" s="2595">
        <v>83</v>
      </c>
      <c r="O21" s="2424" t="s">
        <v>268</v>
      </c>
      <c r="P21" s="2587">
        <f>(U21+U23+U25+U26+U27)/Q21</f>
        <v>1</v>
      </c>
      <c r="Q21" s="3568">
        <f>SUM(U21:U28)</f>
        <v>180000000</v>
      </c>
      <c r="R21" s="2424" t="s">
        <v>269</v>
      </c>
      <c r="S21" s="2436" t="s">
        <v>270</v>
      </c>
      <c r="T21" s="2424" t="s">
        <v>271</v>
      </c>
      <c r="U21" s="3648">
        <v>50000000</v>
      </c>
      <c r="V21" s="3663">
        <v>0</v>
      </c>
      <c r="W21" s="3665">
        <v>0</v>
      </c>
      <c r="X21" s="2572">
        <v>20</v>
      </c>
      <c r="Y21" s="2595" t="s">
        <v>153</v>
      </c>
      <c r="Z21" s="3645">
        <v>64149</v>
      </c>
      <c r="AA21" s="2415">
        <v>0</v>
      </c>
      <c r="AB21" s="3645">
        <v>72224</v>
      </c>
      <c r="AC21" s="2415">
        <v>0</v>
      </c>
      <c r="AD21" s="3642">
        <v>24477</v>
      </c>
      <c r="AE21" s="2415">
        <v>0</v>
      </c>
      <c r="AF21" s="3642">
        <v>86843</v>
      </c>
      <c r="AG21" s="2714">
        <v>0</v>
      </c>
      <c r="AH21" s="3642">
        <v>236429</v>
      </c>
      <c r="AI21" s="2714">
        <v>0</v>
      </c>
      <c r="AJ21" s="3642">
        <v>81384</v>
      </c>
      <c r="AK21" s="2714">
        <v>0</v>
      </c>
      <c r="AL21" s="3642">
        <v>13208</v>
      </c>
      <c r="AM21" s="2714">
        <v>0</v>
      </c>
      <c r="AN21" s="3642">
        <v>1817</v>
      </c>
      <c r="AO21" s="2714">
        <v>0</v>
      </c>
      <c r="AP21" s="3642"/>
      <c r="AQ21" s="2714"/>
      <c r="AR21" s="3642"/>
      <c r="AS21" s="3673"/>
      <c r="AT21" s="3642"/>
      <c r="AU21" s="3673"/>
      <c r="AV21" s="3642"/>
      <c r="AW21" s="3673"/>
      <c r="AX21" s="2415">
        <v>0</v>
      </c>
      <c r="AY21" s="3665">
        <v>0</v>
      </c>
      <c r="AZ21" s="3663">
        <v>0</v>
      </c>
      <c r="BA21" s="2415">
        <f>AY21/Q21</f>
        <v>0</v>
      </c>
      <c r="BB21" s="3669"/>
      <c r="BC21" s="3671"/>
      <c r="BD21" s="2578">
        <v>42736</v>
      </c>
      <c r="BE21" s="2415"/>
      <c r="BF21" s="2578">
        <v>43100</v>
      </c>
      <c r="BG21" s="3667"/>
      <c r="BH21" s="2436" t="s">
        <v>255</v>
      </c>
    </row>
    <row r="22" spans="1:60" ht="42" customHeight="1" x14ac:dyDescent="0.2">
      <c r="A22" s="41"/>
      <c r="B22" s="688"/>
      <c r="C22" s="41"/>
      <c r="D22" s="689"/>
      <c r="F22" s="41"/>
      <c r="G22" s="689"/>
      <c r="H22" s="2640"/>
      <c r="I22" s="2428"/>
      <c r="J22" s="2603"/>
      <c r="K22" s="2611"/>
      <c r="L22" s="2416"/>
      <c r="M22" s="2603"/>
      <c r="N22" s="2603"/>
      <c r="O22" s="2428"/>
      <c r="P22" s="2588"/>
      <c r="Q22" s="3569"/>
      <c r="R22" s="2428"/>
      <c r="S22" s="2438"/>
      <c r="T22" s="2429"/>
      <c r="U22" s="3649"/>
      <c r="V22" s="3664"/>
      <c r="W22" s="3666"/>
      <c r="X22" s="2573"/>
      <c r="Y22" s="2603"/>
      <c r="Z22" s="3644"/>
      <c r="AA22" s="2416"/>
      <c r="AB22" s="3644"/>
      <c r="AC22" s="2416"/>
      <c r="AD22" s="3643"/>
      <c r="AE22" s="2416"/>
      <c r="AF22" s="3643"/>
      <c r="AG22" s="2715"/>
      <c r="AH22" s="3643"/>
      <c r="AI22" s="2715"/>
      <c r="AJ22" s="3643"/>
      <c r="AK22" s="2715"/>
      <c r="AL22" s="3643"/>
      <c r="AM22" s="2715"/>
      <c r="AN22" s="3643"/>
      <c r="AO22" s="2715"/>
      <c r="AP22" s="3643"/>
      <c r="AQ22" s="2715"/>
      <c r="AR22" s="3643"/>
      <c r="AS22" s="3674"/>
      <c r="AT22" s="3643"/>
      <c r="AU22" s="3674"/>
      <c r="AV22" s="3643"/>
      <c r="AW22" s="3674"/>
      <c r="AX22" s="2417"/>
      <c r="AY22" s="3666"/>
      <c r="AZ22" s="3664"/>
      <c r="BA22" s="2417"/>
      <c r="BB22" s="3670"/>
      <c r="BC22" s="3672"/>
      <c r="BD22" s="2579"/>
      <c r="BE22" s="2416"/>
      <c r="BF22" s="2579"/>
      <c r="BG22" s="3668"/>
      <c r="BH22" s="2437"/>
    </row>
    <row r="23" spans="1:60" ht="27.75" customHeight="1" x14ac:dyDescent="0.2">
      <c r="A23" s="41"/>
      <c r="B23" s="688"/>
      <c r="C23" s="41"/>
      <c r="D23" s="689"/>
      <c r="F23" s="41"/>
      <c r="G23" s="689"/>
      <c r="H23" s="2640"/>
      <c r="I23" s="2428"/>
      <c r="J23" s="2603"/>
      <c r="K23" s="2611"/>
      <c r="L23" s="2416"/>
      <c r="M23" s="2603"/>
      <c r="N23" s="2603"/>
      <c r="O23" s="2428"/>
      <c r="P23" s="2588"/>
      <c r="Q23" s="3569"/>
      <c r="R23" s="2428"/>
      <c r="S23" s="2424" t="s">
        <v>272</v>
      </c>
      <c r="T23" s="2424" t="s">
        <v>273</v>
      </c>
      <c r="U23" s="3648">
        <v>90000000</v>
      </c>
      <c r="V23" s="3663">
        <v>0</v>
      </c>
      <c r="W23" s="3665">
        <v>0</v>
      </c>
      <c r="X23" s="2573"/>
      <c r="Y23" s="2603"/>
      <c r="Z23" s="3644"/>
      <c r="AA23" s="2416"/>
      <c r="AB23" s="3644"/>
      <c r="AC23" s="2416"/>
      <c r="AD23" s="3643"/>
      <c r="AE23" s="2416"/>
      <c r="AF23" s="3643"/>
      <c r="AG23" s="2715"/>
      <c r="AH23" s="3643"/>
      <c r="AI23" s="2715"/>
      <c r="AJ23" s="3643"/>
      <c r="AK23" s="2715"/>
      <c r="AL23" s="3643"/>
      <c r="AM23" s="2715"/>
      <c r="AN23" s="3643"/>
      <c r="AO23" s="2715"/>
      <c r="AP23" s="3643"/>
      <c r="AQ23" s="2715"/>
      <c r="AR23" s="3643"/>
      <c r="AS23" s="3674"/>
      <c r="AT23" s="3643"/>
      <c r="AU23" s="3674"/>
      <c r="AV23" s="3643"/>
      <c r="AW23" s="3674"/>
      <c r="AX23" s="2415">
        <v>0</v>
      </c>
      <c r="AY23" s="3665">
        <v>0</v>
      </c>
      <c r="AZ23" s="3663">
        <v>0</v>
      </c>
      <c r="BA23" s="2415">
        <f>AY23/Q21</f>
        <v>0</v>
      </c>
      <c r="BB23" s="3669"/>
      <c r="BC23" s="3671"/>
      <c r="BD23" s="2579"/>
      <c r="BE23" s="2416"/>
      <c r="BF23" s="2579"/>
      <c r="BG23" s="3668"/>
      <c r="BH23" s="2437"/>
    </row>
    <row r="24" spans="1:60" ht="38.25" customHeight="1" x14ac:dyDescent="0.2">
      <c r="A24" s="41"/>
      <c r="B24" s="688"/>
      <c r="C24" s="41"/>
      <c r="D24" s="689"/>
      <c r="F24" s="41"/>
      <c r="G24" s="689"/>
      <c r="H24" s="2640"/>
      <c r="I24" s="2428"/>
      <c r="J24" s="2603"/>
      <c r="K24" s="2611"/>
      <c r="L24" s="2416"/>
      <c r="M24" s="2603"/>
      <c r="N24" s="2603"/>
      <c r="O24" s="2428"/>
      <c r="P24" s="2588"/>
      <c r="Q24" s="3569"/>
      <c r="R24" s="2428"/>
      <c r="S24" s="2428"/>
      <c r="T24" s="2429"/>
      <c r="U24" s="3649"/>
      <c r="V24" s="3664"/>
      <c r="W24" s="3666"/>
      <c r="X24" s="2573"/>
      <c r="Y24" s="2603"/>
      <c r="Z24" s="3644"/>
      <c r="AA24" s="2416"/>
      <c r="AB24" s="3644"/>
      <c r="AC24" s="2416"/>
      <c r="AD24" s="3643"/>
      <c r="AE24" s="2416"/>
      <c r="AF24" s="3643"/>
      <c r="AG24" s="2715"/>
      <c r="AH24" s="3643"/>
      <c r="AI24" s="2715"/>
      <c r="AJ24" s="3643"/>
      <c r="AK24" s="2715"/>
      <c r="AL24" s="3643"/>
      <c r="AM24" s="2715"/>
      <c r="AN24" s="3643"/>
      <c r="AO24" s="2715"/>
      <c r="AP24" s="3643"/>
      <c r="AQ24" s="2715"/>
      <c r="AR24" s="3643"/>
      <c r="AS24" s="3674"/>
      <c r="AT24" s="3643"/>
      <c r="AU24" s="3674"/>
      <c r="AV24" s="3643"/>
      <c r="AW24" s="3674"/>
      <c r="AX24" s="2417"/>
      <c r="AY24" s="3666"/>
      <c r="AZ24" s="3664"/>
      <c r="BA24" s="2417"/>
      <c r="BB24" s="3670"/>
      <c r="BC24" s="3672"/>
      <c r="BD24" s="2579"/>
      <c r="BE24" s="2416"/>
      <c r="BF24" s="2579"/>
      <c r="BG24" s="3668"/>
      <c r="BH24" s="2437"/>
    </row>
    <row r="25" spans="1:60" ht="44.25" customHeight="1" x14ac:dyDescent="0.2">
      <c r="A25" s="41"/>
      <c r="B25" s="688"/>
      <c r="C25" s="41"/>
      <c r="D25" s="689"/>
      <c r="F25" s="41"/>
      <c r="G25" s="689"/>
      <c r="H25" s="2640"/>
      <c r="I25" s="2428"/>
      <c r="J25" s="2603"/>
      <c r="K25" s="2611"/>
      <c r="L25" s="2416"/>
      <c r="M25" s="2603"/>
      <c r="N25" s="2603"/>
      <c r="O25" s="2428"/>
      <c r="P25" s="2588"/>
      <c r="Q25" s="3569"/>
      <c r="R25" s="2428"/>
      <c r="S25" s="2428"/>
      <c r="T25" s="1544" t="s">
        <v>274</v>
      </c>
      <c r="U25" s="1545">
        <v>10000000</v>
      </c>
      <c r="V25" s="1550">
        <v>0</v>
      </c>
      <c r="W25" s="709">
        <v>0</v>
      </c>
      <c r="X25" s="2573"/>
      <c r="Y25" s="2603"/>
      <c r="Z25" s="3644"/>
      <c r="AA25" s="2416"/>
      <c r="AB25" s="3644"/>
      <c r="AC25" s="2416"/>
      <c r="AD25" s="3643"/>
      <c r="AE25" s="2416"/>
      <c r="AF25" s="3643"/>
      <c r="AG25" s="2715"/>
      <c r="AH25" s="3643"/>
      <c r="AI25" s="2715"/>
      <c r="AJ25" s="3643"/>
      <c r="AK25" s="2715"/>
      <c r="AL25" s="3643"/>
      <c r="AM25" s="2715"/>
      <c r="AN25" s="3643"/>
      <c r="AO25" s="2715"/>
      <c r="AP25" s="3643"/>
      <c r="AQ25" s="2715"/>
      <c r="AR25" s="3643"/>
      <c r="AS25" s="3674"/>
      <c r="AT25" s="3643"/>
      <c r="AU25" s="3674"/>
      <c r="AV25" s="3643"/>
      <c r="AW25" s="3674"/>
      <c r="AX25" s="577">
        <v>0</v>
      </c>
      <c r="AY25" s="1550">
        <v>0</v>
      </c>
      <c r="AZ25" s="1550">
        <v>0</v>
      </c>
      <c r="BA25" s="577">
        <f>AY25/Q21</f>
        <v>0</v>
      </c>
      <c r="BB25" s="860"/>
      <c r="BC25" s="1592"/>
      <c r="BD25" s="2579"/>
      <c r="BE25" s="2416"/>
      <c r="BF25" s="2579"/>
      <c r="BG25" s="3668"/>
      <c r="BH25" s="2437"/>
    </row>
    <row r="26" spans="1:60" ht="36" customHeight="1" x14ac:dyDescent="0.2">
      <c r="A26" s="41"/>
      <c r="B26" s="689"/>
      <c r="C26" s="41"/>
      <c r="D26" s="689"/>
      <c r="F26" s="41"/>
      <c r="G26" s="689"/>
      <c r="H26" s="2640"/>
      <c r="I26" s="2428"/>
      <c r="J26" s="2603"/>
      <c r="K26" s="2611"/>
      <c r="L26" s="2416"/>
      <c r="M26" s="2603"/>
      <c r="N26" s="2603"/>
      <c r="O26" s="2428"/>
      <c r="P26" s="2588"/>
      <c r="Q26" s="3569"/>
      <c r="R26" s="2428"/>
      <c r="S26" s="2428"/>
      <c r="T26" s="1544" t="s">
        <v>275</v>
      </c>
      <c r="U26" s="1545">
        <v>10000000</v>
      </c>
      <c r="V26" s="1550"/>
      <c r="W26" s="709">
        <v>0</v>
      </c>
      <c r="X26" s="2573"/>
      <c r="Y26" s="2603"/>
      <c r="Z26" s="3644"/>
      <c r="AA26" s="2416"/>
      <c r="AB26" s="3644"/>
      <c r="AC26" s="2416"/>
      <c r="AD26" s="3643"/>
      <c r="AE26" s="2416"/>
      <c r="AF26" s="3643"/>
      <c r="AG26" s="2715"/>
      <c r="AH26" s="3643"/>
      <c r="AI26" s="2715"/>
      <c r="AJ26" s="3643"/>
      <c r="AK26" s="2715"/>
      <c r="AL26" s="3643"/>
      <c r="AM26" s="2715"/>
      <c r="AN26" s="3643"/>
      <c r="AO26" s="2715"/>
      <c r="AP26" s="3643"/>
      <c r="AQ26" s="2715"/>
      <c r="AR26" s="3643"/>
      <c r="AS26" s="3674"/>
      <c r="AT26" s="3643"/>
      <c r="AU26" s="3674"/>
      <c r="AV26" s="3643"/>
      <c r="AW26" s="3674"/>
      <c r="AX26" s="577">
        <v>0</v>
      </c>
      <c r="AY26" s="1550">
        <v>0</v>
      </c>
      <c r="AZ26" s="1550">
        <v>0</v>
      </c>
      <c r="BA26" s="577">
        <f>AY26/Q21</f>
        <v>0</v>
      </c>
      <c r="BB26" s="860"/>
      <c r="BC26" s="1592"/>
      <c r="BD26" s="2579"/>
      <c r="BE26" s="2416"/>
      <c r="BF26" s="2579"/>
      <c r="BG26" s="3668"/>
      <c r="BH26" s="2437"/>
    </row>
    <row r="27" spans="1:60" ht="20.25" customHeight="1" x14ac:dyDescent="0.2">
      <c r="A27" s="41"/>
      <c r="B27" s="689"/>
      <c r="C27" s="41"/>
      <c r="D27" s="689"/>
      <c r="F27" s="41"/>
      <c r="G27" s="689"/>
      <c r="H27" s="2640"/>
      <c r="I27" s="2428"/>
      <c r="J27" s="2603"/>
      <c r="K27" s="2611"/>
      <c r="L27" s="2416"/>
      <c r="M27" s="2603"/>
      <c r="N27" s="2603"/>
      <c r="O27" s="2428"/>
      <c r="P27" s="2588"/>
      <c r="Q27" s="3569"/>
      <c r="R27" s="2428"/>
      <c r="S27" s="2428"/>
      <c r="T27" s="2424" t="s">
        <v>276</v>
      </c>
      <c r="U27" s="3648">
        <v>20000000</v>
      </c>
      <c r="V27" s="3663">
        <v>0</v>
      </c>
      <c r="W27" s="3665">
        <v>0</v>
      </c>
      <c r="X27" s="2573"/>
      <c r="Y27" s="2603"/>
      <c r="Z27" s="3644"/>
      <c r="AA27" s="2416"/>
      <c r="AB27" s="3644"/>
      <c r="AC27" s="2416"/>
      <c r="AD27" s="3643"/>
      <c r="AE27" s="2416"/>
      <c r="AF27" s="3643"/>
      <c r="AG27" s="2715"/>
      <c r="AH27" s="3643"/>
      <c r="AI27" s="2715"/>
      <c r="AJ27" s="3643"/>
      <c r="AK27" s="2715"/>
      <c r="AL27" s="3643"/>
      <c r="AM27" s="2715"/>
      <c r="AN27" s="3643"/>
      <c r="AO27" s="2715"/>
      <c r="AP27" s="3643"/>
      <c r="AQ27" s="2715"/>
      <c r="AR27" s="3643"/>
      <c r="AS27" s="3674"/>
      <c r="AT27" s="3643"/>
      <c r="AU27" s="3674"/>
      <c r="AV27" s="3643"/>
      <c r="AW27" s="3674"/>
      <c r="AX27" s="2415">
        <v>0</v>
      </c>
      <c r="AY27" s="3665">
        <v>0</v>
      </c>
      <c r="AZ27" s="3663">
        <v>0</v>
      </c>
      <c r="BA27" s="2415">
        <f>AY27/Q21</f>
        <v>0</v>
      </c>
      <c r="BB27" s="3669"/>
      <c r="BC27" s="3671"/>
      <c r="BD27" s="2579"/>
      <c r="BE27" s="2416"/>
      <c r="BF27" s="2579"/>
      <c r="BG27" s="3668"/>
      <c r="BH27" s="2437"/>
    </row>
    <row r="28" spans="1:60" ht="23.25" customHeight="1" x14ac:dyDescent="0.2">
      <c r="A28" s="41"/>
      <c r="B28" s="689"/>
      <c r="C28" s="41"/>
      <c r="D28" s="689"/>
      <c r="F28" s="41"/>
      <c r="G28" s="689"/>
      <c r="H28" s="3538"/>
      <c r="I28" s="2429"/>
      <c r="J28" s="2596"/>
      <c r="K28" s="3662"/>
      <c r="L28" s="2417"/>
      <c r="M28" s="2596"/>
      <c r="N28" s="2596"/>
      <c r="O28" s="2429"/>
      <c r="P28" s="2589"/>
      <c r="Q28" s="3570"/>
      <c r="R28" s="2429"/>
      <c r="S28" s="2429"/>
      <c r="T28" s="2429"/>
      <c r="U28" s="3649"/>
      <c r="V28" s="3664"/>
      <c r="W28" s="3666"/>
      <c r="X28" s="2574"/>
      <c r="Y28" s="2596"/>
      <c r="Z28" s="3679"/>
      <c r="AA28" s="2417"/>
      <c r="AB28" s="3679"/>
      <c r="AC28" s="2417"/>
      <c r="AD28" s="3643"/>
      <c r="AE28" s="2417"/>
      <c r="AF28" s="3643"/>
      <c r="AG28" s="2716"/>
      <c r="AH28" s="3643"/>
      <c r="AI28" s="2716"/>
      <c r="AJ28" s="3643"/>
      <c r="AK28" s="2716"/>
      <c r="AL28" s="3643"/>
      <c r="AM28" s="2716"/>
      <c r="AN28" s="3643"/>
      <c r="AO28" s="2716"/>
      <c r="AP28" s="3643"/>
      <c r="AQ28" s="2716"/>
      <c r="AR28" s="3643"/>
      <c r="AS28" s="3674"/>
      <c r="AT28" s="3643"/>
      <c r="AU28" s="3674"/>
      <c r="AV28" s="3643"/>
      <c r="AW28" s="3674"/>
      <c r="AX28" s="2416"/>
      <c r="AY28" s="3677"/>
      <c r="AZ28" s="3678"/>
      <c r="BA28" s="2416"/>
      <c r="BB28" s="3675"/>
      <c r="BC28" s="3676"/>
      <c r="BD28" s="2580"/>
      <c r="BE28" s="2416"/>
      <c r="BF28" s="2579"/>
      <c r="BG28" s="3668"/>
      <c r="BH28" s="2437"/>
    </row>
    <row r="29" spans="1:60" s="746" customFormat="1" ht="21" customHeight="1" x14ac:dyDescent="0.25">
      <c r="A29" s="930"/>
      <c r="B29" s="1551"/>
      <c r="C29" s="1552">
        <v>28</v>
      </c>
      <c r="D29" s="53" t="s">
        <v>200</v>
      </c>
      <c r="E29" s="53"/>
      <c r="F29" s="53"/>
      <c r="G29" s="1553"/>
      <c r="H29" s="767"/>
      <c r="I29" s="768"/>
      <c r="J29" s="767"/>
      <c r="K29" s="53"/>
      <c r="L29" s="1554"/>
      <c r="M29" s="53"/>
      <c r="N29" s="1555"/>
      <c r="O29" s="71"/>
      <c r="P29" s="770"/>
      <c r="Q29" s="1556"/>
      <c r="R29" s="768"/>
      <c r="S29" s="768"/>
      <c r="T29" s="768"/>
      <c r="U29" s="1557"/>
      <c r="V29" s="1558"/>
      <c r="W29" s="1559"/>
      <c r="X29" s="1560"/>
      <c r="Y29" s="769"/>
      <c r="Z29" s="767"/>
      <c r="AA29" s="1561"/>
      <c r="AB29" s="767"/>
      <c r="AC29" s="1562"/>
      <c r="AD29" s="1532"/>
      <c r="AE29" s="1553"/>
      <c r="AF29" s="53"/>
      <c r="AG29" s="1563"/>
      <c r="AH29" s="53"/>
      <c r="AI29" s="1564"/>
      <c r="AJ29" s="53"/>
      <c r="AK29" s="1564"/>
      <c r="AL29" s="53"/>
      <c r="AM29" s="1564"/>
      <c r="AN29" s="53"/>
      <c r="AO29" s="1564"/>
      <c r="AP29" s="53"/>
      <c r="AQ29" s="1564"/>
      <c r="AR29" s="53"/>
      <c r="AS29" s="1564"/>
      <c r="AT29" s="53"/>
      <c r="AU29" s="1564"/>
      <c r="AV29" s="53"/>
      <c r="AW29" s="1564"/>
      <c r="AX29" s="1554"/>
      <c r="AY29" s="1558"/>
      <c r="AZ29" s="1558"/>
      <c r="BA29" s="1554"/>
      <c r="BB29" s="1593"/>
      <c r="BC29" s="1593"/>
      <c r="BD29" s="1565"/>
      <c r="BE29" s="1554"/>
      <c r="BF29" s="1565"/>
      <c r="BG29" s="1554"/>
      <c r="BH29" s="1566"/>
    </row>
    <row r="30" spans="1:60" s="746" customFormat="1" ht="21" customHeight="1" x14ac:dyDescent="0.25">
      <c r="A30" s="930"/>
      <c r="B30" s="1551"/>
      <c r="C30" s="930"/>
      <c r="D30" s="1551"/>
      <c r="E30" s="1567"/>
      <c r="F30" s="1568">
        <v>89</v>
      </c>
      <c r="G30" s="103" t="s">
        <v>277</v>
      </c>
      <c r="H30" s="105"/>
      <c r="I30" s="785"/>
      <c r="J30" s="105"/>
      <c r="K30" s="105"/>
      <c r="L30" s="934"/>
      <c r="M30" s="105"/>
      <c r="N30" s="90"/>
      <c r="O30" s="73"/>
      <c r="P30" s="780"/>
      <c r="Q30" s="1569"/>
      <c r="R30" s="73"/>
      <c r="S30" s="1570"/>
      <c r="T30" s="1570"/>
      <c r="U30" s="1571"/>
      <c r="V30" s="1542"/>
      <c r="W30" s="1572"/>
      <c r="X30" s="782"/>
      <c r="Y30" s="90"/>
      <c r="Z30" s="105"/>
      <c r="AA30" s="1573"/>
      <c r="AB30" s="105"/>
      <c r="AC30" s="1574"/>
      <c r="AD30" s="1575"/>
      <c r="AE30" s="935"/>
      <c r="AF30" s="105"/>
      <c r="AG30" s="939"/>
      <c r="AH30" s="105"/>
      <c r="AI30" s="936"/>
      <c r="AJ30" s="105"/>
      <c r="AK30" s="936"/>
      <c r="AL30" s="105"/>
      <c r="AM30" s="936"/>
      <c r="AN30" s="105"/>
      <c r="AO30" s="936"/>
      <c r="AP30" s="105"/>
      <c r="AQ30" s="936"/>
      <c r="AR30" s="105"/>
      <c r="AS30" s="936"/>
      <c r="AT30" s="105"/>
      <c r="AU30" s="936"/>
      <c r="AV30" s="105"/>
      <c r="AW30" s="936"/>
      <c r="AX30" s="934"/>
      <c r="AY30" s="1542"/>
      <c r="AZ30" s="1542"/>
      <c r="BA30" s="934"/>
      <c r="BB30" s="1591"/>
      <c r="BC30" s="1591"/>
      <c r="BD30" s="784"/>
      <c r="BE30" s="934"/>
      <c r="BF30" s="784"/>
      <c r="BG30" s="934"/>
      <c r="BH30" s="1576"/>
    </row>
    <row r="31" spans="1:60" ht="73.5" customHeight="1" x14ac:dyDescent="0.2">
      <c r="A31" s="41"/>
      <c r="B31" s="689"/>
      <c r="C31" s="41"/>
      <c r="D31" s="689"/>
      <c r="F31" s="41"/>
      <c r="G31" s="689"/>
      <c r="H31" s="2640">
        <v>288</v>
      </c>
      <c r="I31" s="2428" t="s">
        <v>278</v>
      </c>
      <c r="J31" s="2595" t="s">
        <v>18</v>
      </c>
      <c r="K31" s="3634">
        <v>1</v>
      </c>
      <c r="L31" s="2415">
        <v>0.33</v>
      </c>
      <c r="M31" s="2595" t="s">
        <v>279</v>
      </c>
      <c r="N31" s="2595">
        <v>81</v>
      </c>
      <c r="O31" s="2424" t="s">
        <v>280</v>
      </c>
      <c r="P31" s="2587">
        <f>(U31+U32+U33+U34)/Q31</f>
        <v>1</v>
      </c>
      <c r="Q31" s="3568">
        <f>SUM(U31:U38)</f>
        <v>869504873</v>
      </c>
      <c r="R31" s="3681" t="s">
        <v>281</v>
      </c>
      <c r="S31" s="703" t="s">
        <v>282</v>
      </c>
      <c r="T31" s="703" t="s">
        <v>283</v>
      </c>
      <c r="U31" s="1577">
        <f>66500000+37500000</f>
        <v>104000000</v>
      </c>
      <c r="V31" s="953">
        <v>19720000</v>
      </c>
      <c r="W31" s="963">
        <v>2000000</v>
      </c>
      <c r="X31" s="2572">
        <v>20</v>
      </c>
      <c r="Y31" s="2595" t="s">
        <v>153</v>
      </c>
      <c r="Z31" s="3645">
        <v>64149</v>
      </c>
      <c r="AA31" s="2415">
        <v>0</v>
      </c>
      <c r="AB31" s="3645">
        <v>72224</v>
      </c>
      <c r="AC31" s="2415">
        <v>0</v>
      </c>
      <c r="AD31" s="3643">
        <v>24477</v>
      </c>
      <c r="AE31" s="2415">
        <v>0</v>
      </c>
      <c r="AF31" s="3643">
        <v>86843</v>
      </c>
      <c r="AG31" s="2714">
        <v>0</v>
      </c>
      <c r="AH31" s="3643">
        <v>236429</v>
      </c>
      <c r="AI31" s="2714">
        <v>0</v>
      </c>
      <c r="AJ31" s="3643">
        <v>81384</v>
      </c>
      <c r="AK31" s="2714">
        <v>0</v>
      </c>
      <c r="AL31" s="3643">
        <v>13208</v>
      </c>
      <c r="AM31" s="2714">
        <v>0</v>
      </c>
      <c r="AN31" s="3643">
        <v>1817</v>
      </c>
      <c r="AO31" s="2714"/>
      <c r="AP31" s="3643"/>
      <c r="AQ31" s="2714"/>
      <c r="AR31" s="3643"/>
      <c r="AS31" s="2714"/>
      <c r="AT31" s="3643"/>
      <c r="AU31" s="2714"/>
      <c r="AV31" s="3643"/>
      <c r="AW31" s="2714"/>
      <c r="AX31" s="577">
        <v>4</v>
      </c>
      <c r="AY31" s="1550">
        <f>V31</f>
        <v>19720000</v>
      </c>
      <c r="AZ31" s="1546">
        <f>W31</f>
        <v>2000000</v>
      </c>
      <c r="BA31" s="1578">
        <f>AZ31/AY31</f>
        <v>0.10141987829614604</v>
      </c>
      <c r="BB31" s="451" t="s">
        <v>121</v>
      </c>
      <c r="BC31" s="601" t="s">
        <v>284</v>
      </c>
      <c r="BD31" s="2578">
        <v>42736</v>
      </c>
      <c r="BE31" s="3691">
        <v>42755</v>
      </c>
      <c r="BF31" s="2579">
        <v>43100</v>
      </c>
      <c r="BG31" s="3691">
        <v>42937</v>
      </c>
      <c r="BH31" s="2598" t="s">
        <v>255</v>
      </c>
    </row>
    <row r="32" spans="1:60" ht="71.25" x14ac:dyDescent="0.2">
      <c r="A32" s="41"/>
      <c r="B32" s="689"/>
      <c r="C32" s="41"/>
      <c r="D32" s="689"/>
      <c r="F32" s="41"/>
      <c r="G32" s="689"/>
      <c r="H32" s="2640"/>
      <c r="I32" s="2428"/>
      <c r="J32" s="2603"/>
      <c r="K32" s="2611"/>
      <c r="L32" s="2416"/>
      <c r="M32" s="2603"/>
      <c r="N32" s="2603"/>
      <c r="O32" s="2428"/>
      <c r="P32" s="2588"/>
      <c r="Q32" s="3569"/>
      <c r="R32" s="3682"/>
      <c r="S32" s="1579" t="s">
        <v>285</v>
      </c>
      <c r="T32" s="703" t="s">
        <v>286</v>
      </c>
      <c r="U32" s="1577">
        <f>184904873+37500000</f>
        <v>222404873</v>
      </c>
      <c r="V32" s="953">
        <v>76110000</v>
      </c>
      <c r="W32" s="963">
        <v>37988000</v>
      </c>
      <c r="X32" s="2573"/>
      <c r="Y32" s="2603"/>
      <c r="Z32" s="3644"/>
      <c r="AA32" s="2416"/>
      <c r="AB32" s="3644"/>
      <c r="AC32" s="2416"/>
      <c r="AD32" s="3643"/>
      <c r="AE32" s="2416"/>
      <c r="AF32" s="3643"/>
      <c r="AG32" s="2715"/>
      <c r="AH32" s="3643"/>
      <c r="AI32" s="2715"/>
      <c r="AJ32" s="3643"/>
      <c r="AK32" s="2715"/>
      <c r="AL32" s="3643"/>
      <c r="AM32" s="2715"/>
      <c r="AN32" s="3643"/>
      <c r="AO32" s="2715"/>
      <c r="AP32" s="3643"/>
      <c r="AQ32" s="2715"/>
      <c r="AR32" s="3643"/>
      <c r="AS32" s="2715"/>
      <c r="AT32" s="3643"/>
      <c r="AU32" s="2715"/>
      <c r="AV32" s="3643"/>
      <c r="AW32" s="2715"/>
      <c r="AX32" s="577">
        <v>15</v>
      </c>
      <c r="AY32" s="1550">
        <f t="shared" ref="AY32:AZ33" si="1">V32</f>
        <v>76110000</v>
      </c>
      <c r="AZ32" s="1546">
        <f t="shared" si="1"/>
        <v>37988000</v>
      </c>
      <c r="BA32" s="1578">
        <f>AZ32/AY32</f>
        <v>0.49911969517803179</v>
      </c>
      <c r="BB32" s="860" t="s">
        <v>121</v>
      </c>
      <c r="BC32" s="601" t="s">
        <v>284</v>
      </c>
      <c r="BD32" s="2579"/>
      <c r="BE32" s="2696"/>
      <c r="BF32" s="2579"/>
      <c r="BG32" s="2696"/>
      <c r="BH32" s="2598"/>
    </row>
    <row r="33" spans="1:60" ht="114" x14ac:dyDescent="0.2">
      <c r="A33" s="41"/>
      <c r="B33" s="689"/>
      <c r="C33" s="41"/>
      <c r="D33" s="689"/>
      <c r="F33" s="41"/>
      <c r="G33" s="689"/>
      <c r="H33" s="2640"/>
      <c r="I33" s="2428"/>
      <c r="J33" s="2603"/>
      <c r="K33" s="2611"/>
      <c r="L33" s="2416"/>
      <c r="M33" s="2603"/>
      <c r="N33" s="2603"/>
      <c r="O33" s="2428"/>
      <c r="P33" s="2588"/>
      <c r="Q33" s="3569"/>
      <c r="R33" s="3682"/>
      <c r="S33" s="3684" t="s">
        <v>287</v>
      </c>
      <c r="T33" s="703" t="s">
        <v>288</v>
      </c>
      <c r="U33" s="1580">
        <f>32600000+37500000</f>
        <v>70100000</v>
      </c>
      <c r="V33" s="953">
        <v>17460000</v>
      </c>
      <c r="W33" s="963">
        <v>4020000</v>
      </c>
      <c r="X33" s="2573"/>
      <c r="Y33" s="2603"/>
      <c r="Z33" s="3644"/>
      <c r="AA33" s="2416"/>
      <c r="AB33" s="3644"/>
      <c r="AC33" s="2416"/>
      <c r="AD33" s="3643"/>
      <c r="AE33" s="2416"/>
      <c r="AF33" s="3643"/>
      <c r="AG33" s="2715"/>
      <c r="AH33" s="3643"/>
      <c r="AI33" s="2715"/>
      <c r="AJ33" s="3643"/>
      <c r="AK33" s="2715"/>
      <c r="AL33" s="3643"/>
      <c r="AM33" s="2715"/>
      <c r="AN33" s="3643"/>
      <c r="AO33" s="2715"/>
      <c r="AP33" s="3643"/>
      <c r="AQ33" s="2715"/>
      <c r="AR33" s="3643"/>
      <c r="AS33" s="2715"/>
      <c r="AT33" s="3643"/>
      <c r="AU33" s="2715"/>
      <c r="AV33" s="3643"/>
      <c r="AW33" s="2715"/>
      <c r="AX33" s="577">
        <v>4</v>
      </c>
      <c r="AY33" s="1550">
        <f t="shared" si="1"/>
        <v>17460000</v>
      </c>
      <c r="AZ33" s="1546">
        <f t="shared" si="1"/>
        <v>4020000</v>
      </c>
      <c r="BA33" s="1578">
        <f>AZ33/AY33</f>
        <v>0.23024054982817868</v>
      </c>
      <c r="BB33" s="860" t="s">
        <v>121</v>
      </c>
      <c r="BC33" s="601" t="s">
        <v>284</v>
      </c>
      <c r="BD33" s="2579"/>
      <c r="BE33" s="2696"/>
      <c r="BF33" s="2579"/>
      <c r="BG33" s="2696"/>
      <c r="BH33" s="2598"/>
    </row>
    <row r="34" spans="1:60" ht="12.75" customHeight="1" x14ac:dyDescent="0.2">
      <c r="A34" s="41"/>
      <c r="B34" s="689"/>
      <c r="C34" s="41"/>
      <c r="D34" s="689"/>
      <c r="F34" s="41"/>
      <c r="G34" s="689"/>
      <c r="H34" s="2640"/>
      <c r="I34" s="2428"/>
      <c r="J34" s="2603"/>
      <c r="K34" s="2611"/>
      <c r="L34" s="2416"/>
      <c r="M34" s="2603"/>
      <c r="N34" s="2603"/>
      <c r="O34" s="2428"/>
      <c r="P34" s="2588"/>
      <c r="Q34" s="3569"/>
      <c r="R34" s="3682"/>
      <c r="S34" s="3684"/>
      <c r="T34" s="3684" t="s">
        <v>289</v>
      </c>
      <c r="U34" s="3685">
        <f>435500000+37500000</f>
        <v>473000000</v>
      </c>
      <c r="V34" s="3688">
        <v>10520000</v>
      </c>
      <c r="W34" s="3646">
        <v>1680000</v>
      </c>
      <c r="X34" s="2573"/>
      <c r="Y34" s="2603"/>
      <c r="Z34" s="3644"/>
      <c r="AA34" s="2416"/>
      <c r="AB34" s="3644"/>
      <c r="AC34" s="2416"/>
      <c r="AD34" s="3643"/>
      <c r="AE34" s="2416"/>
      <c r="AF34" s="3643"/>
      <c r="AG34" s="2715"/>
      <c r="AH34" s="3643"/>
      <c r="AI34" s="2715"/>
      <c r="AJ34" s="3643"/>
      <c r="AK34" s="2715"/>
      <c r="AL34" s="3643"/>
      <c r="AM34" s="2715"/>
      <c r="AN34" s="3643"/>
      <c r="AO34" s="2715"/>
      <c r="AP34" s="3643"/>
      <c r="AQ34" s="2715"/>
      <c r="AR34" s="3643"/>
      <c r="AS34" s="2715"/>
      <c r="AT34" s="3643"/>
      <c r="AU34" s="2715"/>
      <c r="AV34" s="3643"/>
      <c r="AW34" s="2715"/>
      <c r="AX34" s="2696">
        <v>4</v>
      </c>
      <c r="AY34" s="3665">
        <f>V34</f>
        <v>10520000</v>
      </c>
      <c r="AZ34" s="3693">
        <f>W34</f>
        <v>1680000</v>
      </c>
      <c r="BA34" s="3694">
        <f>AZ34/AY34</f>
        <v>0.1596958174904943</v>
      </c>
      <c r="BB34" s="3695" t="s">
        <v>121</v>
      </c>
      <c r="BC34" s="2712" t="s">
        <v>290</v>
      </c>
      <c r="BD34" s="2579"/>
      <c r="BE34" s="2696"/>
      <c r="BF34" s="2579"/>
      <c r="BG34" s="2696"/>
      <c r="BH34" s="2598"/>
    </row>
    <row r="35" spans="1:60" x14ac:dyDescent="0.2">
      <c r="A35" s="41"/>
      <c r="B35" s="688"/>
      <c r="C35" s="41"/>
      <c r="D35" s="689"/>
      <c r="F35" s="41"/>
      <c r="G35" s="689"/>
      <c r="H35" s="2640"/>
      <c r="I35" s="2428"/>
      <c r="J35" s="2603"/>
      <c r="K35" s="2611"/>
      <c r="L35" s="2416"/>
      <c r="M35" s="2603"/>
      <c r="N35" s="2603"/>
      <c r="O35" s="2428"/>
      <c r="P35" s="2588"/>
      <c r="Q35" s="3569"/>
      <c r="R35" s="3682"/>
      <c r="S35" s="3684"/>
      <c r="T35" s="3684"/>
      <c r="U35" s="3686"/>
      <c r="V35" s="3689"/>
      <c r="W35" s="3692"/>
      <c r="X35" s="2573"/>
      <c r="Y35" s="2603"/>
      <c r="Z35" s="3644"/>
      <c r="AA35" s="2416"/>
      <c r="AB35" s="3644"/>
      <c r="AC35" s="2416"/>
      <c r="AD35" s="3643"/>
      <c r="AE35" s="2416"/>
      <c r="AF35" s="3643"/>
      <c r="AG35" s="2715"/>
      <c r="AH35" s="3643"/>
      <c r="AI35" s="2715"/>
      <c r="AJ35" s="3643"/>
      <c r="AK35" s="2715"/>
      <c r="AL35" s="3643"/>
      <c r="AM35" s="2715"/>
      <c r="AN35" s="3643"/>
      <c r="AO35" s="2715"/>
      <c r="AP35" s="3643"/>
      <c r="AQ35" s="2715"/>
      <c r="AR35" s="3643"/>
      <c r="AS35" s="2715"/>
      <c r="AT35" s="3643"/>
      <c r="AU35" s="2715"/>
      <c r="AV35" s="3643"/>
      <c r="AW35" s="2715"/>
      <c r="AX35" s="2696"/>
      <c r="AY35" s="3677"/>
      <c r="AZ35" s="3693"/>
      <c r="BA35" s="3694"/>
      <c r="BB35" s="3695"/>
      <c r="BC35" s="3150"/>
      <c r="BD35" s="2579"/>
      <c r="BE35" s="2696"/>
      <c r="BF35" s="2579"/>
      <c r="BG35" s="2696"/>
      <c r="BH35" s="2598"/>
    </row>
    <row r="36" spans="1:60" x14ac:dyDescent="0.2">
      <c r="A36" s="41"/>
      <c r="B36" s="688"/>
      <c r="C36" s="41"/>
      <c r="D36" s="689"/>
      <c r="F36" s="41"/>
      <c r="G36" s="689"/>
      <c r="H36" s="2640"/>
      <c r="I36" s="2428"/>
      <c r="J36" s="2603"/>
      <c r="K36" s="2611"/>
      <c r="L36" s="2416"/>
      <c r="M36" s="2603"/>
      <c r="N36" s="2603"/>
      <c r="O36" s="2428"/>
      <c r="P36" s="2588"/>
      <c r="Q36" s="3569"/>
      <c r="R36" s="3682"/>
      <c r="S36" s="3684"/>
      <c r="T36" s="3684"/>
      <c r="U36" s="3686"/>
      <c r="V36" s="3689"/>
      <c r="W36" s="3692"/>
      <c r="X36" s="2573"/>
      <c r="Y36" s="2603"/>
      <c r="Z36" s="3644"/>
      <c r="AA36" s="2416"/>
      <c r="AB36" s="3644"/>
      <c r="AC36" s="2416"/>
      <c r="AD36" s="3643"/>
      <c r="AE36" s="2416"/>
      <c r="AF36" s="3643"/>
      <c r="AG36" s="2715"/>
      <c r="AH36" s="3643"/>
      <c r="AI36" s="2715"/>
      <c r="AJ36" s="3643"/>
      <c r="AK36" s="2715"/>
      <c r="AL36" s="3643"/>
      <c r="AM36" s="2715"/>
      <c r="AN36" s="3643"/>
      <c r="AO36" s="2715"/>
      <c r="AP36" s="3643"/>
      <c r="AQ36" s="2715"/>
      <c r="AR36" s="3643"/>
      <c r="AS36" s="2715"/>
      <c r="AT36" s="3643"/>
      <c r="AU36" s="2715"/>
      <c r="AV36" s="3643"/>
      <c r="AW36" s="2715"/>
      <c r="AX36" s="2696"/>
      <c r="AY36" s="3677"/>
      <c r="AZ36" s="3693"/>
      <c r="BA36" s="3694"/>
      <c r="BB36" s="3695"/>
      <c r="BC36" s="3150"/>
      <c r="BD36" s="2579"/>
      <c r="BE36" s="2696"/>
      <c r="BF36" s="2579"/>
      <c r="BG36" s="2696"/>
      <c r="BH36" s="2598"/>
    </row>
    <row r="37" spans="1:60" x14ac:dyDescent="0.2">
      <c r="A37" s="41"/>
      <c r="B37" s="688"/>
      <c r="C37" s="41"/>
      <c r="D37" s="689"/>
      <c r="F37" s="41"/>
      <c r="G37" s="689"/>
      <c r="H37" s="2640"/>
      <c r="I37" s="2428"/>
      <c r="J37" s="2603"/>
      <c r="K37" s="2611"/>
      <c r="L37" s="2416"/>
      <c r="M37" s="2603"/>
      <c r="N37" s="2603"/>
      <c r="O37" s="2428"/>
      <c r="P37" s="2588"/>
      <c r="Q37" s="3569"/>
      <c r="R37" s="3682"/>
      <c r="S37" s="3684"/>
      <c r="T37" s="3684"/>
      <c r="U37" s="3686"/>
      <c r="V37" s="3689"/>
      <c r="W37" s="3692"/>
      <c r="X37" s="2573"/>
      <c r="Y37" s="2603"/>
      <c r="Z37" s="3644"/>
      <c r="AA37" s="2416"/>
      <c r="AB37" s="3644"/>
      <c r="AC37" s="2416"/>
      <c r="AD37" s="3643"/>
      <c r="AE37" s="2416"/>
      <c r="AF37" s="3643"/>
      <c r="AG37" s="2715"/>
      <c r="AH37" s="3643"/>
      <c r="AI37" s="2715"/>
      <c r="AJ37" s="3643"/>
      <c r="AK37" s="2715"/>
      <c r="AL37" s="3643"/>
      <c r="AM37" s="2715"/>
      <c r="AN37" s="3643"/>
      <c r="AO37" s="2715"/>
      <c r="AP37" s="3643"/>
      <c r="AQ37" s="2715"/>
      <c r="AR37" s="3643"/>
      <c r="AS37" s="2715"/>
      <c r="AT37" s="3643"/>
      <c r="AU37" s="2715"/>
      <c r="AV37" s="3643"/>
      <c r="AW37" s="2715"/>
      <c r="AX37" s="2696"/>
      <c r="AY37" s="3677"/>
      <c r="AZ37" s="3693"/>
      <c r="BA37" s="3694"/>
      <c r="BB37" s="3695"/>
      <c r="BC37" s="3150"/>
      <c r="BD37" s="2579"/>
      <c r="BE37" s="2696"/>
      <c r="BF37" s="2579"/>
      <c r="BG37" s="2696"/>
      <c r="BH37" s="2598"/>
    </row>
    <row r="38" spans="1:60" x14ac:dyDescent="0.2">
      <c r="A38" s="41"/>
      <c r="B38" s="688"/>
      <c r="C38" s="41"/>
      <c r="D38" s="689"/>
      <c r="F38" s="41"/>
      <c r="G38" s="689"/>
      <c r="H38" s="2640"/>
      <c r="I38" s="2428"/>
      <c r="J38" s="2603"/>
      <c r="K38" s="2611"/>
      <c r="L38" s="2416"/>
      <c r="M38" s="2603"/>
      <c r="N38" s="2603"/>
      <c r="O38" s="2428"/>
      <c r="P38" s="2588"/>
      <c r="Q38" s="3570"/>
      <c r="R38" s="3683"/>
      <c r="S38" s="3684"/>
      <c r="T38" s="3684"/>
      <c r="U38" s="3687"/>
      <c r="V38" s="3690"/>
      <c r="W38" s="3647"/>
      <c r="X38" s="2574"/>
      <c r="Y38" s="2596"/>
      <c r="Z38" s="3679"/>
      <c r="AA38" s="2417"/>
      <c r="AB38" s="3679"/>
      <c r="AC38" s="2417"/>
      <c r="AD38" s="3680"/>
      <c r="AE38" s="2417"/>
      <c r="AF38" s="3680"/>
      <c r="AG38" s="2716"/>
      <c r="AH38" s="3680"/>
      <c r="AI38" s="2716"/>
      <c r="AJ38" s="3680"/>
      <c r="AK38" s="2716"/>
      <c r="AL38" s="3680"/>
      <c r="AM38" s="2716"/>
      <c r="AN38" s="3680"/>
      <c r="AO38" s="2716"/>
      <c r="AP38" s="3680"/>
      <c r="AQ38" s="2716"/>
      <c r="AR38" s="3680"/>
      <c r="AS38" s="2716"/>
      <c r="AT38" s="3680"/>
      <c r="AU38" s="2716"/>
      <c r="AV38" s="3680"/>
      <c r="AW38" s="2716"/>
      <c r="AX38" s="2696"/>
      <c r="AY38" s="3666"/>
      <c r="AZ38" s="3693"/>
      <c r="BA38" s="3694"/>
      <c r="BB38" s="3695"/>
      <c r="BC38" s="2713"/>
      <c r="BD38" s="2580"/>
      <c r="BE38" s="2696"/>
      <c r="BF38" s="2580"/>
      <c r="BG38" s="2696"/>
      <c r="BH38" s="2598"/>
    </row>
    <row r="39" spans="1:60" s="102" customFormat="1" ht="22.5" customHeight="1" x14ac:dyDescent="0.25">
      <c r="A39" s="680"/>
      <c r="B39" s="1581"/>
      <c r="C39" s="1581"/>
      <c r="D39" s="1581"/>
      <c r="E39" s="1581"/>
      <c r="F39" s="1581"/>
      <c r="G39" s="1581"/>
      <c r="H39" s="1581"/>
      <c r="I39" s="1581"/>
      <c r="J39" s="1581"/>
      <c r="K39" s="1581"/>
      <c r="L39" s="741"/>
      <c r="M39" s="1581"/>
      <c r="N39" s="1581"/>
      <c r="O39" s="3148" t="s">
        <v>291</v>
      </c>
      <c r="P39" s="3149"/>
      <c r="Q39" s="1582">
        <f>SUM(Q31+Q21+Q13)</f>
        <v>2239039539</v>
      </c>
      <c r="R39" s="680"/>
      <c r="S39" s="1581"/>
      <c r="T39" s="737"/>
      <c r="U39" s="1583">
        <f>SUM(U13:U28)+SUM(U31:U38)</f>
        <v>2239039539</v>
      </c>
      <c r="V39" s="740">
        <f>SUM(V13:V38)</f>
        <v>264260000</v>
      </c>
      <c r="W39" s="740">
        <f>SUM(W13:W38)</f>
        <v>77898000</v>
      </c>
      <c r="X39" s="680"/>
      <c r="Y39" s="1581"/>
      <c r="Z39" s="1581"/>
      <c r="AA39" s="741"/>
      <c r="AB39" s="1581"/>
      <c r="AC39" s="733"/>
      <c r="AD39" s="1581"/>
      <c r="AE39" s="733"/>
      <c r="AF39" s="1581"/>
      <c r="AG39" s="1584"/>
      <c r="AH39" s="1581"/>
      <c r="AI39" s="734"/>
      <c r="AJ39" s="1581"/>
      <c r="AK39" s="734"/>
      <c r="AL39" s="1581"/>
      <c r="AM39" s="734"/>
      <c r="AN39" s="1581"/>
      <c r="AO39" s="734"/>
      <c r="AP39" s="1585"/>
      <c r="AQ39" s="734"/>
      <c r="AR39" s="1581"/>
      <c r="AS39" s="734"/>
      <c r="AT39" s="1581"/>
      <c r="AU39" s="734"/>
      <c r="AV39" s="1581"/>
      <c r="AW39" s="734"/>
      <c r="AX39" s="735"/>
      <c r="AY39" s="740">
        <f>SUM(AY13:AY38)</f>
        <v>264260000</v>
      </c>
      <c r="AZ39" s="740">
        <f>SUM(AZ13:AZ38)</f>
        <v>77898000</v>
      </c>
      <c r="BA39" s="1165">
        <f>AZ39/AY39</f>
        <v>0.29477787027927044</v>
      </c>
      <c r="BB39" s="1594"/>
      <c r="BC39" s="1595"/>
      <c r="BD39" s="741"/>
      <c r="BE39" s="741"/>
      <c r="BF39" s="741"/>
      <c r="BG39" s="741"/>
      <c r="BH39" s="1076"/>
    </row>
    <row r="40" spans="1:60" x14ac:dyDescent="0.2">
      <c r="AP40" s="855"/>
    </row>
    <row r="41" spans="1:60" x14ac:dyDescent="0.2">
      <c r="AP41" s="1312"/>
    </row>
    <row r="42" spans="1:60" x14ac:dyDescent="0.2">
      <c r="AP42" s="1312"/>
    </row>
    <row r="43" spans="1:60" ht="15" x14ac:dyDescent="0.2">
      <c r="K43" s="2683" t="s">
        <v>292</v>
      </c>
      <c r="L43" s="2683"/>
      <c r="M43" s="2683"/>
      <c r="N43" s="2683"/>
      <c r="AP43" s="1312"/>
    </row>
    <row r="44" spans="1:60" x14ac:dyDescent="0.2">
      <c r="K44" s="2684" t="s">
        <v>293</v>
      </c>
      <c r="L44" s="2684"/>
      <c r="M44" s="2684"/>
      <c r="N44" s="2684"/>
    </row>
  </sheetData>
  <sheetProtection password="CBEB" sheet="1" objects="1" scenarios="1"/>
  <mergeCells count="238">
    <mergeCell ref="O39:P39"/>
    <mergeCell ref="K43:N43"/>
    <mergeCell ref="K44:N44"/>
    <mergeCell ref="W34:W38"/>
    <mergeCell ref="AX34:AX38"/>
    <mergeCell ref="AY34:AY38"/>
    <mergeCell ref="AZ34:AZ38"/>
    <mergeCell ref="BA34:BA38"/>
    <mergeCell ref="BB34:BB38"/>
    <mergeCell ref="AW31:AW38"/>
    <mergeCell ref="AK31:AK38"/>
    <mergeCell ref="AL31:AL38"/>
    <mergeCell ref="AM31:AM38"/>
    <mergeCell ref="AN31:AN38"/>
    <mergeCell ref="AO31:AO38"/>
    <mergeCell ref="AP31:AP38"/>
    <mergeCell ref="AE31:AE38"/>
    <mergeCell ref="AF31:AF38"/>
    <mergeCell ref="AG31:AG38"/>
    <mergeCell ref="AH31:AH38"/>
    <mergeCell ref="AI31:AI38"/>
    <mergeCell ref="AJ31:AJ38"/>
    <mergeCell ref="Y31:Y38"/>
    <mergeCell ref="Z31:Z38"/>
    <mergeCell ref="BD31:BD38"/>
    <mergeCell ref="BE31:BE38"/>
    <mergeCell ref="BF31:BF38"/>
    <mergeCell ref="BG31:BG38"/>
    <mergeCell ref="BH31:BH38"/>
    <mergeCell ref="BC34:BC38"/>
    <mergeCell ref="AQ31:AQ38"/>
    <mergeCell ref="AR31:AR38"/>
    <mergeCell ref="AS31:AS38"/>
    <mergeCell ref="AT31:AT38"/>
    <mergeCell ref="AU31:AU38"/>
    <mergeCell ref="AV31:AV38"/>
    <mergeCell ref="AA31:AA38"/>
    <mergeCell ref="AB31:AB38"/>
    <mergeCell ref="AC31:AC38"/>
    <mergeCell ref="AD31:AD38"/>
    <mergeCell ref="N31:N38"/>
    <mergeCell ref="O31:O38"/>
    <mergeCell ref="P31:P38"/>
    <mergeCell ref="Q31:Q38"/>
    <mergeCell ref="R31:R38"/>
    <mergeCell ref="X31:X38"/>
    <mergeCell ref="S33:S38"/>
    <mergeCell ref="T34:T38"/>
    <mergeCell ref="U34:U38"/>
    <mergeCell ref="V34:V38"/>
    <mergeCell ref="H31:H38"/>
    <mergeCell ref="I31:I38"/>
    <mergeCell ref="J31:J38"/>
    <mergeCell ref="K31:K38"/>
    <mergeCell ref="L31:L38"/>
    <mergeCell ref="M31:M38"/>
    <mergeCell ref="AX27:AX28"/>
    <mergeCell ref="AY27:AY28"/>
    <mergeCell ref="AZ27:AZ28"/>
    <mergeCell ref="AN21:AN28"/>
    <mergeCell ref="AO21:AO28"/>
    <mergeCell ref="AP21:AP28"/>
    <mergeCell ref="AQ21:AQ28"/>
    <mergeCell ref="AF21:AF28"/>
    <mergeCell ref="AG21:AG28"/>
    <mergeCell ref="AH21:AH28"/>
    <mergeCell ref="AI21:AI28"/>
    <mergeCell ref="AJ21:AJ28"/>
    <mergeCell ref="AK21:AK28"/>
    <mergeCell ref="Z21:Z28"/>
    <mergeCell ref="AA21:AA28"/>
    <mergeCell ref="AB21:AB28"/>
    <mergeCell ref="AC21:AC28"/>
    <mergeCell ref="AD21:AD28"/>
    <mergeCell ref="BA27:BA28"/>
    <mergeCell ref="BB27:BB28"/>
    <mergeCell ref="BC27:BC28"/>
    <mergeCell ref="AX23:AX24"/>
    <mergeCell ref="AY23:AY24"/>
    <mergeCell ref="AZ23:AZ24"/>
    <mergeCell ref="BA23:BA24"/>
    <mergeCell ref="BB23:BB24"/>
    <mergeCell ref="BC23:BC24"/>
    <mergeCell ref="BD21:BD28"/>
    <mergeCell ref="BE21:BE28"/>
    <mergeCell ref="BF21:BF28"/>
    <mergeCell ref="BG21:BG28"/>
    <mergeCell ref="BH21:BH28"/>
    <mergeCell ref="S23:S28"/>
    <mergeCell ref="T23:T24"/>
    <mergeCell ref="U23:U24"/>
    <mergeCell ref="V23:V24"/>
    <mergeCell ref="W23:W24"/>
    <mergeCell ref="AX21:AX22"/>
    <mergeCell ref="AY21:AY22"/>
    <mergeCell ref="AZ21:AZ22"/>
    <mergeCell ref="BA21:BA22"/>
    <mergeCell ref="BB21:BB22"/>
    <mergeCell ref="BC21:BC22"/>
    <mergeCell ref="AR21:AR28"/>
    <mergeCell ref="AS21:AS28"/>
    <mergeCell ref="AT21:AT28"/>
    <mergeCell ref="AU21:AU28"/>
    <mergeCell ref="AV21:AV28"/>
    <mergeCell ref="AW21:AW28"/>
    <mergeCell ref="AL21:AL28"/>
    <mergeCell ref="AM21:AM28"/>
    <mergeCell ref="AE21:AE28"/>
    <mergeCell ref="T21:T22"/>
    <mergeCell ref="U21:U22"/>
    <mergeCell ref="V21:V22"/>
    <mergeCell ref="W21:W22"/>
    <mergeCell ref="X21:X28"/>
    <mergeCell ref="Y21:Y28"/>
    <mergeCell ref="T27:T28"/>
    <mergeCell ref="U27:U28"/>
    <mergeCell ref="V27:V28"/>
    <mergeCell ref="W27:W28"/>
    <mergeCell ref="N21:N28"/>
    <mergeCell ref="O21:O28"/>
    <mergeCell ref="P21:P28"/>
    <mergeCell ref="Q21:Q28"/>
    <mergeCell ref="R21:R28"/>
    <mergeCell ref="S21:S22"/>
    <mergeCell ref="H21:H28"/>
    <mergeCell ref="I21:I28"/>
    <mergeCell ref="J21:J28"/>
    <mergeCell ref="K21:K28"/>
    <mergeCell ref="L21:L28"/>
    <mergeCell ref="M21:M28"/>
    <mergeCell ref="AX19:AX20"/>
    <mergeCell ref="AY19:AY20"/>
    <mergeCell ref="AZ19:AZ20"/>
    <mergeCell ref="BA19:BA20"/>
    <mergeCell ref="BB19:BB20"/>
    <mergeCell ref="BC19:BC20"/>
    <mergeCell ref="BD13:BD20"/>
    <mergeCell ref="BE13:BE20"/>
    <mergeCell ref="BF13:BF20"/>
    <mergeCell ref="BG13:BG20"/>
    <mergeCell ref="BH13:BH20"/>
    <mergeCell ref="S15:S16"/>
    <mergeCell ref="S17:S20"/>
    <mergeCell ref="T19:T20"/>
    <mergeCell ref="U19:U20"/>
    <mergeCell ref="V19:V20"/>
    <mergeCell ref="AR13:AR20"/>
    <mergeCell ref="AS13:AS20"/>
    <mergeCell ref="AT13:AT20"/>
    <mergeCell ref="AU13:AU20"/>
    <mergeCell ref="AV13:AV20"/>
    <mergeCell ref="AW13:AW20"/>
    <mergeCell ref="AL13:AL20"/>
    <mergeCell ref="AM13:AM20"/>
    <mergeCell ref="AN13:AN20"/>
    <mergeCell ref="AO13:AO20"/>
    <mergeCell ref="AP13:AP20"/>
    <mergeCell ref="AQ13:AQ20"/>
    <mergeCell ref="AF13:AF20"/>
    <mergeCell ref="AG13:AG20"/>
    <mergeCell ref="AH13:AH20"/>
    <mergeCell ref="AI13:AI20"/>
    <mergeCell ref="AJ13:AJ20"/>
    <mergeCell ref="U7:W8"/>
    <mergeCell ref="X7:X9"/>
    <mergeCell ref="Y7:Y9"/>
    <mergeCell ref="O7:O9"/>
    <mergeCell ref="P7:P9"/>
    <mergeCell ref="Q7:Q9"/>
    <mergeCell ref="R7:R9"/>
    <mergeCell ref="S7:S9"/>
    <mergeCell ref="AK13:AK20"/>
    <mergeCell ref="Z13:Z20"/>
    <mergeCell ref="AA13:AA20"/>
    <mergeCell ref="AB13:AB20"/>
    <mergeCell ref="AC13:AC20"/>
    <mergeCell ref="AD13:AD20"/>
    <mergeCell ref="AE13:AE20"/>
    <mergeCell ref="P13:P20"/>
    <mergeCell ref="Q13:Q20"/>
    <mergeCell ref="R13:R20"/>
    <mergeCell ref="S13:S14"/>
    <mergeCell ref="X13:X20"/>
    <mergeCell ref="Y13:Y20"/>
    <mergeCell ref="W19:W20"/>
    <mergeCell ref="AB8:AC8"/>
    <mergeCell ref="AD8:AE8"/>
    <mergeCell ref="G12:H12"/>
    <mergeCell ref="H13:H20"/>
    <mergeCell ref="I13:I20"/>
    <mergeCell ref="J13:J20"/>
    <mergeCell ref="K13:K20"/>
    <mergeCell ref="L13:L20"/>
    <mergeCell ref="M13:M20"/>
    <mergeCell ref="N13:N20"/>
    <mergeCell ref="O13:O20"/>
    <mergeCell ref="AF8:AG8"/>
    <mergeCell ref="AH8:AI8"/>
    <mergeCell ref="AJ8:AK8"/>
    <mergeCell ref="AL8:AM8"/>
    <mergeCell ref="Z7:AK7"/>
    <mergeCell ref="AL7:AW7"/>
    <mergeCell ref="AX7:BC7"/>
    <mergeCell ref="AN8:AO8"/>
    <mergeCell ref="AP8:AQ8"/>
    <mergeCell ref="AR8:AS8"/>
    <mergeCell ref="AT8:AU8"/>
    <mergeCell ref="BC8:BC9"/>
    <mergeCell ref="AV8:AW8"/>
    <mergeCell ref="AX8:AX9"/>
    <mergeCell ref="AY8:AY9"/>
    <mergeCell ref="AZ8:AZ9"/>
    <mergeCell ref="BA8:BA9"/>
    <mergeCell ref="BB8:BB9"/>
    <mergeCell ref="AX5:BH6"/>
    <mergeCell ref="A1:BF2"/>
    <mergeCell ref="A3:BF3"/>
    <mergeCell ref="A4:BF4"/>
    <mergeCell ref="A5:L6"/>
    <mergeCell ref="M5:Y6"/>
    <mergeCell ref="Z5:AW6"/>
    <mergeCell ref="T7:T9"/>
    <mergeCell ref="H7:H9"/>
    <mergeCell ref="I7:I9"/>
    <mergeCell ref="J7:J9"/>
    <mergeCell ref="K7:L8"/>
    <mergeCell ref="M7:M9"/>
    <mergeCell ref="N7:N9"/>
    <mergeCell ref="A7:A9"/>
    <mergeCell ref="B7:B9"/>
    <mergeCell ref="C7:C9"/>
    <mergeCell ref="D7:E9"/>
    <mergeCell ref="F7:F9"/>
    <mergeCell ref="G7:G9"/>
    <mergeCell ref="BD7:BE8"/>
    <mergeCell ref="BF7:BG8"/>
    <mergeCell ref="BH7:BH8"/>
    <mergeCell ref="Z8:AA8"/>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3</vt:i4>
      </vt:variant>
    </vt:vector>
  </HeadingPairs>
  <TitlesOfParts>
    <vt:vector size="19" baseType="lpstr">
      <vt:lpstr>ADMINISTRATIVA</vt:lpstr>
      <vt:lpstr>PLANEACION</vt:lpstr>
      <vt:lpstr>HACIENDA</vt:lpstr>
      <vt:lpstr>AGUAS E INFRAESTRUCTURA</vt:lpstr>
      <vt:lpstr>INTERIOR</vt:lpstr>
      <vt:lpstr>CULTURA</vt:lpstr>
      <vt:lpstr>TURISMO</vt:lpstr>
      <vt:lpstr>AGRICULTURA</vt:lpstr>
      <vt:lpstr>PRIVADA</vt:lpstr>
      <vt:lpstr>EDUCACION</vt:lpstr>
      <vt:lpstr>FAMILIA</vt:lpstr>
      <vt:lpstr>REPRES. JUDICIAL</vt:lpstr>
      <vt:lpstr>SALUD</vt:lpstr>
      <vt:lpstr>INDEPORTES</vt:lpstr>
      <vt:lpstr>PROMOTORA</vt:lpstr>
      <vt:lpstr>IDTQ</vt:lpstr>
      <vt:lpstr>FAMILIA!Área_de_impresión</vt:lpstr>
      <vt:lpstr>EDUCACION!Títulos_a_imprimir</vt:lpstr>
      <vt:lpstr>HACIENDA!Títulos_a_imprimir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AUXPLANEACION12</dc:creator>
  <cp:keywords/>
  <dc:description/>
  <cp:lastModifiedBy>AUXPLANEACION03</cp:lastModifiedBy>
  <cp:revision/>
  <dcterms:created xsi:type="dcterms:W3CDTF">2017-04-05T21:48:10Z</dcterms:created>
  <dcterms:modified xsi:type="dcterms:W3CDTF">2018-08-01T16:38:18Z</dcterms:modified>
  <cp:category/>
  <cp:contentStatus/>
</cp:coreProperties>
</file>