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GOBERNACION QUINDIO 2020\PAGINA WEB\SEPTIEMBRE\"/>
    </mc:Choice>
  </mc:AlternateContent>
  <bookViews>
    <workbookView xWindow="0" yWindow="0" windowWidth="24000" windowHeight="9435" activeTab="14"/>
  </bookViews>
  <sheets>
    <sheet name="SGTO PA PLANEACIÓN " sheetId="1" r:id="rId1"/>
    <sheet name="SGTO PA HACIENDA" sheetId="2" r:id="rId2"/>
    <sheet name="SGTP PA INFRA SEGUIMIENTO" sheetId="4" r:id="rId3"/>
    <sheet name="SGTO PA INTERIOR" sheetId="5" r:id="rId4"/>
    <sheet name="SGTO PA CULTURA" sheetId="6" r:id="rId5"/>
    <sheet name="SGTO PA TURISMO " sheetId="7" r:id="rId6"/>
    <sheet name="SGTO PA GRICULTURA" sheetId="14" r:id="rId7"/>
    <sheet name="SGTO D. OFICINA PRIVADA" sheetId="8" r:id="rId8"/>
    <sheet name="SGTO PA EDUCACIÓN" sheetId="9" r:id="rId9"/>
    <sheet name="SGTO PA FAMILIA " sheetId="10" r:id="rId10"/>
    <sheet name="SGTO PA SALUD" sheetId="16" r:id="rId11"/>
    <sheet name="SGTO PA TICS" sheetId="11" r:id="rId12"/>
    <sheet name="SGTO PA INDEPORTES" sheetId="12" r:id="rId13"/>
    <sheet name="SGTO PA PROMOTORA" sheetId="15" r:id="rId14"/>
    <sheet name="SGTO PA IDTQ" sheetId="13" r:id="rId15"/>
  </sheets>
  <externalReferences>
    <externalReference r:id="rId16"/>
  </externalReferences>
  <definedNames>
    <definedName name="_1._Apoyo_con_equipos_para_la_seguridad_vial_Licenciamiento_de_software_para_comunicaciones" localSheetId="7">#REF!</definedName>
    <definedName name="_1._Apoyo_con_equipos_para_la_seguridad_vial_Licenciamiento_de_software_para_comunicaciones" localSheetId="4">#REF!</definedName>
    <definedName name="_1._Apoyo_con_equipos_para_la_seguridad_vial_Licenciamiento_de_software_para_comunicaciones" localSheetId="8">#REF!</definedName>
    <definedName name="_1._Apoyo_con_equipos_para_la_seguridad_vial_Licenciamiento_de_software_para_comunicaciones" localSheetId="9">#REF!</definedName>
    <definedName name="_1._Apoyo_con_equipos_para_la_seguridad_vial_Licenciamiento_de_software_para_comunicaciones" localSheetId="6">#REF!</definedName>
    <definedName name="_1._Apoyo_con_equipos_para_la_seguridad_vial_Licenciamiento_de_software_para_comunicaciones" localSheetId="1">#REF!</definedName>
    <definedName name="_1._Apoyo_con_equipos_para_la_seguridad_vial_Licenciamiento_de_software_para_comunicaciones" localSheetId="14">#REF!</definedName>
    <definedName name="_1._Apoyo_con_equipos_para_la_seguridad_vial_Licenciamiento_de_software_para_comunicaciones" localSheetId="12">#REF!</definedName>
    <definedName name="_1._Apoyo_con_equipos_para_la_seguridad_vial_Licenciamiento_de_software_para_comunicaciones" localSheetId="3">#REF!</definedName>
    <definedName name="_1._Apoyo_con_equipos_para_la_seguridad_vial_Licenciamiento_de_software_para_comunicaciones" localSheetId="0">#REF!</definedName>
    <definedName name="_1._Apoyo_con_equipos_para_la_seguridad_vial_Licenciamiento_de_software_para_comunicaciones" localSheetId="13">#REF!</definedName>
    <definedName name="_1._Apoyo_con_equipos_para_la_seguridad_vial_Licenciamiento_de_software_para_comunicaciones" localSheetId="10">#REF!</definedName>
    <definedName name="_1._Apoyo_con_equipos_para_la_seguridad_vial_Licenciamiento_de_software_para_comunicaciones" localSheetId="11">#REF!</definedName>
    <definedName name="_1._Apoyo_con_equipos_para_la_seguridad_vial_Licenciamiento_de_software_para_comunicaciones" localSheetId="5">#REF!</definedName>
    <definedName name="_1._Apoyo_con_equipos_para_la_seguridad_vial_Licenciamiento_de_software_para_comunicaciones" localSheetId="2">#REF!</definedName>
    <definedName name="_1._Apoyo_con_equipos_para_la_seguridad_vial_Licenciamiento_de_software_para_comunicaciones">#REF!</definedName>
    <definedName name="_xlnm._FilterDatabase" localSheetId="6" hidden="1">'SGTO PA GRICULTURA'!$M$1:$M$66</definedName>
    <definedName name="_xlnm._FilterDatabase" localSheetId="10" hidden="1">'SGTO PA SALUD'!$A$1:$BO$90</definedName>
    <definedName name="_xlnm.Print_Area" localSheetId="8">'SGTO PA EDUCACIÓN'!$A$1:$BO$12</definedName>
    <definedName name="_xlnm.Print_Area" localSheetId="0">'SGTO PA PLANEACIÓN '!$A$1:$BO$19</definedName>
    <definedName name="_xlnm.Print_Area" localSheetId="11">'SGTO PA TICS'!$A$1:$BO$12</definedName>
    <definedName name="_xlnm.Print_Area" localSheetId="5">'SGTO PA TURISMO '!$A$1:$BO$12</definedName>
    <definedName name="CODIGO_DIVIPOLA" localSheetId="7">#REF!</definedName>
    <definedName name="CODIGO_DIVIPOLA" localSheetId="4">#REF!</definedName>
    <definedName name="CODIGO_DIVIPOLA" localSheetId="8">#REF!</definedName>
    <definedName name="CODIGO_DIVIPOLA" localSheetId="9">#REF!</definedName>
    <definedName name="CODIGO_DIVIPOLA" localSheetId="6">#REF!</definedName>
    <definedName name="CODIGO_DIVIPOLA" localSheetId="1">#REF!</definedName>
    <definedName name="CODIGO_DIVIPOLA" localSheetId="14">#REF!</definedName>
    <definedName name="CODIGO_DIVIPOLA" localSheetId="12">#REF!</definedName>
    <definedName name="CODIGO_DIVIPOLA" localSheetId="3">#REF!</definedName>
    <definedName name="CODIGO_DIVIPOLA" localSheetId="13">#REF!</definedName>
    <definedName name="CODIGO_DIVIPOLA" localSheetId="10">#REF!</definedName>
    <definedName name="CODIGO_DIVIPOLA" localSheetId="11">#REF!</definedName>
    <definedName name="CODIGO_DIVIPOLA" localSheetId="5">#REF!</definedName>
    <definedName name="CODIGO_DIVIPOLA" localSheetId="2">#REF!</definedName>
    <definedName name="CODIGO_DIVIPOLA">#REF!</definedName>
    <definedName name="DboREGISTRO_LEY_617" localSheetId="7">#REF!</definedName>
    <definedName name="DboREGISTRO_LEY_617" localSheetId="4">#REF!</definedName>
    <definedName name="DboREGISTRO_LEY_617" localSheetId="8">#REF!</definedName>
    <definedName name="DboREGISTRO_LEY_617" localSheetId="9">#REF!</definedName>
    <definedName name="DboREGISTRO_LEY_617" localSheetId="6">#REF!</definedName>
    <definedName name="DboREGISTRO_LEY_617" localSheetId="1">#REF!</definedName>
    <definedName name="DboREGISTRO_LEY_617" localSheetId="14">#REF!</definedName>
    <definedName name="DboREGISTRO_LEY_617" localSheetId="12">#REF!</definedName>
    <definedName name="DboREGISTRO_LEY_617" localSheetId="3">#REF!</definedName>
    <definedName name="DboREGISTRO_LEY_617" localSheetId="13">#REF!</definedName>
    <definedName name="DboREGISTRO_LEY_617" localSheetId="10">#REF!</definedName>
    <definedName name="DboREGISTRO_LEY_617" localSheetId="11">#REF!</definedName>
    <definedName name="DboREGISTRO_LEY_617" localSheetId="5">#REF!</definedName>
    <definedName name="DboREGISTRO_LEY_617" localSheetId="2">#REF!</definedName>
    <definedName name="DboREGISTRO_LEY_617">#REF!</definedName>
    <definedName name="ññ" localSheetId="7">#REF!</definedName>
    <definedName name="ññ" localSheetId="4">#REF!</definedName>
    <definedName name="ññ" localSheetId="8">#REF!</definedName>
    <definedName name="ññ" localSheetId="9">#REF!</definedName>
    <definedName name="ññ" localSheetId="6">#REF!</definedName>
    <definedName name="ññ" localSheetId="1">#REF!</definedName>
    <definedName name="ññ" localSheetId="14">#REF!</definedName>
    <definedName name="ññ" localSheetId="12">#REF!</definedName>
    <definedName name="ññ" localSheetId="3">#REF!</definedName>
    <definedName name="ññ" localSheetId="13">#REF!</definedName>
    <definedName name="ññ" localSheetId="10">#REF!</definedName>
    <definedName name="ññ" localSheetId="11">#REF!</definedName>
    <definedName name="ññ" localSheetId="5">#REF!</definedName>
    <definedName name="ññ" localSheetId="2">#REF!</definedName>
    <definedName name="ññ">#REF!</definedName>
    <definedName name="_xlnm.Print_Titles" localSheetId="8">'SGTO PA EDUCACIÓN'!$1:$8</definedName>
    <definedName name="_xlnm.Print_Titles" localSheetId="0">'SGTO PA PLANEACIÓN '!$1:$8</definedName>
    <definedName name="_xlnm.Print_Titles" localSheetId="11">'SGTO PA TICS'!$1:$8</definedName>
    <definedName name="_xlnm.Print_Titles" localSheetId="5">'SGTO PA TURISMO '!$1:$8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6" i="14" l="1"/>
  <c r="P36" i="14"/>
  <c r="V90" i="16" l="1"/>
  <c r="BG87" i="16"/>
  <c r="BF87" i="16"/>
  <c r="BH87" i="16" s="1"/>
  <c r="BD87" i="16"/>
  <c r="BB87" i="16"/>
  <c r="AZ87" i="16"/>
  <c r="AX87" i="16"/>
  <c r="AR87" i="16"/>
  <c r="AP87" i="16"/>
  <c r="AN87" i="16"/>
  <c r="AL87" i="16"/>
  <c r="AJ87" i="16"/>
  <c r="AH87" i="16"/>
  <c r="AF87" i="16"/>
  <c r="AD87" i="16"/>
  <c r="AB87" i="16"/>
  <c r="Z87" i="16"/>
  <c r="P87" i="16"/>
  <c r="T85" i="16"/>
  <c r="O83" i="16" s="1"/>
  <c r="T80" i="16"/>
  <c r="P80" i="16" s="1"/>
  <c r="U78" i="16"/>
  <c r="U90" i="16" s="1"/>
  <c r="T78" i="16"/>
  <c r="P77" i="16" s="1"/>
  <c r="O77" i="16" s="1"/>
  <c r="BG77" i="16"/>
  <c r="BF77" i="16"/>
  <c r="BD77" i="16"/>
  <c r="BB77" i="16"/>
  <c r="AZ77" i="16"/>
  <c r="AX77" i="16"/>
  <c r="AR77" i="16"/>
  <c r="AP77" i="16"/>
  <c r="AN77" i="16"/>
  <c r="AL77" i="16"/>
  <c r="AJ77" i="16"/>
  <c r="AH77" i="16"/>
  <c r="AF77" i="16"/>
  <c r="AD77" i="16"/>
  <c r="AB77" i="16"/>
  <c r="Z77" i="16"/>
  <c r="BG75" i="16"/>
  <c r="BF75" i="16"/>
  <c r="BH75" i="16" s="1"/>
  <c r="BD75" i="16"/>
  <c r="BB75" i="16"/>
  <c r="AZ75" i="16"/>
  <c r="AX75" i="16"/>
  <c r="AV75" i="16"/>
  <c r="AT75" i="16"/>
  <c r="AR75" i="16"/>
  <c r="AP75" i="16"/>
  <c r="AN75" i="16"/>
  <c r="AL75" i="16"/>
  <c r="AJ75" i="16"/>
  <c r="AH75" i="16"/>
  <c r="AF75" i="16"/>
  <c r="AD75" i="16"/>
  <c r="AB75" i="16"/>
  <c r="Z75" i="16"/>
  <c r="T75" i="16"/>
  <c r="P75" i="16" s="1"/>
  <c r="BG74" i="16"/>
  <c r="BF74" i="16"/>
  <c r="BH74" i="16" s="1"/>
  <c r="BD74" i="16"/>
  <c r="BB74" i="16"/>
  <c r="AZ74" i="16"/>
  <c r="AX74" i="16"/>
  <c r="AR74" i="16"/>
  <c r="AP74" i="16"/>
  <c r="AN74" i="16"/>
  <c r="AL74" i="16"/>
  <c r="AJ74" i="16"/>
  <c r="AH74" i="16"/>
  <c r="AF74" i="16"/>
  <c r="AD74" i="16"/>
  <c r="AB74" i="16"/>
  <c r="Z74" i="16"/>
  <c r="T74" i="16"/>
  <c r="P74" i="16" s="1"/>
  <c r="T73" i="16"/>
  <c r="P73" i="16" s="1"/>
  <c r="BG72" i="16"/>
  <c r="BF72" i="16"/>
  <c r="BH72" i="16" s="1"/>
  <c r="P72" i="16"/>
  <c r="O72" i="16" s="1"/>
  <c r="BH71" i="16"/>
  <c r="BD71" i="16"/>
  <c r="BB71" i="16"/>
  <c r="AZ71" i="16"/>
  <c r="AX71" i="16"/>
  <c r="AV71" i="16"/>
  <c r="AT71" i="16"/>
  <c r="AR71" i="16"/>
  <c r="AP71" i="16"/>
  <c r="AN71" i="16"/>
  <c r="AL71" i="16"/>
  <c r="AJ71" i="16"/>
  <c r="AH71" i="16"/>
  <c r="AF71" i="16"/>
  <c r="AD71" i="16"/>
  <c r="AB71" i="16"/>
  <c r="Z71" i="16"/>
  <c r="P71" i="16"/>
  <c r="O71" i="16"/>
  <c r="BG70" i="16"/>
  <c r="BF70" i="16"/>
  <c r="BB70" i="16"/>
  <c r="AZ70" i="16"/>
  <c r="AX70" i="16"/>
  <c r="AV70" i="16"/>
  <c r="AT70" i="16"/>
  <c r="AR70" i="16"/>
  <c r="AP70" i="16"/>
  <c r="AN70" i="16"/>
  <c r="AL70" i="16"/>
  <c r="AJ70" i="16"/>
  <c r="AH70" i="16"/>
  <c r="AF70" i="16"/>
  <c r="AD70" i="16"/>
  <c r="BC70" i="16" s="1"/>
  <c r="BD70" i="16" s="1"/>
  <c r="AB70" i="16"/>
  <c r="Z70" i="16"/>
  <c r="P70" i="16"/>
  <c r="BH70" i="16" s="1"/>
  <c r="O70" i="16"/>
  <c r="T69" i="16"/>
  <c r="BG68" i="16"/>
  <c r="BF68" i="16"/>
  <c r="BD68" i="16"/>
  <c r="BB68" i="16"/>
  <c r="AZ68" i="16"/>
  <c r="AX68" i="16"/>
  <c r="AV68" i="16"/>
  <c r="AT68" i="16"/>
  <c r="AR68" i="16"/>
  <c r="AP68" i="16"/>
  <c r="AN68" i="16"/>
  <c r="AL68" i="16"/>
  <c r="AJ68" i="16"/>
  <c r="AH68" i="16"/>
  <c r="AF68" i="16"/>
  <c r="AD68" i="16"/>
  <c r="AB68" i="16"/>
  <c r="Z68" i="16"/>
  <c r="P68" i="16"/>
  <c r="BH68" i="16" s="1"/>
  <c r="O68" i="16"/>
  <c r="T67" i="16"/>
  <c r="O66" i="16" s="1"/>
  <c r="T64" i="16"/>
  <c r="BG63" i="16"/>
  <c r="BF63" i="16"/>
  <c r="BD63" i="16"/>
  <c r="BB63" i="16"/>
  <c r="AZ63" i="16"/>
  <c r="AX63" i="16"/>
  <c r="AR63" i="16"/>
  <c r="AP63" i="16"/>
  <c r="AN63" i="16"/>
  <c r="AL63" i="16"/>
  <c r="AJ63" i="16"/>
  <c r="AH63" i="16"/>
  <c r="AF63" i="16"/>
  <c r="AD63" i="16"/>
  <c r="AB63" i="16"/>
  <c r="Z63" i="16"/>
  <c r="P63" i="16"/>
  <c r="BH63" i="16" s="1"/>
  <c r="BH60" i="16"/>
  <c r="BG60" i="16"/>
  <c r="BF60" i="16"/>
  <c r="BD60" i="16"/>
  <c r="BB60" i="16"/>
  <c r="AZ60" i="16"/>
  <c r="AX60" i="16"/>
  <c r="AV60" i="16"/>
  <c r="AT60" i="16"/>
  <c r="AR60" i="16"/>
  <c r="AP60" i="16"/>
  <c r="AN60" i="16"/>
  <c r="AL60" i="16"/>
  <c r="AJ60" i="16"/>
  <c r="AH60" i="16"/>
  <c r="AF60" i="16"/>
  <c r="AD60" i="16"/>
  <c r="AB60" i="16"/>
  <c r="Z60" i="16"/>
  <c r="P60" i="16"/>
  <c r="O61" i="16" s="1"/>
  <c r="O60" i="16"/>
  <c r="BG58" i="16"/>
  <c r="BF58" i="16"/>
  <c r="BH58" i="16" s="1"/>
  <c r="BD58" i="16"/>
  <c r="BB58" i="16"/>
  <c r="AZ58" i="16"/>
  <c r="AX58" i="16"/>
  <c r="AV58" i="16"/>
  <c r="AT58" i="16"/>
  <c r="AR58" i="16"/>
  <c r="AP58" i="16"/>
  <c r="AN58" i="16"/>
  <c r="AL58" i="16"/>
  <c r="AJ58" i="16"/>
  <c r="AH58" i="16"/>
  <c r="AF58" i="16"/>
  <c r="AD58" i="16"/>
  <c r="AB58" i="16"/>
  <c r="Z58" i="16"/>
  <c r="P58" i="16"/>
  <c r="O59" i="16" s="1"/>
  <c r="BG55" i="16"/>
  <c r="BF55" i="16"/>
  <c r="BH55" i="16" s="1"/>
  <c r="P55" i="16"/>
  <c r="O57" i="16" s="1"/>
  <c r="BD53" i="16"/>
  <c r="BB53" i="16"/>
  <c r="AZ53" i="16"/>
  <c r="AX53" i="16"/>
  <c r="AV53" i="16"/>
  <c r="AT53" i="16"/>
  <c r="AR53" i="16"/>
  <c r="AP53" i="16"/>
  <c r="AN53" i="16"/>
  <c r="AL53" i="16"/>
  <c r="AJ53" i="16"/>
  <c r="AH53" i="16"/>
  <c r="AF53" i="16"/>
  <c r="AD53" i="16"/>
  <c r="AB53" i="16"/>
  <c r="Z53" i="16"/>
  <c r="P53" i="16"/>
  <c r="BH53" i="16" s="1"/>
  <c r="O50" i="16"/>
  <c r="BH46" i="16"/>
  <c r="BG46" i="16"/>
  <c r="BF46" i="16"/>
  <c r="BD46" i="16"/>
  <c r="BB46" i="16"/>
  <c r="AZ46" i="16"/>
  <c r="AX46" i="16"/>
  <c r="AT46" i="16"/>
  <c r="AR46" i="16"/>
  <c r="AP46" i="16"/>
  <c r="AN46" i="16"/>
  <c r="AL46" i="16"/>
  <c r="AJ46" i="16"/>
  <c r="AH46" i="16"/>
  <c r="AF46" i="16"/>
  <c r="AD46" i="16"/>
  <c r="AB46" i="16"/>
  <c r="Z46" i="16"/>
  <c r="P46" i="16"/>
  <c r="O51" i="16" s="1"/>
  <c r="O45" i="16"/>
  <c r="BG44" i="16"/>
  <c r="BF44" i="16"/>
  <c r="BH44" i="16" s="1"/>
  <c r="AD44" i="16"/>
  <c r="P44" i="16"/>
  <c r="O44" i="16"/>
  <c r="O41" i="16"/>
  <c r="BG39" i="16"/>
  <c r="BF39" i="16"/>
  <c r="BD39" i="16"/>
  <c r="BB39" i="16"/>
  <c r="AZ39" i="16"/>
  <c r="AX39" i="16"/>
  <c r="AR39" i="16"/>
  <c r="AP39" i="16"/>
  <c r="AN39" i="16"/>
  <c r="AL39" i="16"/>
  <c r="AJ39" i="16"/>
  <c r="AH39" i="16"/>
  <c r="AF39" i="16"/>
  <c r="AD39" i="16"/>
  <c r="AB39" i="16"/>
  <c r="Z39" i="16"/>
  <c r="P39" i="16"/>
  <c r="O42" i="16" s="1"/>
  <c r="O39" i="16"/>
  <c r="BH34" i="16"/>
  <c r="BG34" i="16"/>
  <c r="BF34" i="16"/>
  <c r="BD34" i="16"/>
  <c r="BB34" i="16"/>
  <c r="AZ34" i="16"/>
  <c r="AX34" i="16"/>
  <c r="AR34" i="16"/>
  <c r="AP34" i="16"/>
  <c r="AN34" i="16"/>
  <c r="AL34" i="16"/>
  <c r="AJ34" i="16"/>
  <c r="AH34" i="16"/>
  <c r="AF34" i="16"/>
  <c r="AD34" i="16"/>
  <c r="AB34" i="16"/>
  <c r="Z34" i="16"/>
  <c r="P34" i="16"/>
  <c r="O35" i="16" s="1"/>
  <c r="BG33" i="16"/>
  <c r="BF33" i="16"/>
  <c r="BH33" i="16" s="1"/>
  <c r="BD33" i="16"/>
  <c r="BB33" i="16"/>
  <c r="AZ33" i="16"/>
  <c r="AX33" i="16"/>
  <c r="AR33" i="16"/>
  <c r="AP33" i="16"/>
  <c r="AN33" i="16"/>
  <c r="AL33" i="16"/>
  <c r="AJ33" i="16"/>
  <c r="AH33" i="16"/>
  <c r="AF33" i="16"/>
  <c r="AD33" i="16"/>
  <c r="AB33" i="16"/>
  <c r="Z33" i="16"/>
  <c r="P33" i="16"/>
  <c r="O33" i="16" s="1"/>
  <c r="BG31" i="16"/>
  <c r="BF31" i="16"/>
  <c r="BH31" i="16" s="1"/>
  <c r="BD31" i="16"/>
  <c r="BB31" i="16"/>
  <c r="AZ31" i="16"/>
  <c r="AX31" i="16"/>
  <c r="AR31" i="16"/>
  <c r="AP31" i="16"/>
  <c r="AN31" i="16"/>
  <c r="AL31" i="16"/>
  <c r="AJ31" i="16"/>
  <c r="AH31" i="16"/>
  <c r="AF31" i="16"/>
  <c r="AD31" i="16"/>
  <c r="AB31" i="16"/>
  <c r="Z31" i="16"/>
  <c r="T31" i="16"/>
  <c r="P31" i="16"/>
  <c r="O31" i="16" s="1"/>
  <c r="BH26" i="16"/>
  <c r="BG26" i="16"/>
  <c r="BF26" i="16"/>
  <c r="BD26" i="16"/>
  <c r="BB26" i="16"/>
  <c r="AZ26" i="16"/>
  <c r="AX26" i="16"/>
  <c r="AV26" i="16"/>
  <c r="AT26" i="16"/>
  <c r="AR26" i="16"/>
  <c r="AP26" i="16"/>
  <c r="AN26" i="16"/>
  <c r="AL26" i="16"/>
  <c r="AJ26" i="16"/>
  <c r="AH26" i="16"/>
  <c r="AF26" i="16"/>
  <c r="AD26" i="16"/>
  <c r="AB26" i="16"/>
  <c r="Z26" i="16"/>
  <c r="P26" i="16"/>
  <c r="O28" i="16" s="1"/>
  <c r="O26" i="16"/>
  <c r="BG24" i="16"/>
  <c r="BF24" i="16"/>
  <c r="BH24" i="16" s="1"/>
  <c r="BD24" i="16"/>
  <c r="BB24" i="16"/>
  <c r="AZ24" i="16"/>
  <c r="AX24" i="16"/>
  <c r="AV24" i="16"/>
  <c r="AT24" i="16"/>
  <c r="AR24" i="16"/>
  <c r="AP24" i="16"/>
  <c r="AN24" i="16"/>
  <c r="AL24" i="16"/>
  <c r="AJ24" i="16"/>
  <c r="AH24" i="16"/>
  <c r="AF24" i="16"/>
  <c r="AD24" i="16"/>
  <c r="AB24" i="16"/>
  <c r="Z24" i="16"/>
  <c r="P24" i="16"/>
  <c r="O25" i="16" s="1"/>
  <c r="T15" i="16"/>
  <c r="T14" i="16"/>
  <c r="T90" i="16" s="1"/>
  <c r="BG13" i="16"/>
  <c r="BG90" i="16" s="1"/>
  <c r="BF13" i="16"/>
  <c r="BD13" i="16"/>
  <c r="BB13" i="16"/>
  <c r="AZ13" i="16"/>
  <c r="AX13" i="16"/>
  <c r="AV13" i="16"/>
  <c r="AT13" i="16"/>
  <c r="AR13" i="16"/>
  <c r="AP13" i="16"/>
  <c r="P12" i="16"/>
  <c r="O12" i="16"/>
  <c r="BH90" i="16" l="1"/>
  <c r="BB72" i="16"/>
  <c r="AP72" i="16"/>
  <c r="AD72" i="16"/>
  <c r="AN72" i="16"/>
  <c r="AX72" i="16"/>
  <c r="AL72" i="16"/>
  <c r="Z72" i="16"/>
  <c r="BD72" i="16"/>
  <c r="AR72" i="16"/>
  <c r="AF72" i="16"/>
  <c r="AZ72" i="16"/>
  <c r="AB72" i="16"/>
  <c r="BH77" i="16"/>
  <c r="BH80" i="16"/>
  <c r="O82" i="16"/>
  <c r="BH73" i="16"/>
  <c r="O73" i="16"/>
  <c r="P13" i="16"/>
  <c r="BH13" i="16" s="1"/>
  <c r="O14" i="16"/>
  <c r="O24" i="16"/>
  <c r="O29" i="16"/>
  <c r="O34" i="16"/>
  <c r="O36" i="16"/>
  <c r="BH39" i="16"/>
  <c r="O48" i="16"/>
  <c r="O52" i="16"/>
  <c r="O54" i="16"/>
  <c r="O58" i="16"/>
  <c r="O62" i="16"/>
  <c r="O69" i="16"/>
  <c r="O74" i="16"/>
  <c r="O75" i="16"/>
  <c r="O80" i="16"/>
  <c r="O37" i="16"/>
  <c r="O40" i="16"/>
  <c r="O49" i="16"/>
  <c r="O53" i="16"/>
  <c r="O55" i="16"/>
  <c r="O63" i="16"/>
  <c r="O78" i="16"/>
  <c r="BF90" i="16"/>
  <c r="O56" i="16"/>
  <c r="O46" i="16"/>
  <c r="O47" i="16"/>
  <c r="V26" i="15"/>
  <c r="U26" i="15"/>
  <c r="P26" i="15"/>
  <c r="O26" i="15"/>
  <c r="O23" i="15"/>
  <c r="V22" i="15"/>
  <c r="U22" i="15"/>
  <c r="O22" i="15"/>
  <c r="V21" i="15"/>
  <c r="V27" i="15" s="1"/>
  <c r="U21" i="15"/>
  <c r="V20" i="15"/>
  <c r="U20" i="15"/>
  <c r="P20" i="15"/>
  <c r="O21" i="15" s="1"/>
  <c r="V18" i="15"/>
  <c r="U18" i="15"/>
  <c r="P18" i="15"/>
  <c r="O18" i="15" s="1"/>
  <c r="V15" i="15"/>
  <c r="U15" i="15"/>
  <c r="T15" i="15"/>
  <c r="V14" i="15"/>
  <c r="U14" i="15"/>
  <c r="T14" i="15"/>
  <c r="T27" i="15" s="1"/>
  <c r="BG12" i="15"/>
  <c r="BG27" i="15" s="1"/>
  <c r="BC12" i="15"/>
  <c r="V12" i="15"/>
  <c r="U12" i="15"/>
  <c r="U27" i="15" s="1"/>
  <c r="P12" i="15"/>
  <c r="O12" i="15" s="1"/>
  <c r="AL13" i="16" l="1"/>
  <c r="AD13" i="16"/>
  <c r="AJ13" i="16"/>
  <c r="Z13" i="16"/>
  <c r="AN13" i="16"/>
  <c r="AF13" i="16"/>
  <c r="AB13" i="16"/>
  <c r="AH13" i="16"/>
  <c r="O22" i="16"/>
  <c r="O13" i="16"/>
  <c r="O21" i="16"/>
  <c r="O20" i="16"/>
  <c r="O19" i="16"/>
  <c r="O15" i="16"/>
  <c r="P90" i="16"/>
  <c r="O14" i="15"/>
  <c r="BF12" i="15"/>
  <c r="BF27" i="15" s="1"/>
  <c r="P14" i="15"/>
  <c r="P27" i="15" s="1"/>
  <c r="O20" i="15"/>
  <c r="V56" i="14"/>
  <c r="U56" i="14"/>
  <c r="O55" i="14"/>
  <c r="BG53" i="14"/>
  <c r="BF53" i="14"/>
  <c r="BC53" i="14"/>
  <c r="P53" i="14"/>
  <c r="O53" i="14"/>
  <c r="P51" i="14"/>
  <c r="O51" i="14" s="1"/>
  <c r="BG49" i="14"/>
  <c r="BH49" i="14" s="1"/>
  <c r="BF49" i="14"/>
  <c r="BC49" i="14"/>
  <c r="P49" i="14"/>
  <c r="O49" i="14"/>
  <c r="P48" i="14"/>
  <c r="O48" i="14" s="1"/>
  <c r="BG46" i="14"/>
  <c r="BF46" i="14"/>
  <c r="BC46" i="14"/>
  <c r="P46" i="14"/>
  <c r="O47" i="14" s="1"/>
  <c r="BG45" i="14"/>
  <c r="BF45" i="14"/>
  <c r="BC45" i="14"/>
  <c r="P45" i="14"/>
  <c r="O45" i="14"/>
  <c r="P43" i="14"/>
  <c r="O43" i="14" s="1"/>
  <c r="O40" i="14"/>
  <c r="BG39" i="14"/>
  <c r="BH39" i="14" s="1"/>
  <c r="BF39" i="14"/>
  <c r="P39" i="14"/>
  <c r="O39" i="14"/>
  <c r="O37" i="14"/>
  <c r="O36" i="14"/>
  <c r="T34" i="14"/>
  <c r="P34" i="14"/>
  <c r="P32" i="14"/>
  <c r="O32" i="14"/>
  <c r="BG30" i="14"/>
  <c r="BF30" i="14"/>
  <c r="BH30" i="14" s="1"/>
  <c r="P30" i="14"/>
  <c r="O30" i="14"/>
  <c r="P27" i="14"/>
  <c r="O27" i="14" s="1"/>
  <c r="O25" i="14"/>
  <c r="P23" i="14"/>
  <c r="O23" i="14"/>
  <c r="O22" i="14"/>
  <c r="O21" i="14"/>
  <c r="P20" i="14"/>
  <c r="O20" i="14"/>
  <c r="O19" i="14"/>
  <c r="P18" i="14"/>
  <c r="O18" i="14"/>
  <c r="BG16" i="14"/>
  <c r="BH16" i="14" s="1"/>
  <c r="BF16" i="14"/>
  <c r="P16" i="14"/>
  <c r="O16" i="14"/>
  <c r="BG15" i="14"/>
  <c r="BF15" i="14"/>
  <c r="P15" i="14"/>
  <c r="O15" i="14" s="1"/>
  <c r="BG12" i="14"/>
  <c r="BH12" i="14" s="1"/>
  <c r="BF12" i="14"/>
  <c r="P12" i="14"/>
  <c r="O12" i="14"/>
  <c r="BH15" i="14" l="1"/>
  <c r="O34" i="14"/>
  <c r="BH45" i="14"/>
  <c r="P56" i="14"/>
  <c r="O14" i="14"/>
  <c r="O46" i="14"/>
  <c r="BH46" i="14"/>
  <c r="T56" i="14"/>
  <c r="BF56" i="14"/>
  <c r="BH12" i="15"/>
  <c r="O13" i="14"/>
  <c r="O28" i="14"/>
  <c r="BG56" i="14"/>
  <c r="BH56" i="14" s="1"/>
  <c r="V16" i="13"/>
  <c r="U16" i="13"/>
  <c r="T16" i="13"/>
  <c r="P12" i="13"/>
  <c r="P16" i="13"/>
  <c r="S15" i="13"/>
  <c r="O15" i="13"/>
  <c r="S14" i="13"/>
  <c r="O14" i="13"/>
  <c r="S13" i="13"/>
  <c r="O13" i="13"/>
  <c r="AN12" i="13"/>
  <c r="S12" i="13"/>
  <c r="O12" i="13"/>
  <c r="BC25" i="12"/>
  <c r="O25" i="12"/>
  <c r="BG23" i="12"/>
  <c r="BH23" i="12"/>
  <c r="BF23" i="12"/>
  <c r="BD23" i="12"/>
  <c r="BC23" i="12"/>
  <c r="P23" i="12"/>
  <c r="O23" i="12"/>
  <c r="BG21" i="12"/>
  <c r="BD21" i="12"/>
  <c r="BC21" i="12"/>
  <c r="P21" i="12"/>
  <c r="O21" i="12"/>
  <c r="BH20" i="12"/>
  <c r="BG20" i="12"/>
  <c r="BF20" i="12"/>
  <c r="BD20" i="12"/>
  <c r="BC20" i="12"/>
  <c r="P20" i="12"/>
  <c r="O20" i="12"/>
  <c r="BH17" i="12"/>
  <c r="BG17" i="12"/>
  <c r="BF17" i="12"/>
  <c r="BD17" i="12"/>
  <c r="BC17" i="12"/>
  <c r="P17" i="12"/>
  <c r="O19" i="12"/>
  <c r="O17" i="12"/>
  <c r="BG15" i="12"/>
  <c r="BH15" i="12"/>
  <c r="BF15" i="12"/>
  <c r="BC15" i="12"/>
  <c r="P15" i="12"/>
  <c r="O15" i="12"/>
  <c r="T14" i="12"/>
  <c r="T26" i="12"/>
  <c r="BG12" i="12"/>
  <c r="BH12" i="12"/>
  <c r="BF12" i="12"/>
  <c r="BF21" i="12"/>
  <c r="BD12" i="12"/>
  <c r="BC12" i="12"/>
  <c r="P12" i="12"/>
  <c r="P26" i="12"/>
  <c r="BH21" i="12"/>
  <c r="O13" i="12"/>
  <c r="O12" i="12"/>
  <c r="BG26" i="11"/>
  <c r="V26" i="11"/>
  <c r="U26" i="11"/>
  <c r="T26" i="11"/>
  <c r="T25" i="11"/>
  <c r="BH23" i="11"/>
  <c r="BG23" i="11"/>
  <c r="BF23" i="11"/>
  <c r="BC23" i="11"/>
  <c r="P23" i="11"/>
  <c r="O24" i="11"/>
  <c r="P20" i="11"/>
  <c r="O20" i="11"/>
  <c r="BG18" i="11"/>
  <c r="BF18" i="11"/>
  <c r="BC18" i="11"/>
  <c r="P18" i="11"/>
  <c r="O18" i="11"/>
  <c r="BG15" i="11"/>
  <c r="BF15" i="11"/>
  <c r="P15" i="11"/>
  <c r="O15" i="11"/>
  <c r="P13" i="11"/>
  <c r="O13" i="11"/>
  <c r="BG12" i="11"/>
  <c r="BF12" i="11"/>
  <c r="BF26" i="11"/>
  <c r="P12" i="11"/>
  <c r="P26" i="11"/>
  <c r="O12" i="11"/>
  <c r="BH26" i="11"/>
  <c r="O23" i="11"/>
  <c r="V54" i="10"/>
  <c r="U54" i="10"/>
  <c r="T54" i="10"/>
  <c r="BC53" i="10"/>
  <c r="P53" i="10"/>
  <c r="P50" i="10"/>
  <c r="O50" i="10"/>
  <c r="BC48" i="10"/>
  <c r="P48" i="10"/>
  <c r="BC45" i="10"/>
  <c r="P45" i="10"/>
  <c r="O45" i="10"/>
  <c r="BC44" i="10"/>
  <c r="P44" i="10"/>
  <c r="O44" i="10"/>
  <c r="BH42" i="10"/>
  <c r="BG42" i="10"/>
  <c r="BF42" i="10"/>
  <c r="P42" i="10"/>
  <c r="O42" i="10"/>
  <c r="BG39" i="10"/>
  <c r="BH39" i="10"/>
  <c r="BF39" i="10"/>
  <c r="P39" i="10"/>
  <c r="O39" i="10"/>
  <c r="BH38" i="10"/>
  <c r="BG38" i="10"/>
  <c r="BF38" i="10"/>
  <c r="P38" i="10"/>
  <c r="O38" i="10"/>
  <c r="BG37" i="10"/>
  <c r="BH37" i="10"/>
  <c r="BF37" i="10"/>
  <c r="P37" i="10"/>
  <c r="O37" i="10"/>
  <c r="P36" i="10"/>
  <c r="O36" i="10"/>
  <c r="O35" i="10"/>
  <c r="BC34" i="10"/>
  <c r="P34" i="10"/>
  <c r="O34" i="10"/>
  <c r="P32" i="10"/>
  <c r="O32" i="10"/>
  <c r="O31" i="10"/>
  <c r="P30" i="10"/>
  <c r="O30" i="10"/>
  <c r="BC29" i="10"/>
  <c r="P29" i="10"/>
  <c r="O29" i="10"/>
  <c r="BC28" i="10"/>
  <c r="P28" i="10"/>
  <c r="O28" i="10"/>
  <c r="BG27" i="10"/>
  <c r="BH27" i="10"/>
  <c r="BF27" i="10"/>
  <c r="P27" i="10"/>
  <c r="O27" i="10"/>
  <c r="P26" i="10"/>
  <c r="O26" i="10"/>
  <c r="BC24" i="10"/>
  <c r="P24" i="10"/>
  <c r="O24" i="10"/>
  <c r="O23" i="10"/>
  <c r="BC22" i="10"/>
  <c r="P22" i="10"/>
  <c r="O22" i="10"/>
  <c r="BG21" i="10"/>
  <c r="BH21" i="10"/>
  <c r="BF21" i="10"/>
  <c r="P21" i="10"/>
  <c r="O21" i="10"/>
  <c r="BG20" i="10"/>
  <c r="BF20" i="10"/>
  <c r="BH20" i="10"/>
  <c r="P20" i="10"/>
  <c r="O20" i="10"/>
  <c r="BG19" i="10"/>
  <c r="BH19" i="10"/>
  <c r="BF19" i="10"/>
  <c r="P19" i="10"/>
  <c r="O19" i="10"/>
  <c r="BG17" i="10"/>
  <c r="BG54" i="10"/>
  <c r="BF17" i="10"/>
  <c r="BF54" i="10"/>
  <c r="P17" i="10"/>
  <c r="O18" i="10"/>
  <c r="P15" i="10"/>
  <c r="O15" i="10"/>
  <c r="O13" i="10"/>
  <c r="BC12" i="10"/>
  <c r="P12" i="10"/>
  <c r="O12" i="10"/>
  <c r="BH54" i="10"/>
  <c r="O40" i="10"/>
  <c r="O17" i="10"/>
  <c r="BH17" i="10"/>
  <c r="O41" i="10"/>
  <c r="O48" i="10"/>
  <c r="P54" i="10"/>
  <c r="O53" i="10"/>
  <c r="V37" i="9"/>
  <c r="BG36" i="9"/>
  <c r="BH36" i="9"/>
  <c r="BF36" i="9"/>
  <c r="BC36" i="9"/>
  <c r="P36" i="9"/>
  <c r="O36" i="9"/>
  <c r="BC35" i="9"/>
  <c r="P35" i="9"/>
  <c r="BC33" i="9"/>
  <c r="P33" i="9"/>
  <c r="O33" i="9"/>
  <c r="O32" i="9"/>
  <c r="O31" i="9"/>
  <c r="BC30" i="9"/>
  <c r="P30" i="9"/>
  <c r="O30" i="9"/>
  <c r="BC28" i="9"/>
  <c r="P28" i="9"/>
  <c r="O28" i="9"/>
  <c r="BG27" i="9"/>
  <c r="BH27" i="9"/>
  <c r="BF27" i="9"/>
  <c r="BC27" i="9"/>
  <c r="P27" i="9"/>
  <c r="O27" i="9"/>
  <c r="BH26" i="9"/>
  <c r="BG26" i="9"/>
  <c r="BF26" i="9"/>
  <c r="BC26" i="9"/>
  <c r="P26" i="9"/>
  <c r="O26" i="9"/>
  <c r="BG25" i="9"/>
  <c r="BH25" i="9"/>
  <c r="BF25" i="9"/>
  <c r="BC25" i="9"/>
  <c r="P25" i="9"/>
  <c r="O25" i="9"/>
  <c r="P24" i="9"/>
  <c r="P23" i="9"/>
  <c r="O23" i="9"/>
  <c r="P22" i="9"/>
  <c r="O22" i="9"/>
  <c r="P21" i="9"/>
  <c r="O21" i="9"/>
  <c r="P20" i="9"/>
  <c r="BG19" i="9"/>
  <c r="BH19" i="9"/>
  <c r="BF19" i="9"/>
  <c r="BC19" i="9"/>
  <c r="P19" i="9"/>
  <c r="O24" i="9"/>
  <c r="O19" i="9"/>
  <c r="BH18" i="9"/>
  <c r="BG18" i="9"/>
  <c r="BF18" i="9"/>
  <c r="BC18" i="9"/>
  <c r="P18" i="9"/>
  <c r="O18" i="9"/>
  <c r="BG17" i="9"/>
  <c r="BH17" i="9"/>
  <c r="BF17" i="9"/>
  <c r="BC17" i="9"/>
  <c r="P17" i="9"/>
  <c r="O17" i="9"/>
  <c r="P16" i="9"/>
  <c r="BG15" i="9"/>
  <c r="BH15" i="9"/>
  <c r="BF15" i="9"/>
  <c r="BC15" i="9"/>
  <c r="P15" i="9"/>
  <c r="O16" i="9"/>
  <c r="O15" i="9"/>
  <c r="T14" i="9"/>
  <c r="T37" i="9"/>
  <c r="P13" i="9"/>
  <c r="BG12" i="9"/>
  <c r="BG37" i="9"/>
  <c r="BH37" i="9"/>
  <c r="BF12" i="9"/>
  <c r="BF37" i="9"/>
  <c r="BC12" i="9"/>
  <c r="V12" i="9"/>
  <c r="U12" i="9"/>
  <c r="U37" i="9"/>
  <c r="P12" i="9"/>
  <c r="O14" i="9"/>
  <c r="O35" i="9"/>
  <c r="BH12" i="9"/>
  <c r="P14" i="9"/>
  <c r="O12" i="9"/>
  <c r="O20" i="9"/>
  <c r="P37" i="9"/>
  <c r="O13" i="9"/>
  <c r="U21" i="8"/>
  <c r="BG20" i="8"/>
  <c r="BF20" i="8"/>
  <c r="O20" i="8"/>
  <c r="T17" i="8"/>
  <c r="BG16" i="8"/>
  <c r="BH16" i="8"/>
  <c r="BF16" i="8"/>
  <c r="P16" i="8"/>
  <c r="O16" i="8"/>
  <c r="V14" i="8"/>
  <c r="V21" i="8"/>
  <c r="T14" i="8"/>
  <c r="T13" i="8"/>
  <c r="BG12" i="8"/>
  <c r="BH12" i="8"/>
  <c r="BF12" i="8"/>
  <c r="V12" i="8"/>
  <c r="T12" i="8"/>
  <c r="T21" i="8"/>
  <c r="P12" i="8"/>
  <c r="P21" i="8"/>
  <c r="O12" i="8"/>
  <c r="V25" i="7"/>
  <c r="U25" i="7"/>
  <c r="BG21" i="7"/>
  <c r="BH21" i="7"/>
  <c r="BF21" i="7"/>
  <c r="BD21" i="7"/>
  <c r="BC21" i="7"/>
  <c r="AH21" i="7"/>
  <c r="P21" i="7"/>
  <c r="O22" i="7"/>
  <c r="BG19" i="7"/>
  <c r="BH19" i="7"/>
  <c r="BF19" i="7"/>
  <c r="BD19" i="7"/>
  <c r="BC19" i="7"/>
  <c r="AH19" i="7"/>
  <c r="P19" i="7"/>
  <c r="O19" i="7"/>
  <c r="BG16" i="7"/>
  <c r="BH16" i="7"/>
  <c r="BF16" i="7"/>
  <c r="BD16" i="7"/>
  <c r="BC16" i="7"/>
  <c r="T16" i="7"/>
  <c r="P16" i="7"/>
  <c r="O18" i="7"/>
  <c r="BH14" i="7"/>
  <c r="BG14" i="7"/>
  <c r="BG25" i="7"/>
  <c r="BF14" i="7"/>
  <c r="BF25" i="7"/>
  <c r="BD14" i="7"/>
  <c r="BC14" i="7"/>
  <c r="T14" i="7"/>
  <c r="P14" i="7"/>
  <c r="O15" i="7"/>
  <c r="T13" i="7"/>
  <c r="BC12" i="7"/>
  <c r="T12" i="7"/>
  <c r="T25" i="7"/>
  <c r="BH25" i="7"/>
  <c r="P12" i="7"/>
  <c r="O23" i="7"/>
  <c r="O14" i="7"/>
  <c r="O24" i="7"/>
  <c r="O16" i="7"/>
  <c r="O21" i="7"/>
  <c r="O12" i="7"/>
  <c r="P25" i="7"/>
  <c r="O13" i="7"/>
  <c r="BE21" i="6"/>
  <c r="V21" i="6"/>
  <c r="U21" i="6"/>
  <c r="T21" i="6"/>
  <c r="BH19" i="6"/>
  <c r="BG19" i="6"/>
  <c r="BF19" i="6"/>
  <c r="P19" i="6"/>
  <c r="O20" i="6"/>
  <c r="O19" i="6"/>
  <c r="P17" i="6"/>
  <c r="O17" i="6"/>
  <c r="BC16" i="6"/>
  <c r="P16" i="6"/>
  <c r="O16" i="6"/>
  <c r="BC14" i="6"/>
  <c r="P14" i="6"/>
  <c r="O14" i="6"/>
  <c r="BG12" i="6"/>
  <c r="BH12" i="6"/>
  <c r="BF12" i="6"/>
  <c r="BF21" i="6"/>
  <c r="P12" i="6"/>
  <c r="P21" i="6"/>
  <c r="O12" i="6"/>
  <c r="BG21" i="6"/>
  <c r="BH21" i="6"/>
  <c r="O13" i="6"/>
  <c r="O15" i="6"/>
  <c r="V46" i="5"/>
  <c r="U46" i="5"/>
  <c r="T46" i="5"/>
  <c r="BG45" i="5"/>
  <c r="BH45" i="5"/>
  <c r="BF45" i="5"/>
  <c r="BC45" i="5"/>
  <c r="P45" i="5"/>
  <c r="O45" i="5"/>
  <c r="O44" i="5"/>
  <c r="BG43" i="5"/>
  <c r="BH43" i="5"/>
  <c r="BF43" i="5"/>
  <c r="BC43" i="5"/>
  <c r="P43" i="5"/>
  <c r="O43" i="5"/>
  <c r="BH41" i="5"/>
  <c r="BG41" i="5"/>
  <c r="BF41" i="5"/>
  <c r="BC41" i="5"/>
  <c r="P41" i="5"/>
  <c r="BG38" i="5"/>
  <c r="BH38" i="5"/>
  <c r="BF38" i="5"/>
  <c r="BC38" i="5"/>
  <c r="P38" i="5"/>
  <c r="O38" i="5"/>
  <c r="BG36" i="5"/>
  <c r="BH36" i="5"/>
  <c r="BF36" i="5"/>
  <c r="BC36" i="5"/>
  <c r="P36" i="5"/>
  <c r="BG33" i="5"/>
  <c r="BF33" i="5"/>
  <c r="BC33" i="5"/>
  <c r="P33" i="5"/>
  <c r="O34" i="5"/>
  <c r="BG30" i="5"/>
  <c r="BF30" i="5"/>
  <c r="BC30" i="5"/>
  <c r="P30" i="5"/>
  <c r="O41" i="5"/>
  <c r="BG29" i="5"/>
  <c r="BH29" i="5"/>
  <c r="BF29" i="5"/>
  <c r="BC29" i="5"/>
  <c r="P29" i="5"/>
  <c r="O29" i="5"/>
  <c r="BH28" i="5"/>
  <c r="BG28" i="5"/>
  <c r="BF28" i="5"/>
  <c r="BC28" i="5"/>
  <c r="P28" i="5"/>
  <c r="BG26" i="5"/>
  <c r="BF26" i="5"/>
  <c r="BC26" i="5"/>
  <c r="P26" i="5"/>
  <c r="O26" i="5"/>
  <c r="O23" i="5"/>
  <c r="BG20" i="5"/>
  <c r="BH20" i="5"/>
  <c r="BF20" i="5"/>
  <c r="BC20" i="5"/>
  <c r="P20" i="5"/>
  <c r="O22" i="5"/>
  <c r="O20" i="5"/>
  <c r="BG18" i="5"/>
  <c r="BF18" i="5"/>
  <c r="BC18" i="5"/>
  <c r="P18" i="5"/>
  <c r="O33" i="5"/>
  <c r="BG16" i="5"/>
  <c r="BH16" i="5"/>
  <c r="BF16" i="5"/>
  <c r="BC16" i="5"/>
  <c r="P16" i="5"/>
  <c r="BH14" i="5"/>
  <c r="BG14" i="5"/>
  <c r="BF14" i="5"/>
  <c r="BC14" i="5"/>
  <c r="P14" i="5"/>
  <c r="O28" i="5"/>
  <c r="BG12" i="5"/>
  <c r="BH12" i="5"/>
  <c r="BF12" i="5"/>
  <c r="BF46" i="5"/>
  <c r="BC12" i="5"/>
  <c r="P12" i="5"/>
  <c r="P46" i="5"/>
  <c r="O12" i="5"/>
  <c r="O16" i="5"/>
  <c r="O21" i="5"/>
  <c r="O36" i="5"/>
  <c r="O37" i="5"/>
  <c r="O24" i="5"/>
  <c r="O42" i="5"/>
  <c r="O14" i="5"/>
  <c r="O18" i="5"/>
  <c r="O30" i="5"/>
  <c r="BG46" i="5"/>
  <c r="BH46" i="5"/>
  <c r="BE50" i="4"/>
  <c r="V50" i="4"/>
  <c r="U50" i="4"/>
  <c r="BC49" i="4"/>
  <c r="P49" i="4"/>
  <c r="BC47" i="4"/>
  <c r="P47" i="4"/>
  <c r="P44" i="4"/>
  <c r="O44" i="4"/>
  <c r="P43" i="4"/>
  <c r="O43" i="4"/>
  <c r="P42" i="4"/>
  <c r="O42" i="4"/>
  <c r="P41" i="4"/>
  <c r="O41" i="4"/>
  <c r="BG40" i="4"/>
  <c r="BF40" i="4"/>
  <c r="P40" i="4"/>
  <c r="O40" i="4"/>
  <c r="BC38" i="4"/>
  <c r="P38" i="4"/>
  <c r="O16" i="4"/>
  <c r="BC35" i="4"/>
  <c r="P35" i="4"/>
  <c r="O35" i="4"/>
  <c r="P33" i="4"/>
  <c r="BC31" i="4"/>
  <c r="BH30" i="4"/>
  <c r="BG30" i="4"/>
  <c r="BF30" i="4"/>
  <c r="BD30" i="4"/>
  <c r="BC30" i="4"/>
  <c r="T30" i="4"/>
  <c r="P30" i="4"/>
  <c r="O30" i="4"/>
  <c r="P27" i="4"/>
  <c r="T25" i="4"/>
  <c r="T50" i="4"/>
  <c r="BC22" i="4"/>
  <c r="P22" i="4"/>
  <c r="BH20" i="4"/>
  <c r="BG20" i="4"/>
  <c r="BF20" i="4"/>
  <c r="BD20" i="4"/>
  <c r="BC20" i="4"/>
  <c r="BC18" i="4"/>
  <c r="P18" i="4"/>
  <c r="O18" i="4"/>
  <c r="BG16" i="4"/>
  <c r="BH16" i="4"/>
  <c r="BF16" i="4"/>
  <c r="BF50" i="4"/>
  <c r="BD16" i="4"/>
  <c r="BC16" i="4"/>
  <c r="P16" i="4"/>
  <c r="O38" i="4"/>
  <c r="P14" i="4"/>
  <c r="O14" i="4"/>
  <c r="P12" i="4"/>
  <c r="O12" i="4"/>
  <c r="O22" i="4"/>
  <c r="P25" i="4"/>
  <c r="O49" i="4"/>
  <c r="O47" i="4"/>
  <c r="BG50" i="4"/>
  <c r="BH50" i="4"/>
  <c r="P50" i="4"/>
  <c r="O20" i="4"/>
  <c r="O27" i="4"/>
  <c r="O33" i="4"/>
  <c r="O25" i="4"/>
  <c r="BE14" i="2"/>
  <c r="V14" i="2"/>
  <c r="U14" i="2"/>
  <c r="T14" i="2"/>
  <c r="BH13" i="2"/>
  <c r="BG13" i="2"/>
  <c r="BF13" i="2"/>
  <c r="BC13" i="2"/>
  <c r="P13" i="2"/>
  <c r="O13" i="2"/>
  <c r="BG12" i="2"/>
  <c r="BG14" i="2"/>
  <c r="BF12" i="2"/>
  <c r="BF14" i="2"/>
  <c r="BC12" i="2"/>
  <c r="P12" i="2"/>
  <c r="O12" i="2"/>
  <c r="BH14" i="2"/>
  <c r="P14" i="2"/>
  <c r="BH12" i="2"/>
  <c r="BE24" i="1"/>
  <c r="V24" i="1"/>
  <c r="U24" i="1"/>
  <c r="T24" i="1"/>
  <c r="BG23" i="1"/>
  <c r="BF23" i="1"/>
  <c r="S23" i="1"/>
  <c r="P23" i="1"/>
  <c r="O23" i="1"/>
  <c r="O21" i="1"/>
  <c r="O19" i="1"/>
  <c r="BH17" i="1"/>
  <c r="BG17" i="1"/>
  <c r="BF17" i="1"/>
  <c r="BF24" i="1"/>
  <c r="P17" i="1"/>
  <c r="O22" i="1"/>
  <c r="O17" i="1"/>
  <c r="BG16" i="1"/>
  <c r="BH16" i="1"/>
  <c r="BF16" i="1"/>
  <c r="S16" i="1"/>
  <c r="P16" i="1"/>
  <c r="O16" i="1"/>
  <c r="BG15" i="1"/>
  <c r="BH15" i="1"/>
  <c r="BF15" i="1"/>
  <c r="S15" i="1"/>
  <c r="P15" i="1"/>
  <c r="O15" i="1"/>
  <c r="BG14" i="1"/>
  <c r="BH14" i="1"/>
  <c r="BF14" i="1"/>
  <c r="S14" i="1"/>
  <c r="P14" i="1"/>
  <c r="O14" i="1"/>
  <c r="BG13" i="1"/>
  <c r="BH13" i="1"/>
  <c r="BF13" i="1"/>
  <c r="S13" i="1"/>
  <c r="P13" i="1"/>
  <c r="O13" i="1"/>
  <c r="BG11" i="1"/>
  <c r="BG24" i="1"/>
  <c r="BH24" i="1"/>
  <c r="BF11" i="1"/>
  <c r="S11" i="1"/>
  <c r="P11" i="1"/>
  <c r="P24" i="1"/>
  <c r="O11" i="1"/>
  <c r="BH11" i="1"/>
  <c r="O20" i="1"/>
  <c r="O18" i="1"/>
</calcChain>
</file>

<file path=xl/comments1.xml><?xml version="1.0" encoding="utf-8"?>
<comments xmlns="http://schemas.openxmlformats.org/spreadsheetml/2006/main">
  <authors>
    <author>Usuario</author>
  </authors>
  <commentList>
    <comment ref="P30" authorId="0" shapeId="0">
      <text>
        <r>
          <rPr>
            <b/>
            <sz val="9"/>
            <color indexed="81"/>
            <rFont val="Tahoma"/>
            <family val="2"/>
          </rPr>
          <t>Usuario:</t>
        </r>
        <r>
          <rPr>
            <sz val="9"/>
            <color indexed="81"/>
            <rFont val="Tahoma"/>
            <family val="2"/>
          </rPr>
          <t xml:space="preserve">
Le sobra en presupuesto $ 79525969</t>
        </r>
      </text>
    </comment>
    <comment ref="P41" authorId="0" shapeId="0">
      <text>
        <r>
          <rPr>
            <b/>
            <sz val="9"/>
            <color indexed="81"/>
            <rFont val="Tahoma"/>
            <family val="2"/>
          </rPr>
          <t>Usuario:</t>
        </r>
        <r>
          <rPr>
            <sz val="9"/>
            <color indexed="81"/>
            <rFont val="Tahoma"/>
            <family val="2"/>
          </rPr>
          <t xml:space="preserve">
Le faltan en presuuesto  $ 79.525.969</t>
        </r>
      </text>
    </comment>
  </commentList>
</comments>
</file>

<file path=xl/sharedStrings.xml><?xml version="1.0" encoding="utf-8"?>
<sst xmlns="http://schemas.openxmlformats.org/spreadsheetml/2006/main" count="3982" uniqueCount="1468">
  <si>
    <t>SEGUIMIENTO PLAN DE ACCIÓN ARMONIZADO
SECRETARÍA DE PLANEACIÓN
JUNIO 30 DE 2020</t>
  </si>
  <si>
    <t xml:space="preserve">CODIGO:  </t>
  </si>
  <si>
    <t xml:space="preserve">F-PLA-07   </t>
  </si>
  <si>
    <t xml:space="preserve">VERSIÓN: </t>
  </si>
  <si>
    <t>O6</t>
  </si>
  <si>
    <t xml:space="preserve">FECHA: </t>
  </si>
  <si>
    <t>Nov. 22 de 2017</t>
  </si>
  <si>
    <t>PÁGINA:</t>
  </si>
  <si>
    <t xml:space="preserve"> 1 de 1</t>
  </si>
  <si>
    <t>PLAN DE DESARROLLO DEPARTAMENTAL:  "TÚ Y YO SOMOS QUINDÍO"</t>
  </si>
  <si>
    <t xml:space="preserve">PROYECTO </t>
  </si>
  <si>
    <t>POBLACIÓN</t>
  </si>
  <si>
    <t>CODIGO</t>
  </si>
  <si>
    <t xml:space="preserve">ESTRATEGIA </t>
  </si>
  <si>
    <t xml:space="preserve">PROGRAMA </t>
  </si>
  <si>
    <t xml:space="preserve">META DE PRODUCTO PLAN DE DESARROLLO </t>
  </si>
  <si>
    <t xml:space="preserve">INDICADOR </t>
  </si>
  <si>
    <t>META FISICA PROGRAMADA</t>
  </si>
  <si>
    <t>IMPUTACION PRESUPUESTAL</t>
  </si>
  <si>
    <t xml:space="preserve">No </t>
  </si>
  <si>
    <t>PESO DE LA META %</t>
  </si>
  <si>
    <t xml:space="preserve">VALOR EN PESOS </t>
  </si>
  <si>
    <t xml:space="preserve">OBJETIVO GENERAL DEL PROYECTO </t>
  </si>
  <si>
    <t xml:space="preserve">OBJETIVOS ESPECIFICOS </t>
  </si>
  <si>
    <t>ACTIVIDADES CUANTIFICADAS</t>
  </si>
  <si>
    <t>COMPROMISOS</t>
  </si>
  <si>
    <t>OBLIGACIONES</t>
  </si>
  <si>
    <t xml:space="preserve">FUENTE DE RECURSOS </t>
  </si>
  <si>
    <t>GENERO</t>
  </si>
  <si>
    <t>DISTRIBUCIÓN ETÁREA (EDAD)</t>
  </si>
  <si>
    <t xml:space="preserve">GRUPOS ÉTNICOS </t>
  </si>
  <si>
    <t xml:space="preserve">POBLACIÓN VULNERABLE </t>
  </si>
  <si>
    <t>TOTAL</t>
  </si>
  <si>
    <t>CONTRATOS</t>
  </si>
  <si>
    <t xml:space="preserve">FECHA DE INICIO </t>
  </si>
  <si>
    <t xml:space="preserve">FECHA DE TERMINACIÓN </t>
  </si>
  <si>
    <t xml:space="preserve">RESPONSABLE </t>
  </si>
  <si>
    <t>MUJER</t>
  </si>
  <si>
    <t>HOMBRE</t>
  </si>
  <si>
    <t>Edad Escolar 
(0 - 14 años)</t>
  </si>
  <si>
    <t>Adolescencia
 (15 - 19 años)</t>
  </si>
  <si>
    <t>Edad Económicamente Activa (20-59 años)</t>
  </si>
  <si>
    <t>Adultos Mayores (Mayores a 60 años)</t>
  </si>
  <si>
    <t>Indígena</t>
  </si>
  <si>
    <t>Afrocolombiano</t>
  </si>
  <si>
    <t>Raizal</t>
  </si>
  <si>
    <t>Rom</t>
  </si>
  <si>
    <t xml:space="preserve">Mestiza </t>
  </si>
  <si>
    <t>palenqueras</t>
  </si>
  <si>
    <t xml:space="preserve">Desplazados </t>
  </si>
  <si>
    <t xml:space="preserve">Discapacitados </t>
  </si>
  <si>
    <t xml:space="preserve">Victimas </t>
  </si>
  <si>
    <t xml:space="preserve">No. DE 
CONTRATOS </t>
  </si>
  <si>
    <t>VALOR COMPROMISOS</t>
  </si>
  <si>
    <t>VALOR DE LAS OBLIGACIONES</t>
  </si>
  <si>
    <t>% DE EJECUCION</t>
  </si>
  <si>
    <t>FUENTE DE LOS RECURSOS</t>
  </si>
  <si>
    <t>SUPERVISOR RESPONSABLE</t>
  </si>
  <si>
    <t>P</t>
  </si>
  <si>
    <t xml:space="preserve">E </t>
  </si>
  <si>
    <t>E</t>
  </si>
  <si>
    <t>Participación ciudadana y política y respeto por los derechos humanos y diversidad de creencias. "Quindío integrado y participativo"</t>
  </si>
  <si>
    <t>DNP</t>
  </si>
  <si>
    <t>Fortalecimiento técnico y logístico del  Consejo Territorial de Planeación Departamental, como representantes de la sociedad civil en la planeación  del desarrollo integral  de la entidad territorial</t>
  </si>
  <si>
    <t xml:space="preserve">Consejo Territorial de Planeación Departamental fortalecido.   </t>
  </si>
  <si>
    <t xml:space="preserve">0305 - 5 - 1 4 16 42 7 - 20
0305 - 5 - 1 4 16 42 7 - 88
0305 - 5 - 3 1 5 27 85 16 7 - 20
</t>
  </si>
  <si>
    <t>201663000-0007</t>
  </si>
  <si>
    <t>Asistencia al Consejo Territorial de Planeación del Departamento del Quindío.</t>
  </si>
  <si>
    <t xml:space="preserve">Fortalecer competencias de planificación del consejo territorial del Departamento del Quindío, a través de la participación del Consejo Territorial de Planeación en encuentros Departamentales, Nacionales y Regionales, de una estrategia de comunicaciones e imagen institucional , del diplomado o escuela de liderazgo en Ordenamiento Territorial y de la adquisición de equipos digitales, computo, inmuebles durante la vigencia 2020.   </t>
  </si>
  <si>
    <t xml:space="preserve">Apoyar la participación de los integrantes del consejo territorial a congresos y eventos nacionales regionales y departamentales, en el Departamento del Quindío, durante la vigencia 2020
Utilizar diversos medios e instrumentos para la difusión del accionar del consejo territorial a través de estrategias de comunicación e imagen institucional y adquisición de equipos digitales y de cómputo en el Departamento del Quindío, durante la vigencia 2020.
Aumentar los  espacios para capacitación orientados en planificación del territorio Quindiano a través de diplomado o Escuela de liderazgo en ordenamiento territorial en el Departamento del Quindío, durante la vigencia 2020.   </t>
  </si>
  <si>
    <t>20 - 88</t>
  </si>
  <si>
    <t>Recurso Ordinario 
Superávit recurso ordinario</t>
  </si>
  <si>
    <t>Recurso Ordinario (20)</t>
  </si>
  <si>
    <t>Juan Manuel Lozano Castro
Jefe Oficina Desarrollo Territorial</t>
  </si>
  <si>
    <t xml:space="preserve">
Secretaría de Planeación</t>
  </si>
  <si>
    <t>Fortalecimiento de la Gestión  y Desempeño Institucional. "Quindío con una administración al servicio de la ciudadanía "</t>
  </si>
  <si>
    <t>Instrumentos de planificación para  el  Ordenamiento y la Gestión Territorial Departamental (Plan de Desarrollo Departamental PDD, Politicas y Directrices de Ordenamiento Territorial, Sistema de Información Geográfica, Catastro Multiproposito  y mecanismos de integración)</t>
  </si>
  <si>
    <t xml:space="preserve">Instrumentos de planificación de ordenamiento y gestión territorial departamental implementados. </t>
  </si>
  <si>
    <t>0305 - 5 - 1 4 17 45 2 - 20
0305 - 5 - 1 4 17 45 2 - 88
0305 - 5 - 3 1 5 28 87 17 2 - 20</t>
  </si>
  <si>
    <t>201900363-0002</t>
  </si>
  <si>
    <t>Formulación  e implementación del  Plan de Desarrollo Departamental 2020-2023</t>
  </si>
  <si>
    <t>Aumentar los índices eficacia y eficiencia  de la inversión social en el Departamento del Quindío, a través de la formulación del Plan de Desarrollo 2020- 2023 (Componentes: Estratégico-financiero- seguimiento y evaluación) con  procesos de participación y sensibilización conducentes a  lograr el empoderamiento  de los entes territoriales municipales,  sociedad  civil y organizada en la ejecución del Plan, durante el periodo administrativo</t>
  </si>
  <si>
    <t xml:space="preserve">Formular  e implementar  el Plan de Desarrollo Departamental  2020-2023 a través  de la  estructuración del componente estratégico, financiero, de seguimiento y evaluación,  con el fin de lograr la construcción de  un instrumento de planificación  acorde al programa de gobierno  y las necesidades de la comunidad,  durante la vigencia 2020 .
Realizar la socialización del Plan de Desarrollo del Departamento del Quindío  2020- 2023, a través de  estrategias de divulgación ( Talleres de capacitación y  cartilla informativa), con el fin de lograr  el empoderamiento y  el control ciudadano en  el proceso de ejecución del  Plan  </t>
  </si>
  <si>
    <t>José Ignacio Rojas Sepúlveda
Secretario Departamental de Planeación</t>
  </si>
  <si>
    <t xml:space="preserve"> 
0305 - 5 - 3 1 5 28 87 17 9 - 20</t>
  </si>
  <si>
    <t>201663000-0009</t>
  </si>
  <si>
    <t>Diseño e implementación instrumentos de  planificación para el  ordenamiento  territorial, social y económico del  Departamento del Quindio</t>
  </si>
  <si>
    <t xml:space="preserve">Diseñar un sistema que garantice  la calidad en la información de los esquemas y planes básicos para la toma de decisiones  y organización del territorio  físico espacial en el departamento del Quindío
</t>
  </si>
  <si>
    <t xml:space="preserve">Diseñar e implementar el Plan de Ordenamiento del Departamento del Quindío( I- Fase)
Fortalecer el  Sistema de Información Geográfica del Departamento del Quindío </t>
  </si>
  <si>
    <t xml:space="preserve">Recurso Ordinario 
 </t>
  </si>
  <si>
    <t xml:space="preserve">
Secretará de Planeación</t>
  </si>
  <si>
    <t>Observatorio económico del Departamento, con procesos de fortalecimiento</t>
  </si>
  <si>
    <t>Observatorio económico del Departamento del Quindío actualizado y dotado.</t>
  </si>
  <si>
    <t>0305 - 5 - 1 4 17 45 10 - 20
0305 - 5 - 1 4 17 45 10 - 88
0305 - 5 - 3 1 5 28 87 17 10 - 20</t>
  </si>
  <si>
    <t>201663000-0010</t>
  </si>
  <si>
    <t xml:space="preserve">Diseño    e implementación del Observatorio  de Desarrollo Humano en el Departamento del Quindio </t>
  </si>
  <si>
    <t xml:space="preserve">Aumentar los índices eficacia y eficiencia  de la inversión social en el Departamento del Quindío, a través  del diseño e implementación de la primera fase  del Observatorio de Desarrollo Humano en el Departamento del Quindío (Diagnóstico y compilación de la información estadística -Elaboración de los lineamientos metodológicos, tecnológicos y presupuestales),durante el periodo administrativo. </t>
  </si>
  <si>
    <t>Elaborar  diagnóstico y compilar las estadísticas existentes en el Departamento por series de tiempo  y estrategias ( Inclusión social, seguridad humana, desarrollo sostenible, buen gobierno y prosperidad con equidad), con el fin contar con información soporte  que permita la toma de decisiones y aumentar los índices de eficacia y eficiencia de la inversión social en el Departamento del Quindío, durante la vigencia 2020.
Elaborar los lineamientos metodológicos, tecnológicos y presupuestales para la implementación del Observatorio de Desarrollo Humano en Departamento del Quindío, con el fin  de contar con los soportes técnicos para el diseño de un herramienta tecnológica  que permita la articulación de la captura y procesamiento de la información por parte de las diferentes instancias productoras y mejorar los índices  de eficacia y eficiencia de la inversión social en el Departamento del Quindío, durante la vigencia 2020</t>
  </si>
  <si>
    <t>Banco de Programas y Proyectos del Departamento  con Procesos de fortalecimiento.</t>
  </si>
  <si>
    <t>Banco de Programas y Proyectos del Departamento fortalecido</t>
  </si>
  <si>
    <t>0305 - 5 - 1 4 17 45 12 - 20
0305 - 5 - 1 4 17 45 12 - 88
0305 - 5 - 3 1 5 28 87 17 12 - 20</t>
  </si>
  <si>
    <t>201663000-0012</t>
  </si>
  <si>
    <t>Implementación Sistema de Cooperación Internacional y  de Gestión de proyectos  del Depratamento del Quindío - " Fabrica de Proyectos</t>
  </si>
  <si>
    <t xml:space="preserve">Aumentar la capacidad instalada en las secretarias sectoriales y entes territoriales para la formulación de proyectos conducentes a la gestión de recursos del orden departamental, nacional e internacional  </t>
  </si>
  <si>
    <t>Fortalecer la gestión de recursos, a través del SGR, departamentales, nacionales  e Internacional para el apoyo de alternativas regionales.
Fortalecer el Monitoreo, control y seguimiento de los proyectos de inversión en tiempo real
Brindar apoyo técnico integral o interdisciplinario a las Secretarias de la Gobernación del Quindío y a los entes territoriales en la identificación y formulación  de Proyectos en el marco de la Metodología General Ajustada, Marco Lógico y otras</t>
  </si>
  <si>
    <t>Sandra Patricia Díaz Ordoñez
Jefe de Proyectos y Cooperación
Norma Consuelo Mantilla Quintero  
Profesional Universitario
Luis Alberto Rincon Quintero 
Asesor Despacho</t>
  </si>
  <si>
    <t>Secretaría de Planeación</t>
  </si>
  <si>
    <t xml:space="preserve">Entes territoriales  con servicio de asistencia técnica de los Instrumentos de Planificación para  el Ordenamiento y la Gestión Territorial departamental. </t>
  </si>
  <si>
    <t>Entes territoriales con procesos de asistencia técnica realizadas.</t>
  </si>
  <si>
    <t>0305 - 5 - 1 4 17 45 14 - 20
0305 - 5 - 1 4 17 45 14 - 88
0305 - 5 - 3 1 5 28 87 17 14 - 20</t>
  </si>
  <si>
    <t>201663000-0014</t>
  </si>
  <si>
    <t>Asistencia  técnica, seguimiento y evaluación  de la gestión  territorial en los  munipicios del Departamento del  Quindío.</t>
  </si>
  <si>
    <t xml:space="preserve">Aumentar  los índices eficacia y eficiencia  de la inversión social en el departamento del Quindío, a través  de procesos de capacitación, asistencia técnica, seguimiento y evaluación del gestión territorial, durante  la vigencia 2020. </t>
  </si>
  <si>
    <t>Realizar capacitaciones, sensibilizaciones,  asistencias técnicas , seguimiento y evaluación  en los doce municipios del departamento, sobre los   instrumentos de planificación de la  gestión territorial : ocupación del espacio público, planes de ordenamiento territorial, sisben, raking integral de desempeño, instrumentos de planificación, políticas públicas y metodología general ajustada, con el fin de aumentar los índices de eficacia y eficiencia de la inversión en el departamento del Quindío</t>
  </si>
  <si>
    <t>Recurso Ordinario
Superávit recurso ordinario</t>
  </si>
  <si>
    <t>Martha Elena Giraldo Ramirez
Directora Técnica
Juan Manuel Lozano Castro
Jefe Oficina Desarrollo Territorial</t>
  </si>
  <si>
    <t>Entes territoriales con servicio de asistencia  técnica del Modelo Integrado de Planeación y de Gestión MIPG</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</si>
  <si>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</si>
  <si>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</si>
  <si>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</si>
  <si>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</si>
  <si>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</si>
  <si>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Implementación de  las Dimensiones y Politicas  del Modelo Integrado de Planeación y de Gestión MIPG</t>
  </si>
  <si>
    <t>0305 - 5 - 1 4 17 45 6 - 20
0305 - 5 - 1 4 17 45 6 - 88</t>
  </si>
  <si>
    <t>202000363-0006</t>
  </si>
  <si>
    <t xml:space="preserve">Implementación  del Modelo Integrado de Planeación y de Gestión MIPG en la Administración Departamental del Quindio </t>
  </si>
  <si>
    <t>Mejorar el Indice de  gestión y el desempeño institucional de la administración departamental, con el propósito de dar cumplimiento a la visión y misión institucional con eficacia y eficiencia, en beneficio de la población del Departamento del Quindío</t>
  </si>
  <si>
    <t>Fortalecer la implementación de procesos y procedimientos que reglamentan la operación de las Dimensiones y Políticas del Modelo Integrado de Planeación y de Gestión MIPG en las diferentes áreas de la Administración Departamental.</t>
  </si>
  <si>
    <t>JOSÉ IGNACIO ROJAS SEPÚLVEDA</t>
  </si>
  <si>
    <t>Secretario de Planeación</t>
  </si>
  <si>
    <t>SEGUIMIENTO PLAN DE ACCIÓN ARMONIZADO
SECRETARÍA DE HACIENDA Y FINANZAS PUBLICAS
JUNIO 30 DE 2020</t>
  </si>
  <si>
    <t>F-PLA-07</t>
  </si>
  <si>
    <t>LIDERAZGO, GOBERNABILIDAD Y TRANSPARENCIA</t>
  </si>
  <si>
    <t>Estrategia para el mejoramiento del Índice de Desempeño Fiscal en la Administración Departamental.</t>
  </si>
  <si>
    <t>Estrategia  de fortalecimiento  del Índice de Desempeño  Fiscal implementadas.</t>
  </si>
  <si>
    <t>0307 - 5 - 1 4 17 45 16 - 20
0307 - 5 - 1 4 17 45 16 - 56
0307 - 5 - 1 4 17 45 16 - 88
0307 - 5 - 3 1 5 28 88 17 16 - 20</t>
  </si>
  <si>
    <t>201663000-0016</t>
  </si>
  <si>
    <t>Mejoramiento de la sostenibilidad de los procesos de fiscalización liquidación control y cobranza de los tributos en el Departamento del Quindío</t>
  </si>
  <si>
    <t xml:space="preserve">Aumentar los  porcentajes de crecimiento de los ingresos en el Departamento del Quindío, a través de procesos de fiscalización, procedimientos administrativos de cobro coactivo de la cartera morosa y cumplimiento del  Programa Anti contrabando </t>
  </si>
  <si>
    <t>Realizar procesos de fiscalización de las rentas Departamentales, a través de la realización de controles en la liquidación y cobranza  en los tributos con el fin de aumentar los ingresos consolidar la cultura tributaria y aumentar la inversión. 
Llevar a cabo la implementación de los diferentes Procesos Administrativos de Cobro Coactivo sobre aquellos contribuyentes que se encuentran en mora de cancelar sus obligaciones tributarias
Ejecutar el Programa Anti contrabando en el Departamento del Quindío con ocasión de la suscripción del Convenio entre el Departamento del Quindío y la Federación Nacional de Departamentos</t>
  </si>
  <si>
    <t>20 -88 - 56</t>
  </si>
  <si>
    <t>Recurso Ordinario
Superávit Recurso Ordinario
Cofinanciación convenios interadministrativos</t>
  </si>
  <si>
    <t>Mónica Andrea Salgado Castro
Directora Tributaria
Secretaría de Hacienda</t>
  </si>
  <si>
    <t>Secretaría de Hacienda</t>
  </si>
  <si>
    <t xml:space="preserve">Programa para el cumplimiento de las políticas y prácticas contables para la administración departamental         </t>
  </si>
  <si>
    <t>Programa para el cumplimiento de las políticas y prácticas contables implementado</t>
  </si>
  <si>
    <t>0307 - 5 - 1 4 17 45 17 - 20
0307 - 5 - 1 4 17 45 17 - 88
0307 - 5 - 3 1 5 28 88 17 17 - 20</t>
  </si>
  <si>
    <t>201663000-0017</t>
  </si>
  <si>
    <t xml:space="preserve">Implementación de un programa de gestión fianciera para la optimización de los procesos en el área de tesorería, presupuesto y contabilidad en el Departamento del Quindío </t>
  </si>
  <si>
    <t>Fortalecer la Gestión Financiera mediante la consolidación de los Sistemas de Información, implementación de Normas Internacionales de Información Financiera NIIF,  crecimiento real de ingresos, sostenibilidad de la deuda y el manejo de pasivos, a fin de garantizar la confiabilidad de la Información Financiera y aplicación de Normas en las Finanzas Públicas</t>
  </si>
  <si>
    <t>Adoptar el nuevo modelo de información Financiera determinado por las Normas Internacionales de Contabilidad de información financiera NIIF, a fin de garantizar la confiabilidad de la información financiera.</t>
  </si>
  <si>
    <t>Recurso Ordinario
Superávit Recurso Ordinario</t>
  </si>
  <si>
    <t>Magnolia Gonzales Quintero
Directora Financiera
Secretaría de Hacienda</t>
  </si>
  <si>
    <t>JORGE FERNANDO OSPINA GÓMEZ</t>
  </si>
  <si>
    <t>Secretario de Hacienda</t>
  </si>
  <si>
    <t xml:space="preserve">Elaboro: ANDRES MAURICIO GIRALDO -CONTRATISTA </t>
  </si>
  <si>
    <t>INCLUSIÓN SOCIAL Y EQUIDAD</t>
  </si>
  <si>
    <t>Promoción al acceso a la justicia."Tú y yo con justicia"</t>
  </si>
  <si>
    <t xml:space="preserve">Infraestructura  de las Instituciones de seguridad del estado con procesos  constructivos   y/o mejorados y/o ampliados y/o mantenidos y/o  reforzados </t>
  </si>
  <si>
    <t xml:space="preserve">Infraestructura  de las Instituciones de seguridad del estado construida y/o Mejorada, y/o Ampliada, y/o Mantenida, Y/o  Reforzada </t>
  </si>
  <si>
    <t>0308 - 5 - 1 1 18 1 7 - 88</t>
  </si>
  <si>
    <t>202000363-0007</t>
  </si>
  <si>
    <t>Construcción y/o mejoramiento de las instituciones públicas y/o de seguridad y  justicia  del estado en el Departamento Quindío .</t>
  </si>
  <si>
    <t>fortalecer infraestructuras públicas, equipamientos y equipamentos,  mediante diagnósticos que nos permitan establecer las condiciones que se encuentran con el fin de realizar intervenciones en la mejora de cada uno que permita  el buen funcionamiento.</t>
  </si>
  <si>
    <t>1- Promover la transparencia, la participación y la colaboración en la administración pública.                               2- Involucrar a la ciudadanía en el diseño, gestión de las diferentes estrategias a ejecutar para que sean beneficiados.</t>
  </si>
  <si>
    <t>Recursos Ordinarios del Balance</t>
  </si>
  <si>
    <t>Secretaría de Aguas e Infraestructura</t>
  </si>
  <si>
    <t>Prestación de servicios de salud. "Tú y yo con servicios de salud"</t>
  </si>
  <si>
    <t xml:space="preserve">Infraestructura  Hospitalaria  con procesos  constructivos  y/o mejorados, y/o ampliados y/o mantenidos, y/o  reforzados </t>
  </si>
  <si>
    <t xml:space="preserve">Infraestructura   Hospitalaria  construída y/o Mejorada, y/o Ampliada, y/o Mantenida, y/o  Reforzada </t>
  </si>
  <si>
    <t>0308 - 5 - 1 1 2 13 8 - 88</t>
  </si>
  <si>
    <t>202000363-0008</t>
  </si>
  <si>
    <t>Construccion y/o mejoramiento de la infraestructura fisica de las instituciones de salud pública y bienestar social del departamento del quindio.</t>
  </si>
  <si>
    <t>Aumentar capacidad de infraestructura que permita la  prestaciòn del servicio de salud en el Departamento del Quindio.</t>
  </si>
  <si>
    <t xml:space="preserve">1- Aumentar la infraestructura cumpliendo con requisitos para la atenciòn basica en salud.
2- Disponer de sitios aptos para la atenciòn basica de salud
3 - Garantizar el acceso efectivo de la poblaciòn a los servicios de atenciòn  en salud
</t>
  </si>
  <si>
    <t>Calidad, cobertura y fortalecimiento de la educación inicial, prescolar, básica y media." Tú y yo con educación y de calidad"</t>
  </si>
  <si>
    <t xml:space="preserve">Infraestructura  de Instituciones Educativas  con procesos  constructivos ,  y/o mejorados, y/o ampliados, y/o mantenidos, y/o  reforzados </t>
  </si>
  <si>
    <t xml:space="preserve">Infraestructura  de Instituciones Educativas   construída y/o Mejorada, y/o Ampliada, y/o Mantenida, Y/o  Reforzada </t>
  </si>
  <si>
    <t>0308 - 5 - 1 1 1 15 21 - 04
0308 - 5 - 1 1 1 15 21 - 82
0308 - 5 - 3 1 2 4 15 1 21 - 04
0308 - 5 - 3 1 2 4 15 1 21 - 165</t>
  </si>
  <si>
    <t>201663000-0021</t>
  </si>
  <si>
    <t>Construir, mantener, mejorar y/o rehabilitar la infraestructura social del Departamento del Quindio</t>
  </si>
  <si>
    <t>Construir, mantener, mejorar y/o rehabilitar la infraestructura social del departamento del Quindío.</t>
  </si>
  <si>
    <t>Mantener en buen estado la infraestructura y asequible la infraestructura social del departamento del Quindío</t>
  </si>
  <si>
    <t>04-82-165</t>
  </si>
  <si>
    <t xml:space="preserve">Estampilla Prodesarrollo
Superávit Estampilla Pro-Desarrollo
Reintegro Póliza Compañía de Seguros
</t>
  </si>
  <si>
    <t>MILTON CESAR TORRES HERNANDEZ</t>
  </si>
  <si>
    <t>Promoción y acceso efectivo a procesos culturales y artísticos. "Tú y yo somos cultura Quindiana"</t>
  </si>
  <si>
    <t>3301068</t>
  </si>
  <si>
    <t>Servicio de mantenimiento de infraestructura cultural</t>
  </si>
  <si>
    <t>Infraestructura cultural intervenida</t>
  </si>
  <si>
    <t>0308 - 5 - 1 1 5 25 21 - 20
0308 - 5 - 1 1 5 25 21 - 88</t>
  </si>
  <si>
    <t>20-88</t>
  </si>
  <si>
    <t xml:space="preserve">Recurso Ordinario 
Recursos Ordinarios del Balance
</t>
  </si>
  <si>
    <t>Fomento a la recreación, la actividad física y el deporte. "Tú y yo en la recreación y el deporte"</t>
  </si>
  <si>
    <t xml:space="preserve">Infraestructura  deportiva y/o recreativa con procesos   constructivos ,  y/o mejorados, y/o ampliados, y/o mantenidos, y/o  reforzados </t>
  </si>
  <si>
    <t xml:space="preserve">Infraestructura   deportiva y/o recreativa construída y/o Mejorada, y/o Ampliada, y/o Mantenida, Y/o  Reforzada </t>
  </si>
  <si>
    <t>0308 - 5 - 1 1 4 39 21 - 04</t>
  </si>
  <si>
    <t>04</t>
  </si>
  <si>
    <t>Estampilla Prodesarrollo</t>
  </si>
  <si>
    <t>Formación y preparación de deportistas. "Tú y yo campeones"</t>
  </si>
  <si>
    <t>Piscinas construidas y dotadas</t>
  </si>
  <si>
    <t>0308 - 5 - 1 1 4 40 21 - 04 0308 - 5 - 1 1 4 40 21 - 82</t>
  </si>
  <si>
    <t>04-82</t>
  </si>
  <si>
    <t xml:space="preserve">Estampilla Prodesarrollo
Superávit Estampilla Pro-Desarrollo
</t>
  </si>
  <si>
    <t>PRODUCTIVIDAD Y COMPETITIVIDAD</t>
  </si>
  <si>
    <t>Infraestructura productiva y comercialización. "Tú y yo con agro competitivo"</t>
  </si>
  <si>
    <t>Plazas de mercado adecuadas</t>
  </si>
  <si>
    <t>0308 - 5 - 1 2 13 10 9 - 88</t>
  </si>
  <si>
    <t>202000363-0009</t>
  </si>
  <si>
    <t>Construcción y/o mejoramiento  de la infraestructura turística y/o  productiva y  competitiva       para el desarrollo del Departamento del Quindío..</t>
  </si>
  <si>
    <t>Fortalecer de manera eficaz y eficiente  las infraestructuras turistica y productiva del Departamento del Quindío que permita el fortalecimiento  de las variables antes mencionadas  en los diferentes municipios.</t>
  </si>
  <si>
    <t>1-GESTIONAR RECURSOS PARA DESARROLLAR LOS MANTENIMIENTOS PERIODICOS A LOS EQUIPAMIENTOS COLECTIVOS.
 2- Aumentar la cobertura y mejoramiento de infraestructura turistica y productiva en los diferentes municipios del Departamento del Quindío</t>
  </si>
  <si>
    <t xml:space="preserve">Productividad y competitividad de las empresas colombianas. "Tú y yo con empresas competitivas" </t>
  </si>
  <si>
    <t>Mirador turístico construido</t>
  </si>
  <si>
    <t>0308 - 5 - 1 2 13 27 9 - 88</t>
  </si>
  <si>
    <t>1-GESTIONAR RECURSOS PARA DESARROLLAR LOS MANTENIMIENTOS PERIODICOS A LOS EQUIPAMIENTOS COLECTIVOS.                                                       2- Aumentar la cobertura y mejoramiento de infraestructura turistica y productiva en los diferentes municipios del Departamento del Quindío</t>
  </si>
  <si>
    <t>TERRITORIO, AMBIENTE Y DESARROLLO SOSTENIBLE</t>
  </si>
  <si>
    <t>Infraestructura red vial regional. "Tú y yo con movilidad vial"</t>
  </si>
  <si>
    <t>Infraestructura   vial  con procesos  de construcción, mejoramiento, ampliación, mantenimiento y/o  reforzamiento.</t>
  </si>
  <si>
    <t xml:space="preserve">Infraestructura  vial    construída, mejorada, ampliada,  mantenida, y/o  reforzada </t>
  </si>
  <si>
    <t>0308 - 5 - 1 3 9 18 19 - 20
0308 - 5 - 1 3 9 18 19 - 23
0308 - 5 - 1 3 9 18 19 - 88
0308 - 5 - 1 3 9 18 19 - 89
0308 - 5 - 3 1 2 4 14 9 19 - 20
0308 - 5 - 3 1 2 4 14 9 19 - 23</t>
  </si>
  <si>
    <t>201663000-0019</t>
  </si>
  <si>
    <t>Mantener, mejorar, rehabilitar y/o atender las vías y sus emergencias, en cumplimiento del Plan Vial del Departamento del Quindío.</t>
  </si>
  <si>
    <t>Mantener, mejorar y/o rehabilitar la infraestructura vial del departamento del Quindío.</t>
  </si>
  <si>
    <t xml:space="preserve">Atender oportunamente y con calidad la infraestructura vial del departamento con mantenimiento y rehabilitación </t>
  </si>
  <si>
    <t>20- 88 -23-89</t>
  </si>
  <si>
    <t xml:space="preserve">Recurso Ordinario 
Recursos Ordinarios del Balance
Sobretasa al ACPM
Superávit Sobretasa ACPM
</t>
  </si>
  <si>
    <t>ALFONSO VELEZ GARCIA</t>
  </si>
  <si>
    <t>Conservación de la biodiversidad y sus servicios ecosistémicos. "Tú y yo en territorios biodiversos"</t>
  </si>
  <si>
    <t xml:space="preserve">Infraestructura ecoturística construida </t>
  </si>
  <si>
    <t>0308 - 5 - 1 3 13 21 9 - 88</t>
  </si>
  <si>
    <t>Ordenamiento Ambiental Territorial. "Tú y yo planificamos con sentido ambiental"</t>
  </si>
  <si>
    <t>Obras de infraestructura para mitigación y atención a desastres</t>
  </si>
  <si>
    <t xml:space="preserve">Obras de infraestructura para mitigación y atención a desastres realizadas </t>
  </si>
  <si>
    <t>0308 - 5 - 1 3 9 23 19 - 23 0308 - 5 - 1 3 9 23 19 - 88</t>
  </si>
  <si>
    <t>23-88</t>
  </si>
  <si>
    <t>Sobretasa al ACPM
Recursos Ordinarios del Balance</t>
  </si>
  <si>
    <t>Acceso a soluciones de vivienda. "Tú y yo con vivienda digna"</t>
  </si>
  <si>
    <t>Viviendas de Interés Social urbanas mejoradas</t>
  </si>
  <si>
    <t>0308 - 5 - 1 3 7 33 21 - 04
0308 - 5 - 1 3 7 33 21 - 82</t>
  </si>
  <si>
    <t>Acceso de la población a los servicios de agua potable y saneamiento básico. "Tú y yo con calidad del agua"</t>
  </si>
  <si>
    <t xml:space="preserve">Adoptar e implementar la Política Publica de Producción Consumo Sostenible y Gestión Integral de Aseo  </t>
  </si>
  <si>
    <t>Política Pública de Producción Consumo Sostenible y Gestión Integral de Aseo  adoptada e implementada.</t>
  </si>
  <si>
    <t>0308 - 5 - 1 3 3 34 10 - 20
0308 - 5 - 1 3 3 34 10 - 27
0308 - 5 - 1 3 3 34 10 - 82
0308 - 5 - 1 3 3 34 10 - 88
0308 - 5 - 1 3 3 34 10 - 90</t>
  </si>
  <si>
    <t>202000363-0010</t>
  </si>
  <si>
    <t>Implementación del Plan departamental para el mamenjo empresarial de los servicios de agua y saneamiento basico en el departameno del Quindio.</t>
  </si>
  <si>
    <t>Implementar estrategias de planeacion y coordinacion interinstitucional para el manejo de los esquemas de abastecimiento y prestación de los servicos de agua y sanemiento urbanos y rurales</t>
  </si>
  <si>
    <t>*Articular recursos, planificación e inversión en agua y saneamiento básico.
*Implemetar modelos de sostenibilidad para los esquemas de prestación</t>
  </si>
  <si>
    <t>20-27-82-88-90</t>
  </si>
  <si>
    <t>Recurso Ordinario 
S.G.P. Agua Potable y Saneamiento Básico
Superávit Estampilla Pro-Desarrollo
Recursos Ordinarios del Balance
Superávit  S.G.P. Agua Potable Y Saneamiento Básico</t>
  </si>
  <si>
    <t>4003018</t>
  </si>
  <si>
    <t>Alcantarillados construidos</t>
  </si>
  <si>
    <t>Plantas de tratamiento de aguas residuales  construidas</t>
  </si>
  <si>
    <t>4003025</t>
  </si>
  <si>
    <t>Servicios de apoyo financiero para la ejecución de proyectos de acueductos y alcantarillado</t>
  </si>
  <si>
    <t>Proyectos de acueducto y alcantarillado en área urbana financiados</t>
  </si>
  <si>
    <t>4003028</t>
  </si>
  <si>
    <t>Servicios de educación informal en agua potable y saneamiento básico</t>
  </si>
  <si>
    <t>Eventos de educación informal en agua y saneamiento básico realizados</t>
  </si>
  <si>
    <t>Estudios de pre inversión e inversión</t>
  </si>
  <si>
    <t xml:space="preserve">Estudios o diseños realizados </t>
  </si>
  <si>
    <t>Infraestructura Institucional o  de Edificios Públicos de atención  de servicios ciudadanos con procesos   constructivos   y/o mejorados y/o ampliados, y/o mantenidos, y/o  reforzados</t>
  </si>
  <si>
    <t>Infraestructura  Institucional o Edificios Públicos   construida y/o Mejorada, y/o Ampliada, y/o Mantenida, Y/o  Reforzada</t>
  </si>
  <si>
    <t>0308 - 5 - 1 4 17 45 21 - 165
0308 - 5 - 1 4 17 45 21 - 20</t>
  </si>
  <si>
    <t>165-20</t>
  </si>
  <si>
    <t xml:space="preserve">Reintegro Póliza Compañía de Seguros
Recurso Ordinario </t>
  </si>
  <si>
    <t>Salones comunales adecuados</t>
  </si>
  <si>
    <t>0308 - 5 - 1 4 16 42 21 - 20
0308 - 5 - 1 4 16 42 21 - 88</t>
  </si>
  <si>
    <t>JHON FABER CASTRO MANCERA</t>
  </si>
  <si>
    <t>Secretario de Aguas e Infraestructura</t>
  </si>
  <si>
    <t>SEGUIMIENTO PLAN DE ACCIÓN ARMONIZADO
SECRETARÍA DE AGUAS E INFRAESTRUCTURA
JUNIO 30 DE 2020</t>
  </si>
  <si>
    <t>Estampilla Pro Desarrollo (04)</t>
  </si>
  <si>
    <t>Recurso Ordinario (20)
Recurso ACPM (23)</t>
  </si>
  <si>
    <t>SEGUIMIENTO PLAN DE ACCIÓN ARMONIZADO
SECRETARÍA DEL INTERIOR
JUNIO 30 DE 2020</t>
  </si>
  <si>
    <t xml:space="preserve">INCLUSIÓN SOCIAL Y EQUIDAD </t>
  </si>
  <si>
    <t>Servicio de asistencia técnica para la articulación de los operadores de los Servicio de justicia</t>
  </si>
  <si>
    <t>Entidades territoriales asistidas técnicamente</t>
  </si>
  <si>
    <t xml:space="preserve">0309 - 5 - 1 1 18 1 29 - 20
0309 - 5 - 1 1 18 1 29 - 88
0309 - 5 - 3 1 4 23 76 18 29 - 20
</t>
  </si>
  <si>
    <t>201663000-0029</t>
  </si>
  <si>
    <t>Apoyo a la convivencia, justicia y cultura de paz en el Departamento del  Quindio.</t>
  </si>
  <si>
    <t>Reducir la tasa de homicidios en el Quindío.</t>
  </si>
  <si>
    <t xml:space="preserve">1. Articulación en los diferentes programas de las entidades estatales en materia de convivencia.
2.. Identificación de las necesidades reales en las comunidades focalizadas   
3.Reglamentación actualizada en materia de seguridad y orden público
</t>
  </si>
  <si>
    <t>Recurso ordinario
Superávit recurso ordinario</t>
  </si>
  <si>
    <t>FABER RIVEROS NICHOLLS, Director Desarrollo Comunitario, Seguridad,Convivencia y PC</t>
  </si>
  <si>
    <t xml:space="preserve">Secretaría del Interior </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</si>
  <si>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</si>
  <si>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</si>
  <si>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</si>
  <si>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0309 - 5 - 1 1 18 2 28 - 20
0309 - 5 - 1 1 18 2 28 - 88
0309 - 5 - 3 1 4 23 75 18 28 - 20</t>
  </si>
  <si>
    <t>201663000-0028</t>
  </si>
  <si>
    <t xml:space="preserve">Construcción integral de la seguridad humana en el Departamento de Quindio.  </t>
  </si>
  <si>
    <t xml:space="preserve">Reducir la tasa de homicidios en el Quindío
Reducir casos de hurto a residencias, comercio y personas.
</t>
  </si>
  <si>
    <t xml:space="preserve">1. Obtención de resultados en las estrategias implementadas en la prevención y mitigación del delito
2. Garantías para el ejercicio  de la libertad en todos sus ámbitos
3. Incremento de  cobertura en instrumentos operativos y logísticos para la atención y prevención del de delito que afectan a la comunidad.
</t>
  </si>
  <si>
    <t xml:space="preserve">20 - 88 </t>
  </si>
  <si>
    <t xml:space="preserve">Recurso ordinario
Superávit recurso ordinario
</t>
  </si>
  <si>
    <t>FABER RIVEROS NICHOLLS, Director Desarrollo Comunitario, Seguridad, Convivencia y PC</t>
  </si>
  <si>
    <t>Sistema penitenciario y carcelario en el marco de los derechos humanos. "Quindío respeta derechos penitenciarios"</t>
  </si>
  <si>
    <t>Servicio de resocialización de personas privadas de la libertad</t>
  </si>
  <si>
    <t>Personas privadas de la libertad (PPL) que reciben Servicio de resocialización</t>
  </si>
  <si>
    <t xml:space="preserve">
0309 - 5 - 1 1 18 3 28 - 20
0309 - 5 - 1 1 18 3 28 - 88
0309 - 5 - 3 1 4 23 75 18 28 - 20
 </t>
  </si>
  <si>
    <t>Reducir la tasa de homicidios en el Quindío
Reducir casos de hurto a residencias, comercio y personas.</t>
  </si>
  <si>
    <t>Servicio de gestión de riesgos y desastres en establecimientos educativos</t>
  </si>
  <si>
    <t>Establecimientos educativos con acciones de gestión del riesgo implementadas</t>
  </si>
  <si>
    <t xml:space="preserve">
0309 - 5 - 1 1 1 15 36 - 88
</t>
  </si>
  <si>
    <t>201663000-0036</t>
  </si>
  <si>
    <t xml:space="preserve">Administración del  riesgo mediante el conocimiento, la reducción y el manejo del desastre  en el Departamento del Quindio. </t>
  </si>
  <si>
    <t>Lograr que las ciudades y los asentamientos humanos sean inclusivos,resilientes y sostenibles (ODS-objetivo 11)</t>
  </si>
  <si>
    <t xml:space="preserve">1. Conocimiento de los riesgos en el departamento.
2. Diseñar modelos de reducción del riesgo en el departamento.
3. Fortalecer las instituciones  para el adecuado manejo de los desastres.  
</t>
  </si>
  <si>
    <t xml:space="preserve">
Superávit recurso ordinario</t>
  </si>
  <si>
    <t>MARIA CAMILA DIEZ MARTINEZ, Directora UDEGERD</t>
  </si>
  <si>
    <t>Atención, asistencia y reparación integral a las víctimas. "Tú y yo con reparación integral"</t>
  </si>
  <si>
    <t>Servicio de orientación y comunicación a las víctimas</t>
  </si>
  <si>
    <t>Solicitudes tramitadas</t>
  </si>
  <si>
    <t>0309 - 5 - 1 1 14 35 30 - 20
0309 - 5 - 1 1 14 35 30 - 88
0309 - 5 - 3 1 4 24 78 14 30 - 20</t>
  </si>
  <si>
    <t>201663000-0030</t>
  </si>
  <si>
    <t>Implementación del Plan de Acción Territorial para la prevención, protección, asistencia, atención, reparación integral en el Departamento del Quindio.</t>
  </si>
  <si>
    <t>Incremento del porcentaje de cumplimiento de ley  1448 de 2011 atención a víctimas, que garantice  el goce efectivo de derechos</t>
  </si>
  <si>
    <t xml:space="preserve">1. Entidades territoriales con asignación presupuestal por necesidad identificada 
2.Procesos de paz en ejecución  para el fin del conflicto 
3.Articulación institucional.
</t>
  </si>
  <si>
    <t>JUANA CAMILA GOMEZ ZAMORANO, Directora Derechos Humanos</t>
  </si>
  <si>
    <t>Servicio de ayuda y atención humanitaria</t>
  </si>
  <si>
    <t>Personas víctimas con ayuda humanitaria</t>
  </si>
  <si>
    <t>Servicio de asistencia técnica para la participación de las víctimas</t>
  </si>
  <si>
    <t>Eventos de participación realizados</t>
  </si>
  <si>
    <t>Servicio de apoyo para la generación de ingresos</t>
  </si>
  <si>
    <t>Hogares con asistencia técnica para la generación de ingresos</t>
  </si>
  <si>
    <t>Servicio de asistencia técnica para la realización de iniciativas de memoria histórica</t>
  </si>
  <si>
    <t>Iniciativas de memoria histórica asistidas técnicamente</t>
  </si>
  <si>
    <t>Inclusión social y productiva para la población en situación de vulnerabilidad. "Tú y yo, población vulnerable incluida"</t>
  </si>
  <si>
    <t>PENDIENTE DNP</t>
  </si>
  <si>
    <t>Servicio de atención y asistencia para la población excombatiente del Departamento del Quindío</t>
  </si>
  <si>
    <t>Población excombatiente beneficiada</t>
  </si>
  <si>
    <t>0309 - 5 - 1 1 18 37 32 - 88</t>
  </si>
  <si>
    <t>201663000-0032</t>
  </si>
  <si>
    <t>Implementación del Plan Integral de prevención de vulneraciones de los Derechos Humanos DDHH e infracciones  al Derecho Internacional Humanitario DIH en el departamento del Quindio</t>
  </si>
  <si>
    <t xml:space="preserve">Promoción de sociedades pacíficas e inclusivas para el desarrollo sostenible, facilitar el acceso a la justicia para todos y crear instituciones eficaces, responsables e inclusivas a todos los niveles (ODS 16). </t>
  </si>
  <si>
    <t xml:space="preserve">1. Empleo y control social en las zonas de influencia del comercio de estupefacientes 
2.Control de las organizaciones y  grupos delincuenciales por la influencia de organizaciones de otras regiones  al margen de la ley
3.Complementar las acciones municipales de manera integral
</t>
  </si>
  <si>
    <t>Fortalecimiento de la convivencia y la seguridad ciudadana. "Tú y yo seguros"</t>
  </si>
  <si>
    <t>Fortalecimiento institucional a organismos de seguridad</t>
  </si>
  <si>
    <t>Organismos de seguridad fortalecidos</t>
  </si>
  <si>
    <t xml:space="preserve"> 0309 - 5 - 1 1 18 41 28 - 20
0309 - 5 - 1 1 18 41 28 - 42
0309 - 5 - 1 1 18 41 28 - 92
0309 - 5 - 3 1 4 23 75 18 28 - 42
</t>
  </si>
  <si>
    <t>20 - 88 -42</t>
  </si>
  <si>
    <t xml:space="preserve">Recurso ordinario
Superávit recurso ordinario
Fondo de Seguridad 5%
</t>
  </si>
  <si>
    <t>FABER RIVEROS NICHOLLS, Director Desarrollo Comunitario, seguridad, convivencia y PC</t>
  </si>
  <si>
    <t>Servicio de apoyo para la implementación de medidas en derechos humanos y derecho internacional humanitario</t>
  </si>
  <si>
    <t>Medidas implementadas en cumplimiento de las obligaciones internacionales en materia de Derechos Humanos y Derecho Internacional Humanitario</t>
  </si>
  <si>
    <t xml:space="preserve">0309 - 5 - 1 1 18 41 32 - 20
0309 - 5 - 1 1 18 41 32 - 88
0309 - 5 - 3 1 4 24 79 14 32 - 20
</t>
  </si>
  <si>
    <t>Servicio de asistencia técnica</t>
  </si>
  <si>
    <t>Instancias territoriales de coordinación institucional asistidas y apoyadas</t>
  </si>
  <si>
    <t xml:space="preserve">0309 - 5 - 1 1 16 41 39 - 20
0309 - 5 - 1 1 16 41 39 - 88
</t>
  </si>
  <si>
    <t>201663000-0039</t>
  </si>
  <si>
    <t>Construcción de la participación ciudadana y control social en el Departamento del Quindio</t>
  </si>
  <si>
    <t>Elevar el promedio de la participación de la ciudadanía en los procesos de elección popular del cuatrenio.</t>
  </si>
  <si>
    <t xml:space="preserve">1.  Implementación y difusión  en las entidades territoriales de los canales  y medios para la participación de los ciudadanos.
2. Convicción de la comunidad  en los programas encaminados a brindar el acercamiento a las instituciones públicas
3.  Fortalecimiento en la estructuración de políticas, programas, legislación, proyectos sociales y desarrollo comunitario.
</t>
  </si>
  <si>
    <t>Documentos de estudios técnicos para el ordenamiento ambiental territorial</t>
  </si>
  <si>
    <t>Documentos de estudios técnicos para el conocimiento y reducción del riesgo de desastres elaborados</t>
  </si>
  <si>
    <t>0309 - 5 - 1 3 12 23 36 - 88</t>
  </si>
  <si>
    <t>Prevención y atención de desastres y emergencias. "Tú y yo preparados en gestión del riesgo"</t>
  </si>
  <si>
    <t>Servicio de educación informal</t>
  </si>
  <si>
    <t>Personas capacitadas</t>
  </si>
  <si>
    <t>0309 - 5 - 1 3 12 43 36 - 88                                                                                                                                                                                                                                                                                                             0309 - 5 - 3 1 4 25 81 12 36 - 20</t>
  </si>
  <si>
    <t>Recurso Ordianrio
Superávit recurso ordinario</t>
  </si>
  <si>
    <t>Instancias territoriales asistidas</t>
  </si>
  <si>
    <t>Servicio de atención a emergencias y desastres</t>
  </si>
  <si>
    <t>Centro de reserva  para la atención a emergencias y desastres dotado</t>
  </si>
  <si>
    <t>0309 - 5 - 1 3 12 43 38 - 88
0309 - 5 - 3 1 4 25 82 12 38 - 20</t>
  </si>
  <si>
    <t>201663000-0038</t>
  </si>
  <si>
    <t>Apoyo institucional en la gestión del riesgo  en el Departamento del Quindio</t>
  </si>
  <si>
    <t>Lograr que las ciudades y los asentamientos humanos sean inclusivos, resilientes y sostenibles (ODS-objetivo 11)</t>
  </si>
  <si>
    <t xml:space="preserve">1. Cumplimiento de los protocolos para la preparación y manejo de la emergencia.
2. Destinación de recursos en el ámbito local para la atención de las emergencias.
</t>
  </si>
  <si>
    <t xml:space="preserve">20 - 88
</t>
  </si>
  <si>
    <t>Servicio de promoción a la participación ciudadana</t>
  </si>
  <si>
    <t>Iniciativas para la promoción de la participación ciudadana implementada.</t>
  </si>
  <si>
    <t xml:space="preserve">0309 - 5 - 1 4 16 42 39 - 20                                                                                                                                                                                                                                                                                                                                         0309 - 5 - 1 4 16 42 39 - 88                                                                                                                                                                                                                                                                                                                        0309 - 5 - 3 1 5 27 85 16 39 - 20                                                                                                                                                                                                                                                                                         </t>
  </si>
  <si>
    <t>FABER RIVEROS NICHOLLS, Director Desarrollo Comunitario, Convivencia y PC</t>
  </si>
  <si>
    <t>Implementar la Política de Libertad Religiosa</t>
  </si>
  <si>
    <t>Política de Libertad Religiosa Implementado</t>
  </si>
  <si>
    <t>Fortalecimiento de los organismos  de acción comunal (OAC)  de los doce municipios del Departamento en lo relacionado a sus procesos formativos, participativos, de organización y  gestión.</t>
  </si>
  <si>
    <t>Municipos con organismos de acción comunal fortalecidos.</t>
  </si>
  <si>
    <t>0309 - 5 - 1 4 16 42 40 - 20
0309 - 5 - 1 4 16 42 40 - 88
0309 - 5 - 3 1 5 27 86 16 40 - 20</t>
  </si>
  <si>
    <t>201663000-0040</t>
  </si>
  <si>
    <t xml:space="preserve">Desarrollo de los Organismos Comunales en el Departamento del Quindio </t>
  </si>
  <si>
    <t xml:space="preserve">Consolidar mecanismos  de integración  regional y municipal </t>
  </si>
  <si>
    <t>1.  Fortalecer la estructuración de programas de capacitación en legislación, proyectos sociales y desarrollo comunitario.
 2. Mejoramiento en  los procesos de inspección, vigilancia y control realizados a los organismos comunales.</t>
  </si>
  <si>
    <t xml:space="preserve">Formulación de la  Política Pública Departamental para la  Acción Comunal </t>
  </si>
  <si>
    <t>Una Política Pública formulada.</t>
  </si>
  <si>
    <t>0309 - 5 - 1 4 16 42 42 - 20
0309 - 5 - 1 4 16 42 42 - 88
0309 - 5 - 3 1 5 26 84 16 42 - 20</t>
  </si>
  <si>
    <t>201663000-0042</t>
  </si>
  <si>
    <t xml:space="preserve">Fortalecimiento de las veedurias ciudadanas en el Departamento del Quindio </t>
  </si>
  <si>
    <t xml:space="preserve">1.  Conocimiento de la legislación que permite el ejercicio  del control social 
2.  Difusión masiva sobre  el ejercicio del control social 
</t>
  </si>
  <si>
    <t xml:space="preserve">EDUARDO OROZCO JARAMILLO </t>
  </si>
  <si>
    <t>Secretario del Interior</t>
  </si>
  <si>
    <t>SEGUIMIENTO PLAN DE ACCIÓN ARMONIZADO
SECRETARÍA DE CULTURA
JUNIO 30 DE 2020</t>
  </si>
  <si>
    <t xml:space="preserve">F-PLA-07  </t>
  </si>
  <si>
    <t>O7</t>
  </si>
  <si>
    <t>Servicio de educación informal en áreas artísticas y culturales</t>
  </si>
  <si>
    <t>0310 - 5 - 1 1 5 25 46 - 20
0310 - 5 - 1 1 5 25 46 - 39
0310 - 5 - 1 1 5 25 46 - 41
0310 - 5 - 1 1 5 25 46 - 83
0310 - 5 - 1 1 5 25 46 - 88
0310 - 5 - 3 1 3 9 29 5 46 - 20
0310 - 5 - 3 1 3 9 29 5 46 - 39</t>
  </si>
  <si>
    <t>201663000-0046</t>
  </si>
  <si>
    <t>Apoyo al arte y la cultura en todo el Departamento del Quindío</t>
  </si>
  <si>
    <t>Fortalecimiento en los procesos culturales y artísticos para mejorar la calidad, la creatividad, la difusión y el reconocimiento de la diversidad y la diferencia en el departamento</t>
  </si>
  <si>
    <t xml:space="preserve">.Ampliación de las oportunidades de acceso de la ciudadanía al arte y la cultura.
.Alta concertación de proyectos con la institucionalidad cultural.
.Mayor apoyo a la creación investigación y producción artística
</t>
  </si>
  <si>
    <t>20-88-39-41-83</t>
  </si>
  <si>
    <t>Recurso Ordinario
Superávit Recurso Ordinario
Estampilla Pro Cultura- 50% Concertación. 
Estampilla Procultura 10% Estímulos
Superávit Estampilla Pro Cultura</t>
  </si>
  <si>
    <t>Recurso Ordinario (20)
Estampilla Pro Cultura 50% Estímulos
39</t>
  </si>
  <si>
    <t>Secretaría de Cultura</t>
  </si>
  <si>
    <t>Servicio de circulación artística y cultural</t>
  </si>
  <si>
    <t>Producciones artísticas en circulación</t>
  </si>
  <si>
    <t>SECRETARÍA DE CULTURA</t>
  </si>
  <si>
    <t>3301085</t>
  </si>
  <si>
    <t>Servicios bibliotecarios</t>
  </si>
  <si>
    <t>Usuarios atendidos</t>
  </si>
  <si>
    <t>0310 - 5 - 1 1 5 25 11 - 34
0310 - 5 - 1 1 5 25 11 - 83</t>
  </si>
  <si>
    <t>202000363-0011</t>
  </si>
  <si>
    <t xml:space="preserve">Implementación del programa "Tú y Yo Somos Cultura", para el fortalecimiento a la léctura,  escitura  y bibliotecas en el Departamento del Quindío. </t>
  </si>
  <si>
    <t xml:space="preserve">Fortalecer el Plan Departamental de Lectura y Bibliotecas, que garantice un mayor acceso de las personas a los servicios bibliotecarios físicos y virtuales que permitan incentivar la lectura a través de procesos de formación, producción y circulación de contenidos literarios </t>
  </si>
  <si>
    <t xml:space="preserve">*Acceso por parte de la población rural, sectores populares y/o marginales urbanos a programas de formación y actividades de promoción de lectura. 
*Fortalecimiento y acompañamiento a bibliotecarios.
*Acceso a programas y eventos de promoción, circulación y difusión literarios. </t>
  </si>
  <si>
    <t>34 - 83</t>
  </si>
  <si>
    <t>Estampilla Procultura 10% Bibliotecas
Superávit Estampilla Pro Cultura</t>
  </si>
  <si>
    <t>3301100</t>
  </si>
  <si>
    <t>Servicio de divulgación y publicaciones</t>
  </si>
  <si>
    <t>Publicaciones realizadas</t>
  </si>
  <si>
    <t>3301099</t>
  </si>
  <si>
    <t>Servicio de información para el sector artístico y cultural</t>
  </si>
  <si>
    <t>Sistema de información del sector artístico y cultural en operación</t>
  </si>
  <si>
    <t>0310 - 5 - 1 1 5 25 12 - 20
0310 - 5 - 1 1 5 25 12 - 88</t>
  </si>
  <si>
    <t>202000363-0012</t>
  </si>
  <si>
    <t xml:space="preserve"> Implementación de la " Ruta de la felicidad y la identidad quindiana", para  el fortalecimiento y visibilización de los procesos   artisticos  y culturales   en el Departamento del Quindio.</t>
  </si>
  <si>
    <t>Implementar la " Ruta de la felicidad y la identidad quindiana", para el fortalecimiento y visibilización de los procesos artísticos y culturales en el Departamento del Quindío.</t>
  </si>
  <si>
    <t>*Servicio de información para el sector artístico y cultural.
*Apoyo  y  fortalecimiento del sector artístico y cultural, Valoración, visibilización del sector artístico y cultural</t>
  </si>
  <si>
    <t>3301095</t>
  </si>
  <si>
    <t>Servicio de asistencia técnica en gestión artística y cultural</t>
  </si>
  <si>
    <t>Personas asistidas técnicamente</t>
  </si>
  <si>
    <t>0310 - 5 - 1 1 5 25 45 - 33
0310 - 5 - 1 1 5 25 45 - 83</t>
  </si>
  <si>
    <t>201663000-0045</t>
  </si>
  <si>
    <t xml:space="preserve">Apoyo a seguridad social del creador y gestor cultural del Departamento del Quindio </t>
  </si>
  <si>
    <t xml:space="preserve">Garantizar de seguridad social integral a gestores culturales y artistas </t>
  </si>
  <si>
    <t xml:space="preserve">Garantizar la seguridad social  para artistas y gestores culturales </t>
  </si>
  <si>
    <t>33  - 83</t>
  </si>
  <si>
    <t xml:space="preserve">Estampilla Procultura 10% Seguridad Social
Superávit Estampilla Pro cultura </t>
  </si>
  <si>
    <t>Gestión, protección y salvaguardia del patrimonio cultural colombiano. "Tú y yo protectores del patrimonio cultural"</t>
  </si>
  <si>
    <t>3302042</t>
  </si>
  <si>
    <t>Servicio de asistencia técnica en el manejo y gestión del patrimonio arqueológico, antropológico e histórico.</t>
  </si>
  <si>
    <t xml:space="preserve">Asistencias técnicas realizadas a entidades territoriales </t>
  </si>
  <si>
    <t>0310 - 5 - 1 1 5 26 49 - 20
0310 - 5 - 1 1 5 26 49 - 47
0310 - 5 - 1 1 5 26 49 - 88
0310 - 5 - 1 1 5 26 49 - 93
0310 - 5 - 3 1 3 10 32 5 49 - 20</t>
  </si>
  <si>
    <t>201663000-0049</t>
  </si>
  <si>
    <t>Apoyo al reconocimiento, apropiación y salvaguardia y difusión del patrimonio cultural en todo el Departamento del Quindío.</t>
  </si>
  <si>
    <t xml:space="preserve">Alta valoracion, apropiacion y salvaguardia del patrimonio cultural material e inmaterial </t>
  </si>
  <si>
    <t>.Programas departamentales para conservación, protección, salvaguardia y difusión del Patrimonio Cultural
.Mayor reconocimiento y valoración de la diversidad poblacional presente en el Quindío</t>
  </si>
  <si>
    <t>20- 88- 47-93</t>
  </si>
  <si>
    <t>Recurso Ordinario
Superávit Recurso Ordinario
IVA Telefonía Móvil Cultura
Superávit IVA Telefonía Móvil Cultura</t>
  </si>
  <si>
    <t>3302070</t>
  </si>
  <si>
    <t>Servicio de divulgación y publicación del Patrimonio cultural</t>
  </si>
  <si>
    <t>JORGE IVÁN ESPINOZA HIDALGO</t>
  </si>
  <si>
    <t>Secretario de Cultura</t>
  </si>
  <si>
    <t>SEGUIMIENTO PLAN DE ACCIÓN ARMONIZADO
SECRETARÍA DE TURISMO, INDUSTRIA Y COMERCIO 
JUNIO 30 DE 2020</t>
  </si>
  <si>
    <t>Servicio de apoyo y consolidación de las Comisiones Regionales de Competitividad - CRC</t>
  </si>
  <si>
    <t xml:space="preserve">Planes de trabajo concertados con las CRC para su consolidación </t>
  </si>
  <si>
    <t xml:space="preserve">0311 - 5 - 1 2 13 27 51 - 20
0311 - 5 - 1 2 13 27 51 - 88
</t>
  </si>
  <si>
    <t>201663000-0051</t>
  </si>
  <si>
    <t>Apoyo al mejoramiento de la competitividad a iniciativas  productivas en el  Departamento del Quindío</t>
  </si>
  <si>
    <t>Mejoramiento de  los  niveles de competitividad e innovación en  las empresas, a través de fortalecimiento de los clúster y  rutas competitivas  en el Departamento del Quindío.</t>
  </si>
  <si>
    <t>Incremento de las empresas competitivas en el departamento.</t>
  </si>
  <si>
    <t>Apoyo para la ejecuciòn  del Plan de Acciòn de la Comisiòn Regional de Competitividad.</t>
  </si>
  <si>
    <t>Superávit recurso ordinario</t>
  </si>
  <si>
    <t xml:space="preserve">Secretaría de Turismo, Industria y Comercio </t>
  </si>
  <si>
    <t>Servicio de asistencia tècnica para el desarrollo de iniciativas Clùsters</t>
  </si>
  <si>
    <t>Clústeres asistidos en la implementación de los planes de acción</t>
  </si>
  <si>
    <t>Apoyo para la implementaciòn  y ejecuciòn de los planes de acciòn de los clùsters</t>
  </si>
  <si>
    <t>Servicio de asistencia técnica a las Mipymes para el acceso a nuevos mercados</t>
  </si>
  <si>
    <t>Empresas asistidas técnicamente</t>
  </si>
  <si>
    <t>0311 - 5 - 1 2 13 27 56 - 20
0311 - 5 - 1 2 13 27 56 - 88
0311 - 5 - 3 1 2 2 10 13 56 - 20</t>
  </si>
  <si>
    <t>201663000-0056</t>
  </si>
  <si>
    <t xml:space="preserve">Fortalecimiento del sector empresarial  hacia mercados globales en el Departamento del Quindio .   </t>
  </si>
  <si>
    <t xml:space="preserve">Mejoramiento del potencial exportador de empresas con capacidad para su conexión a mercados globales 
</t>
  </si>
  <si>
    <t xml:space="preserve">Mejoramiento en la generación de competencias y habilidades en las empresas del departamento del Quindío.
Fortalecimiento de mecanismos de inversión y de herramientas tecnológicas de servicios logísticos en el sector empresarial para su
conexión a mercados global
</t>
  </si>
  <si>
    <t>Heranndo Alonso Arías Garcia</t>
  </si>
  <si>
    <t>Documentos de planeación</t>
  </si>
  <si>
    <t>Documentos de planeación elaborados</t>
  </si>
  <si>
    <t>Servicio de asistencia técnica a los entes territoriales para el desarrollo turístico</t>
  </si>
  <si>
    <t>0311 - 5 - 1 2 13 27 59 - 20
0311 - 5 - 1 2 13 27 59 - 88
0311 - 5 - 3 1 2 3 11 13 59 - 20</t>
  </si>
  <si>
    <t>201663000-0059</t>
  </si>
  <si>
    <t>Fortalecimiento de la oferta de prestadores de servicos, productos y atractivos turísticos en el Departamento del Quindío.</t>
  </si>
  <si>
    <t xml:space="preserve">Mejoramiento del posicionamiento del departamento del Quindío como destino turistico en Colombia. </t>
  </si>
  <si>
    <t>Fortalecimiento de los factores que hacen competitivo el turismo.</t>
  </si>
  <si>
    <t>Monica A Rodríguez Gonzalez</t>
  </si>
  <si>
    <t>Proyectos de infraestructura turística apoyados</t>
  </si>
  <si>
    <t>Servicio de promoción turística</t>
  </si>
  <si>
    <t>Campañas realizadas</t>
  </si>
  <si>
    <t xml:space="preserve">0311 - 5 - 1 2 13 27 62 - 52
0311 - 5 - 1 2 13 27 62 - 94
0311 - 5 - 3 1 2 3 13 13 62 - 52
</t>
  </si>
  <si>
    <t>201663000-0062</t>
  </si>
  <si>
    <t>Apoyo a la promoción nacional e internacional como destino  turísmo del Departamento del Quindío.</t>
  </si>
  <si>
    <t>Mejoramiento del nivel de impacto de las acciones de "Promoción del destino turístico del departamento del Quindío"</t>
  </si>
  <si>
    <t>Eficiente identificación de los mercados prioritarios para productos turísticos</t>
  </si>
  <si>
    <t>52
94</t>
  </si>
  <si>
    <t xml:space="preserve">Turismo y cultura 4%
Superavit impuesto al registro turismo 4%
</t>
  </si>
  <si>
    <t>Turismo y Cultura 4% (52)</t>
  </si>
  <si>
    <t>María Claudia Echeverri</t>
  </si>
  <si>
    <t>Generación y formalización del empleo. "Tú y yo con empleo de calidad"</t>
  </si>
  <si>
    <t>Servicios de apoyo financiero para la creaciòn de empresas</t>
  </si>
  <si>
    <t>Planes de negocio financiados</t>
  </si>
  <si>
    <t>0311 - 5 - 1 2 13 28 53 - 20
0311 - 5 - 1 2 13 28 53 - 88
0311 - 5 - 3 1 2 2 9 13 53 - 20</t>
  </si>
  <si>
    <t>201663000-0053</t>
  </si>
  <si>
    <t>Apoyo al emprendimiento, empresarismo, asociatividad y generación de empleo en el departamento del Quindío.</t>
  </si>
  <si>
    <t>Mejoramiento de los niveles de emprendimiento, empresarismo y asociatividad en el departamento del Quindío</t>
  </si>
  <si>
    <t>Eficiente estimulo con recursos financieros para el emprendimiento, empresarismo y asociatividad en el departamento del Quindío</t>
  </si>
  <si>
    <t>Servicio de asesorìa tècnica para el emprendimiento.</t>
  </si>
  <si>
    <t>Emprendimientos fortalecidos</t>
  </si>
  <si>
    <t>0.50</t>
  </si>
  <si>
    <t>Servicio de asìstencia tècnica para la gèneracion y formalizaciòn del empleo</t>
  </si>
  <si>
    <t>Talleres de oferta institucional realizados</t>
  </si>
  <si>
    <t>Servicio de informaciòn y monitoreo del mercado de trabajo</t>
  </si>
  <si>
    <t>Reportes realizados</t>
  </si>
  <si>
    <t xml:space="preserve">MARIA TERESA RAMÍREZ LEÓN </t>
  </si>
  <si>
    <t>Secretaria de Turismo, Industria y Comercio</t>
  </si>
  <si>
    <t>SEGUIMIENTO PLAN DE ACCIÓN ARMONIZADO
DIRECCIÓN OFICINA PRIVADA
JUNIO 30 DE 2020</t>
  </si>
  <si>
    <t xml:space="preserve">LIDERAZGO, GOBERNABILIDAD Y TRANSPARENCIA.   </t>
  </si>
  <si>
    <t>Desarrollo de  la Política  de Transparencia, Acceso a la Información Pública y Lucha Contra la Corrupción del Modelo Integrado de Planificación y Gestión MIPG, articulada con el "Pacto por la Integridad , Transparencia y Legalidad" del Gobierno Nacional</t>
  </si>
  <si>
    <r>
      <t xml:space="preserve">Política de Transparencia, Acceso a la Información Pública y Lucha Contra la Corrupción  articulada   con el "Pacto por la Integridad , Transparencia y Legalidad" del Gobierno Nacional desarrollada.                                                                           </t>
    </r>
    <r>
      <rPr>
        <sz val="12"/>
        <color rgb="FF000000"/>
        <rFont val="Arial"/>
        <family val="2"/>
      </rPr>
      <t xml:space="preserve">        </t>
    </r>
  </si>
  <si>
    <t>0313 - 5 - 3 1 5 26 83 17 82 - 20
0313 - 5 - 1 4 17 45 82 - 20</t>
  </si>
  <si>
    <t>201663000-0082</t>
  </si>
  <si>
    <t>Desarrollar y fortalecer la cultura de la transparencia, participación, buen gobierno  y valores éticos y morales en el Departamento del Quindío.</t>
  </si>
  <si>
    <t>Elevar el índice de transparencia en la administración departamental, mediante un proceso de formación incluyente con énfasis en valores éticos, morales y ciudadanos, para aumentar la confianza en la administración gubernamental del Quindío.</t>
  </si>
  <si>
    <t xml:space="preserve">.Ciudadanos altamente informados   en temas relacionados con ética, Transparencia y buen gobierno.
.Mejorar la cultura del civismo y participación de los ciudadanos en los procesos institucionales del gobierno.
</t>
  </si>
  <si>
    <t>Desarrollo de actividades de buen gobierno y participación ciudadana.</t>
  </si>
  <si>
    <t>Recurso Ordinario</t>
  </si>
  <si>
    <t>Juan Miguel Galvis Bedoya
Director Oficina Privada</t>
  </si>
  <si>
    <t xml:space="preserve">Direccion Oficina Privada </t>
  </si>
  <si>
    <t>0313 - 5 - 1 4 17 45 82 - 88</t>
  </si>
  <si>
    <t>Superávit Recurso Ordinario</t>
  </si>
  <si>
    <t xml:space="preserve">Desarrollo de la estrategia de transparencia </t>
  </si>
  <si>
    <t>Desarrollo e implementación de la Estrategia de Comunicaciones para la Administración Departamental</t>
  </si>
  <si>
    <t>Estrategia de comunicaciones desarrollada e implementada</t>
  </si>
  <si>
    <t>0313 - 5 - 1 4 17 45 81 - 20</t>
  </si>
  <si>
    <t>201663000-0081</t>
  </si>
  <si>
    <t>Implementación de  la estrategia de comunicaciones para  la divulgación de  los programas, proyectos,  actividades y servicios del Departamento del Quindío.</t>
  </si>
  <si>
    <t>Fortalecer las herramientas de divulgación y comunicación de las metas resultado propuestas en el plan de desarrollo 2016-2019 " en defensa del bien común</t>
  </si>
  <si>
    <t xml:space="preserve">.Incremento en el número de campañas institucionales para dar a conocer los programas y proyectos de la gobernación.
.Planificación institucional en la divulgación de los programas y proyectos.
</t>
  </si>
  <si>
    <t>Ejecución de Plan de Medios (radio, prensa, revistas, televisión, portales web, redes sociales, OOH)                             -   Revisión y Desarrollo de la estrategia de comunicaciones</t>
  </si>
  <si>
    <t>Recurso Oridnario</t>
  </si>
  <si>
    <t xml:space="preserve">Dirección Oficina Privada </t>
  </si>
  <si>
    <t>0313 - 5 - 3 1 5 28 89 17 81 - 20
0313 - 5 - 1 4 17 45 81 - 20</t>
  </si>
  <si>
    <t xml:space="preserve">Operatividad de la estrategica de comunicaciones </t>
  </si>
  <si>
    <t>0313 - 5 - 1 4 17 45 81 - 88</t>
  </si>
  <si>
    <t xml:space="preserve">Recursos del balance </t>
  </si>
  <si>
    <t xml:space="preserve">Encuentros ciudadanos en el Departamento del Quindio en aplicación de la Política de Transparencia, Acceso a la Información Pública y Lucha contra la Corrupción.  </t>
  </si>
  <si>
    <t>Encuentros  ciudadanos realizados.</t>
  </si>
  <si>
    <t>0313 - 5 - 1 4 16 42 22 - 20</t>
  </si>
  <si>
    <t>202000363-0022</t>
  </si>
  <si>
    <t>Fortalecimiento de  las capacidades institucionales de la administración departamental del Quindio, para generar condiciones de gobernanza territorial, participación, administración eficiente y transparente.</t>
  </si>
  <si>
    <t>Fortalecer las capacidades institucionales con la aplicacion de la politica de transparencia acceso a la informacion publica y lucha contra la corrupcion  generarando condiciones de confianza, participación efectiva, administración eficiente y transparente.</t>
  </si>
  <si>
    <t>realizar encuentros ciudadanos de manera presencial o virtual en los municipios del departamento del quindio</t>
  </si>
  <si>
    <t xml:space="preserve">JUAN MIGUEL GALVIS BEDOYA </t>
  </si>
  <si>
    <t>Secretario Privado</t>
  </si>
  <si>
    <t>SEGUIMIENTO PLAN DE ACCIÓN ARMONIZADO
SECRETARÍA DE EDUCACIÓN
JUNIO 30 2020</t>
  </si>
  <si>
    <t>Servicio de fomento para la permanencia en programas de educación formal</t>
  </si>
  <si>
    <t>Personas beneficiarias de estrategias de permanencia</t>
  </si>
  <si>
    <t>0314 - 5 - 1 1 1 15 84 - 134
 0314 - 5 - 1 1 1 15 84 - 20
0314 - 5 - 1 1 1 15 84 - 35
0314 - 5 - 1 1 1 15 84 - 88
 0314 - 5 - 1 1 1 15 84 - 91
 0314 - 5 - 3 1 3 5 16 1 84 - 20
  0314 - 5 - 3 1 3 5 16 1 84 - 35
 1404 - 5 - 1 1 1 15 84 - 137
 1404 - 5 - 1 1 1 15 84 - 25
 1404 - 5 - 1 1 1 15 84 - 81
 1404 - 5 - 3 1 3 5 16 1 84 - 137
 1404 - 5 - 3 1 3 5 16 1 84 - 81</t>
  </si>
  <si>
    <t>201663000-0084</t>
  </si>
  <si>
    <t xml:space="preserve">Fortalecimiento de las estrategias para el acceso,  permanencia y seguridad  de los niños, niñas y jóvenes en el  sistema educativo del Departamento del Quindío. </t>
  </si>
  <si>
    <t>Bajar  los índices de deserción escolar en el Departamento del Quindío</t>
  </si>
  <si>
    <t>Garantizar el adecuado mantenimiento en las Instituciones  y Sedes Educativas
Implementar un programa de alimentación escolar para las Instituciones educativas del departamento del Quindío, con el fin de  disminuir los índices de deserción escolar  durante la vigencia 2017
Garantizar el transporte escolar a los niños, niñas, jóvenes y adolescentes de la zona rural de los 11 municipios no certificados del Departamento del Quindío para disminuir las distancias de desplazamiento y garantizar el acceso al sistema educativo.</t>
  </si>
  <si>
    <t>134
20
88
91
35
81
25
137</t>
  </si>
  <si>
    <t xml:space="preserve">Extraccion material de rio Minas 
Recurso Ordinario
Recurso Destinado del Monopolio
Superavit Recurso Ordinario
Superavit Recurso Destinado Del Monopolio
Superavit Transferencia de la Nación PAE 
S.G.P Educación
Transferencias de la Nación PAE
</t>
  </si>
  <si>
    <t>Recurso Ordinario (20)
Recurso Destinado del Monopolio (35)
Transferencias de la Nación PAE (81)
Superávit Transferencias de la Nación PAE (137)</t>
  </si>
  <si>
    <t>ARTURO ANDRES LONDOÑO
WHILDER GRAJALES</t>
  </si>
  <si>
    <t>12/30/2020</t>
  </si>
  <si>
    <t>Secretaría de Educación</t>
  </si>
  <si>
    <t>Servicio de apoyo a la permanencia con alimentación escolar</t>
  </si>
  <si>
    <t>Beneficiarios de la alimentación escolar</t>
  </si>
  <si>
    <t>Servicio de apoyo a la permanencia con transporte escolar</t>
  </si>
  <si>
    <t>Beneficiarios de transporte escolar</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</si>
  <si>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</si>
  <si>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</si>
  <si>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1404 - 5 - 1 1 1 15 86 - 25
1404 - 5 - 3 1 3 5 17 1 86 - 25</t>
  </si>
  <si>
    <t>201663000-0086</t>
  </si>
  <si>
    <t>Implementación de estrategias de inclusión para garantizar la atención educativa a población vulnerable en el  Departamento del  Quindío.</t>
  </si>
  <si>
    <t>Incrementar la atención de la población vulnerable del departamento del Quindío</t>
  </si>
  <si>
    <t>Implementar un plan integral  gubernamental para la caracterización y atencion de la poblacion vulnerabe en edad escolar en el departamento del quindio</t>
  </si>
  <si>
    <t>S.G.P Educación</t>
  </si>
  <si>
    <t>S.G.P Educación (25)</t>
  </si>
  <si>
    <t>CLAUDIA OVIEDO</t>
  </si>
  <si>
    <t>Servicio educación formal por modelos educativos flexibles</t>
  </si>
  <si>
    <t>Beneficiarios atendidos con modelos educativos flexibles</t>
  </si>
  <si>
    <t>Servicio educativo</t>
  </si>
  <si>
    <t>Establecimientos educativos en operación</t>
  </si>
  <si>
    <t>1401 - 5 - 1 1 1 15 87 - 25
1402 - 5 - 1 1 1 15 87 - 25
1402 - 5 - 1 1 1 15 87 - 26
1402 - 5 - 1 1 1 15 87 - 9
1403 - 5 - 1 1 1 15 87 - 25
1403 - 5 - 1 1 1 15 87 - 26
1401 - 5 - 3 1 3 8 27 1 87  - 25
1402 - 5 - 3 1 3 5 18 1 87 -  25
1402 - 5 - 3 1 3 5 18 1 87 - 26
1403 - 5 - 3 1 3 5 18 1 87 - 25
1403 - 5 - 3 1 3 5 18 1 87 - 26
1400 - 5 - 3 1 3 8 27 1 98 25</t>
  </si>
  <si>
    <t>201663000-0087</t>
  </si>
  <si>
    <t>Aplicación funcionamiento y prestación del servicio educativo de las instituciones educativas.</t>
  </si>
  <si>
    <t xml:space="preserve">Mejorar los niveles de eficiencia y eficacia en los procesos administrativos para la 
presentación de los informes y/o reportes que garanticen la viabilidad ante el ministerio de educación nacional de la planta docente, directivos docentes y administrativos de las instituciones educativas oficiales del departamento del Quindío
</t>
  </si>
  <si>
    <t>Generar estrategias que garantice la sostenibilidad de la planta docente, directivos docentes y administrativos viabilizados por el ministerio de educación nacional vinculados a la secretaría de educación departamental</t>
  </si>
  <si>
    <t>25-26
09</t>
  </si>
  <si>
    <t xml:space="preserve">S.G.P Educación
Superavit  S.G.P. Educacion
</t>
  </si>
  <si>
    <t>S.G.P Educación
(25 - 26)</t>
  </si>
  <si>
    <t>MARCELA DELGADO</t>
  </si>
  <si>
    <t>1400 - 5 - 1 1 1 15 98
1400 - 5 - 3 1 3 8 27 1</t>
  </si>
  <si>
    <t>201663000-0098</t>
  </si>
  <si>
    <t>Funcionamiento y Prestación de Servicios del Sector Educativo del nivel Central en el Departamento del Quindío.</t>
  </si>
  <si>
    <t>Mejorar los niveles de eficiencia en las actividades administrativas que garanticen de manera oportuna soluciones a las fallas e inconvenientes que se presentan en los procesos financieros de la secretaría de educación departamental del Quindío</t>
  </si>
  <si>
    <t>Generar estrategias que garantice la eficiencia en las actividades administrativas que garanticen de manera oportuna el pago de salarios, , prestaciones sociales, seguridad social y transferencias de nómina y gastos generales</t>
  </si>
  <si>
    <r>
      <t>S.G.P</t>
    </r>
    <r>
      <rPr>
        <sz val="12"/>
        <color rgb="FF323130"/>
        <rFont val="Arial"/>
        <family val="2"/>
      </rPr>
      <t xml:space="preserve"> Educación</t>
    </r>
  </si>
  <si>
    <t>S.G.P Educación
(25)</t>
  </si>
  <si>
    <t>Servicio de asistencia técnica en educación inicial, preescolar, básica y media</t>
  </si>
  <si>
    <t>Entidades y organizaciones asistidas técnicamente</t>
  </si>
  <si>
    <t xml:space="preserve">0314 - 5 - 1 1 1 15 90 - 20  
0314 - 5 - 1 1 1 15 90 - 88   
0314 - 5 - 1 1 1 15 90 - 91 25
1404 - 5 - 3 1 3 6 20 1 90 - 21
1404 - 5 - 3 1 3 6 20 1 90 - 25
0314 - 5 - 3 1 3 6 20 1 90 - 20
0314 - 5 - 3 1 3 6 20 1 90 - 91
1404 - 5 - 1 1 1 15 90 - 21
1404 - 5 - 1 1 1 15 90 - </t>
  </si>
  <si>
    <t>201663000-0090</t>
  </si>
  <si>
    <t>Mejoramiento de ambientes escolares y  fortalecimiento de modelos educativos articuladores de la ciencia, los lenguajes, las artes y el deporte en el Departamento del Quindío.</t>
  </si>
  <si>
    <t xml:space="preserve">Mejorar las condiciones de Infraestructura y de elementos  pedagógicos para la implementación de la jornada única y ambientes escolares </t>
  </si>
  <si>
    <t>Fortalecer los comités de convivencia escolar en las 54 IE
Conformar y dotar grupos culturales artísticos en instituciones educativas
Implementar el proyecto PRAE en instituciones educativas del departamento
Conformar y dotar grupos culturales artísticos en instituciones educativas
Mejorar las condiciones de infraestructura y de elementos pedagógicos para la implementación de la jornada única y ambientes escolares para la Paz
Dotar Instituciones Educativas de material didáctico, mobiliario escolar y/o infraestructura tecnológica</t>
  </si>
  <si>
    <t>20
88
91
21
25</t>
  </si>
  <si>
    <t xml:space="preserve">Recurso Ordinario
Superavit Recurso Ordinario
Superavit Recurso Destinado del Monopolio
Rendimientos Financieros (SGP Educación)
S.G.P Educación
</t>
  </si>
  <si>
    <t>CLAUDIA OVIEDO
OLGA LUCIA BUITRAGO</t>
  </si>
  <si>
    <t>02/01/2020
02/01/2020</t>
  </si>
  <si>
    <t>01/02/2020
28/02/2020</t>
  </si>
  <si>
    <t>30/12/2020
31/12/2020</t>
  </si>
  <si>
    <t>31/05/2020
28/02/2020</t>
  </si>
  <si>
    <t>Servicios de asistencia técnica en innovación educativa en la educación inicial, preescolar, básica y media</t>
  </si>
  <si>
    <t>Instituciones educativas asistidas técnicamente en innovación educativa</t>
  </si>
  <si>
    <t xml:space="preserve">Infraestructura  de Instituciones Educativas  con procesos   constructivos ,  y/o mejorados, y/o ampliados, y/o mantenidos, Y/o  reforzados </t>
  </si>
  <si>
    <t>Servicio de acondicionamiento de ambientes de aprendizaje</t>
  </si>
  <si>
    <t>Ambientes de aprendizaje en funcionamiento</t>
  </si>
  <si>
    <t>0314 - 5 - 1 1 1 15 93 - 20
0314 - 5 - 3 1 3 6 22 1 93 - 20</t>
  </si>
  <si>
    <t>201663000-0093</t>
  </si>
  <si>
    <t>Mejoramiento de estrategias que permitan una mayor eficiencia en la gestion de procesos y proyectos de las instituciones educativas del Departamento del Quindío.</t>
  </si>
  <si>
    <t>Asistir técnicamente a las instituciones educativas del departamento para mejorar los procesos administrativos para el manejo de los fondos educativos.</t>
  </si>
  <si>
    <t>Debida ejecución de los recursos de los fondos educativos</t>
  </si>
  <si>
    <t xml:space="preserve">Recurso Ordinario
</t>
  </si>
  <si>
    <t>EDNA ENSUASTY PUERTO</t>
  </si>
  <si>
    <t>0314 - 5 - 3 1 3 7 24 1 95 - 20
0314 - 5 - 1 1 1 15 95 - 88</t>
  </si>
  <si>
    <t>201663000-0095</t>
  </si>
  <si>
    <t xml:space="preserve">Fortalecimiento de los niveles de educación  básica y media para la articulación con la educación terciaria en el Departamento del Quindío </t>
  </si>
  <si>
    <t>Mejorar los porcentajes de estudiantes con posibilidad de ingreso a la educación superior y etdh en el departamento del Quindío.</t>
  </si>
  <si>
    <t>Brindar a la población egresada de las instituciones educativas oficiales del departamento, mayores y mejores oportunidades para el ingreso a la educación terciaria</t>
  </si>
  <si>
    <t>20
88</t>
  </si>
  <si>
    <t xml:space="preserve">Recurso Ordinario
Superavit Recurso </t>
  </si>
  <si>
    <t>Servicio de atención integral para la primera infancia</t>
  </si>
  <si>
    <t>Instituciones educativas oficiales que implementan el nivel preescolar en el marco de la atención integral</t>
  </si>
  <si>
    <t>0314 - 5 - 1 1 1 15 101 - 20
0314 - 5 - 1 1 1 15 101 - 88
0314 - 5 - 3 1 3 16 57 1 101 - 20</t>
  </si>
  <si>
    <t>201663000-0101</t>
  </si>
  <si>
    <t xml:space="preserve">Implementación del modelo de atención integral de la educación inicial en el Departamento del  Quindío. </t>
  </si>
  <si>
    <t>Aumentar la tasa de cobertura  de  niños y niñas en edad de transición en las instituciones  educativas del  departamento</t>
  </si>
  <si>
    <t>Implementar  un (1)  programa de educación integral  a la primera infancia</t>
  </si>
  <si>
    <t>Servicio de accesibilidad a contenidos web para fines pedagógicos</t>
  </si>
  <si>
    <t>Estudiantes con acceso a contenidos web en el establecimiento educativo</t>
  </si>
  <si>
    <t>1404 - 5 - 1 1 1 15 97 - 25</t>
  </si>
  <si>
    <t>201663000-0097</t>
  </si>
  <si>
    <t xml:space="preserve">Fortalecimiento de las herramientas tecnológicas en las Instituciones Educativas del Departamento del Quindío </t>
  </si>
  <si>
    <t>Ampliar la cobertura del servicio de conectividad en las sedes educativas oficiales del departamento del Quindío</t>
  </si>
  <si>
    <t>Optimizar los procesos administrativos y los recursos económicos con destinación al servicio de conectividad de las sedes educativas del departamento.</t>
  </si>
  <si>
    <t>S.G.P Educacion</t>
  </si>
  <si>
    <t>Establecimientos educativos conectados a internet</t>
  </si>
  <si>
    <t>Servicios educativos de promoción del bilingüismo</t>
  </si>
  <si>
    <t>Estudiantes beneficiados con estrategias de promoción del bilingüismo</t>
  </si>
  <si>
    <t>0314 - 5 - 1 1 1 15 23 - 88</t>
  </si>
  <si>
    <t>202000363-0023</t>
  </si>
  <si>
    <t>Fortalecer las competencias comunicativas en lengua extranjera en estudiantes y docentes de las instituciones educativas oficiales del Departamento del Quindío.</t>
  </si>
  <si>
    <t>Mejorar el nivel de inglés de los niños, niñas y jóvenes que asisten a las Instituciones Educativas oficiales del Departamento del Quindío.</t>
  </si>
  <si>
    <t>* Gestionar alianzas estratégicas para la promoción de actividades extracurriculares que contribuyan al mejoramiento de las competencias comunicativas -hablar, leer, escribir, escuchar - en idioma extranjero de niños, niñas y adolescentes de las instituciones educativas oficiales adscritas a la Secretaria de Educación Departamental.
* Liderar y coordinar la ejecución de actividades extracurriculares que mejoren las competencias comunicativas -hablar, leer, escribir, escuchar - en idioma extranjero de niños, niñas y adolescentes de las instituciones educativas oficiales adscritas a la Secretaria de Educación Departamental.
* Promover acciones en las instituciones educativas para el uso adecuado del material didáctico - impresos, audiovisuales, contenidos multimediales- o tecnológico existente en las Instituciones Educativas Oficiales del Departamento para la promoción de las competencias comunicativas -hablar, leer, escribir, escuchar - en idioma extranjero.
* Liderar, coordinar y hacer seguimiento a los proyectos de capacitación en metodologías para la enseñanza del idioma extranjero, apropiación del currículo sugerido por el MEN, material didáctico y contenidos multimediales</t>
  </si>
  <si>
    <t>Servicio educativos de promoción del bilingüismo</t>
  </si>
  <si>
    <t>Instituciones educativas fortalecidas en competencias comunicativas en un segundo idioma</t>
  </si>
  <si>
    <t>Servicio educativo de promoción del bilingüismo para docentes</t>
  </si>
  <si>
    <t>Docentes beneficiados con estrategias de promoción del bilingüismo</t>
  </si>
  <si>
    <t>Servicio de monitoreo y seguimiento a la gestión del sector educativo</t>
  </si>
  <si>
    <t>Entidades territoriales con seguimiento y evaluación a la gestión.</t>
  </si>
  <si>
    <t>0314 - 5 - 1 1 1 15 24 - 88</t>
  </si>
  <si>
    <t>202000363-0024</t>
  </si>
  <si>
    <t>Fortalecimiento territoral para una gestión educativa integral en la Secretaría de Educación Departamental del Quindío.</t>
  </si>
  <si>
    <t>Fortalecer el seguimiento y evaluación de la gestión institucional, buscando potenciar en los diferentes equipos de trabajo, las capacidades para ejecutar procesos de gestión integrales y articulados en la prestación del servicio educativo de calidad con inclusión y equidad</t>
  </si>
  <si>
    <t xml:space="preserve">Mejorar la calidad del relacionamiento estratégico entre la Secretaria de Educación Departamental con las Entidades Territoriales No Certificadas en Educación y las Instituciones Educativas Oficiales del Departamento del Quindío.
</t>
  </si>
  <si>
    <t>Superavit Recurso Ordinario</t>
  </si>
  <si>
    <t>Servicio de apoyo para el acceso y la permanencia a la educación superior o terciaria</t>
  </si>
  <si>
    <t>Estrategias o programas de  fomento para  acceso y  permanencia a la educación superior o terciaria implementados</t>
  </si>
  <si>
    <t>0314 - 5 - 1 1 1 44 95 -91 
0314 - 5 - 1 1 1 44 95 - 20</t>
  </si>
  <si>
    <t>Fortalecimiento de los niveles de educación  básica y media para la articulación con la educación terciaria en el Departamento del Quindío.</t>
  </si>
  <si>
    <t>91
20</t>
  </si>
  <si>
    <t>Superavit Recurso Destinado del Monopolio
 Recurso Ordinario</t>
  </si>
  <si>
    <t>0314 - 5 - 1 1 1 44 122 - 35
0314 - 5 - 1 1 1 44 122 - 88
0314 - 5 - 3 1 3 7 24 1 122 - 20
0314 - 5 - 3 1 3 7 24 1 122 - 35</t>
  </si>
  <si>
    <t>2017003630-122</t>
  </si>
  <si>
    <t>Implementación de un fondo de apoyo departamental para el acceso y la permanencia de la educacion técnica, tecnológica y superior en el Departamento del Quindío.</t>
  </si>
  <si>
    <t>35
88
20</t>
  </si>
  <si>
    <t xml:space="preserve">Recurso Destinado del Monopolio
Superavit Recurso Ordinario
Recurso Ordinario
</t>
  </si>
  <si>
    <t>ALVARO BETANCURT</t>
  </si>
  <si>
    <t xml:space="preserve">LILIANA MARÍA SÁNCHEZ VILLADA </t>
  </si>
  <si>
    <t>Secretaria de Educación</t>
  </si>
  <si>
    <t>SEGUIMIENTO PLAN DE ACCIÓN ARMONIZADO 
SECRETARÍA DE FAMILIA
JUNIO 30 DE 2020</t>
  </si>
  <si>
    <t>INCLUSION SOCIAL</t>
  </si>
  <si>
    <t>Salud Pública, "Tú y yo con salud de calidad"</t>
  </si>
  <si>
    <t>1905021</t>
  </si>
  <si>
    <t xml:space="preserve">Servicio de gestión del riesgo en temas de salud sexual y reproductiva </t>
  </si>
  <si>
    <t>Campañas de gestión del riesgo en temas de salud sexual y reproductiva implementadas.</t>
  </si>
  <si>
    <t>0316 - 5 - 1 1 2 12 25 - 20
0316 - 5 - 1 1 2 12 25 - 88</t>
  </si>
  <si>
    <t>202000363-0025</t>
  </si>
  <si>
    <t>Diseño e implementación de campañas para la promoción de la vida y prevención del consumo de sustancias psicoactivas "TU Y YO UNIDOS POR LA VIDA".</t>
  </si>
  <si>
    <t>Fomentar hábitos de vida saludable y derechos sexuales y reproductivos</t>
  </si>
  <si>
    <t>*Campañas de prevención y promoción orientadas a la salud sexual y reproductiva y la salud mental
*Fomento de estrategias de prevención y mitigación del consumo de SPA</t>
  </si>
  <si>
    <t xml:space="preserve">Secretaría de Familia </t>
  </si>
  <si>
    <t xml:space="preserve">Servicio de gestión del riesgo en temas de trastornos mentales </t>
  </si>
  <si>
    <t>Campañas de gestión del riesgo en temas de trastornos mentales implementadas</t>
  </si>
  <si>
    <t>Servicio de educación informal al sector artístico y cultural</t>
  </si>
  <si>
    <t>Capacitaciones de educación informal realizadas</t>
  </si>
  <si>
    <t>0316 - 5 - 1 1 5 25 110 - 20</t>
  </si>
  <si>
    <t>201663000-0110</t>
  </si>
  <si>
    <t>Desarrollo de acciones encaminadas a la atención integral  de los adolescentes y jóvenes del Departamento del Quindío</t>
  </si>
  <si>
    <t>Desarrollar procesos efectivos de atención, generación de impacto, oferta pública y garantía de derechos.</t>
  </si>
  <si>
    <t>Alta articulación entre los entes gubernamentales y privados para realizar el seguimiento de la matriz de planificación de la política pública de juventud del depto.</t>
  </si>
  <si>
    <t>200</t>
  </si>
  <si>
    <t>Desarrollo Integral de Niños, Niñas, Adolescentes y sus Familias. "Tú y yo niños, niñas y adolescentes con desarrollo integral"</t>
  </si>
  <si>
    <t xml:space="preserve">Diseñar e implementar un Modelo de atención integral en entornos protectores para la primera infancia </t>
  </si>
  <si>
    <t>Modelo de atención integral de entornos protectores implementado</t>
  </si>
  <si>
    <t>0316 - 5 - 1 1 14 36 102 - 20
0316 - 5 - 1 1 14 36 102 - 88
0316 - 5 - 3 1 3 16 56 14 102 - 20</t>
  </si>
  <si>
    <t>201663000-0102</t>
  </si>
  <si>
    <t>Implementación de un modelo de atención integral a niños y niñas en entornos protectores en el Departamento del Quindìo</t>
  </si>
  <si>
    <t>Atención integral a los niños, niñas de primera infancia desde la gestación hasta los 4 años y 11 meses con un modelo integral y diferencial, que permita mejorar sus condiciones de vida.</t>
  </si>
  <si>
    <t>Incrementar los índices de apoyo y acompañamiento en el desarrollo infantil en  ambientes familiares y grupales,  alimentación adecuada y seguimiento al desarrollo.
Mejorar el acompañamiento en el desarrollo gestacional y  complemento nutricional, pautas de crianza y desarrollo infantil</t>
  </si>
  <si>
    <t>Maria Isabel Arango Valencia/ Jefe Oficina de Familia</t>
  </si>
  <si>
    <t xml:space="preserve">Implementar y realizar seguimiento a las Rutas Integrales de Atención </t>
  </si>
  <si>
    <t xml:space="preserve">Numero de rutas integrales de atención  a la  primera infancia implementadas y con seguimiento </t>
  </si>
  <si>
    <t xml:space="preserve">Implementar la  Política Pública para la Protección, el Fortalecimiento y el Desarrollo Integral de la Familia Quindiana </t>
  </si>
  <si>
    <t>Política Pública de Familia  implementada</t>
  </si>
  <si>
    <t>0316 - 5 - 1 1 16 36 103 - 20
0316 - 5 - 1 1 16 36 103 - 88
0316 - 5 - 3 1 3 17 58 14 103 - 20</t>
  </si>
  <si>
    <t>201663000-0103</t>
  </si>
  <si>
    <t>Formulación e implementación de  la politica pública  de la familia en el departamento del Quindío.</t>
  </si>
  <si>
    <t>Implementar la política pública que garantice los derechos de las familias del departamento del Quindío.</t>
  </si>
  <si>
    <t xml:space="preserve">Aumentar espacios de atención, formación y reflexión, orientados al fortalecimiento de los entornos familiares, sociales y educativos.
Alto grado de tolerancia ante la diversidad de pensamientos y comportamientos al interior de las familias </t>
  </si>
  <si>
    <t>Revisar, ajustar e implementar  la Política Pública de Primera Infancia, Infancia y Adolescencia</t>
  </si>
  <si>
    <t xml:space="preserve">Política Pública de Primera Infancia, Infancia y Adolescencia, revisada, ajustada e implementada. </t>
  </si>
  <si>
    <t>0316 - 5 - 1 1 14 36 109 - 20
0316 - 5 - 1 1 14 36 109 - 88
0316 - 5 - 3 1 3 17 59 14 109 - 20</t>
  </si>
  <si>
    <t>201663000-0109</t>
  </si>
  <si>
    <t>Implementación de la política de primera infancia, infancia y adolescencia en el Departamento del Quindío</t>
  </si>
  <si>
    <t xml:space="preserve">Implementar la política pública que garantice los derechos de los niños, niñas y adolescentes del depto. del Quindío. </t>
  </si>
  <si>
    <t>Eficiencia en la articulación Interinstitucional que garantice un seguimiento efectivo del cumplimiento del plan de acción de la política publica de infancia y adolescencia</t>
  </si>
  <si>
    <t xml:space="preserve">Implementar  la Política Pública de Juventud </t>
  </si>
  <si>
    <t>Política Pública de Juventud implementada</t>
  </si>
  <si>
    <t>0316 - 5 - 1 1 14 36 110 - 20
0316 - 5 - 3 1 3 17 60 14 110 - 20</t>
  </si>
  <si>
    <t>Manuel Alejandro Patiño Buitrago/ Jefe Oficina de Juventud</t>
  </si>
  <si>
    <t>Rutas integrales de atención en violencia intrafamiliar y  violencia de género</t>
  </si>
  <si>
    <t>Capacitación en activación de las Rutas Integrales de Atención en Violencia Intrafamiliar y de Género, a trabajadores de Supermercados y Tenderos de los Municipios realizadas</t>
  </si>
  <si>
    <t>0316 - 5 - 1 1 18 36 26 - 88</t>
  </si>
  <si>
    <t>202000363-0026</t>
  </si>
  <si>
    <t>Diseño e implementación de programa de acompañamiento familiar y comunitario con enfoque preventivo en los tipos de violencias en el Departamento del Quindío. "TU Y YO COMPROMETIDOS CON LA FAMILIA"</t>
  </si>
  <si>
    <t>Fortalecer la convivencia del entorno familiar y social en el Departamento del Quindío</t>
  </si>
  <si>
    <t>*Socialización, promoción e implementación, de las rutas integrales de atención en violencia intrafamiliar y de género en el departamento del quindío
*Implementación de un programa de acompañamiento familiar para fortalecer vinculos familiares</t>
  </si>
  <si>
    <t>Servicio de divulgación para la promoción y prevención de los derechos de los niños, niñas y adolescentes</t>
  </si>
  <si>
    <t xml:space="preserve">Eventos de divulgación realizados </t>
  </si>
  <si>
    <t>0316 - 5 - 1 1 14 36 27 - 20
0316 - 5 - 1 1 14 36 27 - 88</t>
  </si>
  <si>
    <t>202000363-0027</t>
  </si>
  <si>
    <t>Diseño e implementación de programa comunitario para la prevención de los derechos de Niños, Niñas y Adolescentes y su desarrollo integral. "TU Y YO COMPROMETIDOS CON LOS SUEÑOS".</t>
  </si>
  <si>
    <t>Promover y proteger los derechos de los niños, niñas y adolescentes  y prevenir su vulneración</t>
  </si>
  <si>
    <t>*Fomento de estrategias y acciones de  promoción y prevención
*Desarrollo de programas para la garantía de derechos de los nna
*Estrategias de protección para  los NN implementadas</t>
  </si>
  <si>
    <t>Servicios dirigidos a la atención de niños, niñas, adolescentes y jóvenes, con enfoque pedagógico y restaurativo encaminados a la inclusión social</t>
  </si>
  <si>
    <t>Niños, niñas, adolescentes y jóvenes atendidos en los servicios de restablecimiento en la administración de justicia</t>
  </si>
  <si>
    <t>0316 - 5 - 1 1 18 36 28 - 88</t>
  </si>
  <si>
    <t>202000363-0028</t>
  </si>
  <si>
    <t>Atención Post egreso de adolescentes y jóvenes, en los servicios de restablecimiento en la administración de justicia, con enfoque pedagógico y restaurativo encaminados a la inclusión social del Departamento del Quindío .</t>
  </si>
  <si>
    <t>Prevenir el delito, fomentar la inclusión de adolescentes egresados del SRPA y evitar la reincidencia</t>
  </si>
  <si>
    <t xml:space="preserve">*Estrategias para la prevención del delito adolescente.
*Acciones orientadas a la promoción de egresos exitosos e inclusión de  jóvenes del SRPA 
*Procesos post egreso enfocados en la prevención de la reincidencia </t>
  </si>
  <si>
    <t>Servicio de asistencia técnica para fortalecimiento de unidades productivas colectivas para la generación de ingresos</t>
  </si>
  <si>
    <t>Unidades productivas colectivas con asistencia técnica</t>
  </si>
  <si>
    <t>0316 - 5 - 1 1 14 37 110 - 88</t>
  </si>
  <si>
    <t>Servicio de gestión de oferta social para la población vulnerable</t>
  </si>
  <si>
    <t xml:space="preserve">mecanismos de articulación implementados para la gestión de oferta social </t>
  </si>
  <si>
    <t>0316 - 5 - 3 1 3 18 62 14 118 - 20</t>
  </si>
  <si>
    <t>201663000-0118</t>
  </si>
  <si>
    <t>Implementación del programa  para la atención y acompañamiento  del ciudadano migrante  y de repatriación en el Departamento del Quindío.</t>
  </si>
  <si>
    <t>Implementar el plan de acompañamiento al ciudadano migrante (el que sale y el que retorna).</t>
  </si>
  <si>
    <t>Existencia de planes de acompañamiento al ciudadano migrante del depto. del Quindío</t>
  </si>
  <si>
    <t>Recurso ordinario</t>
  </si>
  <si>
    <t>Daniela Alvis Hoyos/ Directora de Poblaciones</t>
  </si>
  <si>
    <t>Servicio de acompañamiento familiar y comunitario para la superación de la pobreza</t>
  </si>
  <si>
    <t>Comunidades con acompañamiento familiar.</t>
  </si>
  <si>
    <t>0316 - 5 - 1 1 18 37 26 - 88</t>
  </si>
  <si>
    <t>Servicio de apoyo para el fortalecimiento de unidades productivas colectivas para la generación de ingresos</t>
  </si>
  <si>
    <t>Unidades productivas colectivas fortalecidas</t>
  </si>
  <si>
    <t>0316 - 5 - 1 1 14 37 29 - 20
0316 - 5 - 1 1 14 37 29 - 88</t>
  </si>
  <si>
    <t>202000363-0029</t>
  </si>
  <si>
    <t>Atención integral a población en condición de discapacidad en los municipios del Departamento del Quindío. "TU Y YO JUNTOS EN LA INCLUSIÓN".</t>
  </si>
  <si>
    <t xml:space="preserve">Fortalecer la capacidad de los Municipios para la atención integral a población con discapacidad del Departamento del Quindío. </t>
  </si>
  <si>
    <t>*Articulación para la optimización de recursos orientados a brindar servicios de atención integral a población con de discapacidad
*Aumento de la cobertura de la estrategia de rehabilitación basada en la comunidad  en los municipios .
*Fomento de procesos de empleabilidad o emprendimiento para PcD y/o cuidadores</t>
  </si>
  <si>
    <t xml:space="preserve">Apoyar la construcción e Implementación de los  Planes de vida de los cabildos Indígenas asentados en el Departamento del Quindío </t>
  </si>
  <si>
    <t xml:space="preserve">Planes de vida de los cabildos indígenas  construidos  e implementados </t>
  </si>
  <si>
    <t xml:space="preserve">0316 - 5 - 1 1 14 37 30 - 20
0316 - 5 - 1 1 14 37 30 - 88
</t>
  </si>
  <si>
    <t>202000363-0030</t>
  </si>
  <si>
    <t>Apoyo en la construcción e Implementación de los Planes de vida de los Cabildos y Resguardos indígenas  asentados en el Departamento del Quindío. "TU Y YO UNIDOS CON DIGNIDAD".</t>
  </si>
  <si>
    <t>Apoyar  la elaboración y puesta en marcha  de planes de vida de las comunidades indígenas del departamento del Quindío</t>
  </si>
  <si>
    <t xml:space="preserve">*Formular e implementar los planes de vida de los cabildos indígenas del departamento del Quindío 
*Formular e implementar los planes de vida de los resguardos indígenas del departamento del Quindío </t>
  </si>
  <si>
    <t xml:space="preserve">Apoyar la construcción e Implementación de los  Planes de vida de los resguardos indígenas  asentados en el Departamento del Quindío </t>
  </si>
  <si>
    <t xml:space="preserve">Planes de vida de los resguardos indígenas  construidos  e implementados </t>
  </si>
  <si>
    <t>Formular e implementar la política publica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</si>
  <si>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</si>
  <si>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0316 - 5 - 1 1 14 37 31 - 20
0316 - 5 - 1 1 14 37 31 - 88</t>
  </si>
  <si>
    <t>202000363-0031</t>
  </si>
  <si>
    <t xml:space="preserve">Formulación e implementación de la política publica para la comunidad negra, afrocolombiana, raizal y palenquera residente en el Departamento del Quindío. </t>
  </si>
  <si>
    <t>Garantizar la protección de derechos y la atención integral con enfoque diferencial de las comunidades afrodescendientes asentadas en el departamento del Quindío</t>
  </si>
  <si>
    <t>*Formulación, implementación, seguimiento y evaluación de la Política Pública NARP 
*Implementar alianzas interinstitucionales para la atención integral con enfoque diferencial a la población afro descendiente del Departamento del</t>
  </si>
  <si>
    <t>Atención integral de población en situación permanente de desprotección social y/o familiar "Tú y yo con atención integral"</t>
  </si>
  <si>
    <t>4104035</t>
  </si>
  <si>
    <t>Servicios de atención integral a población en condición de discapacidad</t>
  </si>
  <si>
    <t xml:space="preserve">Estrategia de rehabilitación basada en la comunidad implementada en los municipios  </t>
  </si>
  <si>
    <t xml:space="preserve">
0316 - 5 - 1 1 14 38 29 - 20
0316 - 5 - 1 1 14 38 29 - 88</t>
  </si>
  <si>
    <t>Karla Daniela Quintero Tejada/ Directora de Adulto Mayor y Discapacidad</t>
  </si>
  <si>
    <t xml:space="preserve">Personas atendidas con servicios integrales de atención </t>
  </si>
  <si>
    <t>4104026</t>
  </si>
  <si>
    <t>Servicio de articulación de oferta social para la población habitante de calle</t>
  </si>
  <si>
    <t xml:space="preserve">Servicio de articulación habitante de calle implementado en los municipios </t>
  </si>
  <si>
    <t>0316 - 5 - 1 1 14 38 32 - 88</t>
  </si>
  <si>
    <t>202000363-0032</t>
  </si>
  <si>
    <t xml:space="preserve"> Apoyo en  la articulación de la  oferta social para la población habitante de calle del Departamento del Quindío</t>
  </si>
  <si>
    <t>Articulación de oferta social para la población en situación de calle del departamento del Quindío</t>
  </si>
  <si>
    <t xml:space="preserve">Implementar alianzas interinstitucionales e Interadministrativas para la atención y el acompañamiento a la persona en situación de calle </t>
  </si>
  <si>
    <t>Implementar  la Política   Pública de Diversidad Sexual e Identidad de Género</t>
  </si>
  <si>
    <t>Política pública de diversidad sexual implementada.</t>
  </si>
  <si>
    <t>0316 - 5 - 1 1 14 38 125 - 20
0316 - 5 - 1 1 14 38 125 - 88
0316 - 5 - 3 1 3 18 65 14 125 - 20</t>
  </si>
  <si>
    <t>201663000-0125</t>
  </si>
  <si>
    <t>Fomulación e implementación de la politica pública  de diversidad sexual en el Departamento del Quindío</t>
  </si>
  <si>
    <t>Implementación de la política pública que garantice los derechos de las personas con diversidad sexual e identidad de género en el dpto. del Quindío.</t>
  </si>
  <si>
    <t>Establecer políticas claras para la inclusión social de la población LGTBI
Altos espacios de atención, formación y reflexión, orientados al fortalecimiento de los entornos  sociales y educativos respecto a las personas con diversidad sexual</t>
  </si>
  <si>
    <t>Elayne Loaiza Jurado/ Jefe Oficina de la Mujer y la Equidad</t>
  </si>
  <si>
    <t xml:space="preserve">Revisar, ajustar e implementar la política pública de equidad de género para la mujer </t>
  </si>
  <si>
    <t>Política pública de la mujer y equidad de género revisada, ajustada e implementada.</t>
  </si>
  <si>
    <t>0316 - 5 - 1 1 16 38 128 - 20
0316 - 5 - 1 1 16 38 128 - 88
0316 - 5 - 3 1 3 18 66 14 128 - 20</t>
  </si>
  <si>
    <t>201663000-0128</t>
  </si>
  <si>
    <t>Implementación de la polìtica pùblica de equidad de género para la mujer en el Departamento del Quindìo</t>
  </si>
  <si>
    <t xml:space="preserve">Implementación de programas y proyectos institucionales para el acceso a las oportunidades Económicas sociales y culturales de mujeres en el departamento del Quindío </t>
  </si>
  <si>
    <t>Apropiación jurídica  por parte de la población e institucionalidad sobre las rutas de atención existentes.
Mejorar la articulación frente a la implementación de las políticas públicas de equidad y género</t>
  </si>
  <si>
    <t xml:space="preserve">Formular e implementar la Política Pública de Adulto Mayor </t>
  </si>
  <si>
    <t xml:space="preserve">Política Pública de Adulto Mayor  formulada e implementada </t>
  </si>
  <si>
    <t xml:space="preserve">0316 - 5 - 1 1 14 38 129 - 06
0316 - 5 - 1 1 14 38 129 - 20
0316 - 5 - 1 1 14 38 129 - 84
0316 - 5 - 1 1 14 38 129 - 88
0316 - 5 - 3 1 3 19 67 14 129 - 06
0316 - 5 - 3 1 3 19 67 14 129 - 20
</t>
  </si>
  <si>
    <t>201663000-0129</t>
  </si>
  <si>
    <t xml:space="preserve">Apoyo y bienestar integral a las personas mayores del Departamento del Quindío </t>
  </si>
  <si>
    <t>Altos índices de atención a los adultos mayores en el departamento del Quindío.</t>
  </si>
  <si>
    <t>Apoyar la elaboración, seguimiento y evaluación de los planes de acción de los municipios y depto. de la Política Publica de envejecimiento y vejez
Apoyar acciones que conlleven al conocimiento de la Ley 1276 del 2009: Nuevos Criterios de Atención Integral del Adulto  Mayor en los Centros Vida</t>
  </si>
  <si>
    <t>06 - 20 - 84 - 88</t>
  </si>
  <si>
    <t>Estampilla pro adulto mayor
Recurso ordinario
Superávit estampilla pro-adulto mayor
Superávit recurso ordinario</t>
  </si>
  <si>
    <t>Servicios de atención y protección integral al adulto mayor</t>
  </si>
  <si>
    <t xml:space="preserve">Adultos mayores atendidos con servicios integrales </t>
  </si>
  <si>
    <t>Transferencia estampilla para el bienestar del adulto mayor</t>
  </si>
  <si>
    <t>Municipios con recursos transferidos con la estampilla Departamental para el bienestar del adulto mayor</t>
  </si>
  <si>
    <t>Revisar, ajustar e implementar  la Política Pública de  Discapacidad</t>
  </si>
  <si>
    <t xml:space="preserve">Política Pública de  Discapacidad  , revisada, ajustada e implementada. </t>
  </si>
  <si>
    <t>0316 - 5 - 1 1 14 38 114 - 20
0316 - 5 - 1 1 14 38 114 - 88
0316 - 5 - 3 1 3 17 61 14 114 - 20</t>
  </si>
  <si>
    <t>201663000-0114</t>
  </si>
  <si>
    <t>Actualización e implementación  de   la política pública departamental de discapacidad  "Capacidad sin limites" en el Quindío.</t>
  </si>
  <si>
    <t xml:space="preserve">Aumentar los niveles de representatividad e incidencia de las personas con discapacidad en escenarios de participación social y política en el Departamento.  </t>
  </si>
  <si>
    <t>Realizar acciones para  el  seguimiento al Plan de Acción de los CMD – Ejes de la Política Pública
Procesos de  fortalecimiento en la cultura organizacional  del sector público y privado</t>
  </si>
  <si>
    <t>Casa de la Mujer Empoderada implementada</t>
  </si>
  <si>
    <t>0316 - 5 - 1 1 16 41 33 - 20
0316 - 5 - 1 1 16 41 33 - 88</t>
  </si>
  <si>
    <t>202000363-0033</t>
  </si>
  <si>
    <t>Implementación de la Casa de la Mujer Empoderada para la promoción a la participación ciudadana de mujeres en escenarios sociales, políticos y el fortalecimiento de la Asociatividad en el departamento del Quindío. "TU Y YO  CON LAS MUJERES EMPODERADAS".</t>
  </si>
  <si>
    <t>Crear la casa de la mujer como un espacio para el encuentro, la articulación, el empoderamiento, el fomento de la participación y la promoción de la mujer urbana y rural del Departamento del Quindío</t>
  </si>
  <si>
    <t>*Articulación interinstitucional para la promoción, el empoderamiento y el fomento de organizaciones orientadas a la mujer.
*Fortalecer la articulación de organizaciones y procesos orientados al empoderamiento y la promoción de la mujer.</t>
  </si>
  <si>
    <t>Casa Refugio de la Mujer implementada</t>
  </si>
  <si>
    <t>0316 - 5 - 1 1 16 41 34 - 20
0316 - 5 - 1 1 16 41 34 - 88</t>
  </si>
  <si>
    <t>202000363-0034</t>
  </si>
  <si>
    <t>Implementación de la Casa Refugio de la Mujer del Departamento del Quindío.</t>
  </si>
  <si>
    <t>Crear la casa refugio para la protección de la mujer víctima del Departamento del Quindío</t>
  </si>
  <si>
    <t>*Articulación interinstitucional para la protección de la mujer.
*Fortalecer la articulación de organizaciones y procesos orientados a la protección de la mujer.</t>
  </si>
  <si>
    <t>Inclusión productiva de pequeños productores rurales. "Tú y yo con oportunidades para el pequeño campesino"</t>
  </si>
  <si>
    <t>1702011</t>
  </si>
  <si>
    <t>Servicio de asesoría para el fortalecimiento de la Asociatividad</t>
  </si>
  <si>
    <t>Asociaciones de mujeres fortalecidas</t>
  </si>
  <si>
    <t xml:space="preserve">
0316 - 5 - 1 2 16 4 33 - 20</t>
  </si>
  <si>
    <t>Derechos fundamentales del trabajo y fortalecimiento del diálogo social. "Tú y yo con una niñez protegida"</t>
  </si>
  <si>
    <t>Servicio de educación informal para la prevención integral del trabajo infantil</t>
  </si>
  <si>
    <t>0316 - 5 - 1 2 14 29 27 - 88</t>
  </si>
  <si>
    <t>Diseño e Implementación de programa comunitario para la prevención de los Derechos de Niños, Niñas y Adolescentes y su desarrollo integral. "TU Y YO COMPROMETIDOS CON LOS SUEÑOS".</t>
  </si>
  <si>
    <t>Iniciativas para la promoción de la participación femenina en escenarios sociales y políticos implementada.</t>
  </si>
  <si>
    <t xml:space="preserve">
0316 - 5 - 1 4 16 42 33 - 88</t>
  </si>
  <si>
    <t xml:space="preserve">ALBA JOHANA QUEJADA TORRES </t>
  </si>
  <si>
    <t xml:space="preserve">Secretaria de Familia </t>
  </si>
  <si>
    <t>SEGUIMIENTO PLAN DE ACCIÓN ARMONIZADO
SECRETARÍA DE TECNOLOGIAS DE LA INFORMACION Y LAS COMUNICACIONES
JUNIO 30 DE 2020</t>
  </si>
  <si>
    <t xml:space="preserve">F-PLA-07 </t>
  </si>
  <si>
    <t>Facilitar el acceso y uso de las Tecnologías de la Información y las Comunicaciones en todo el departamento del Quindio. "Tú y yo somos ciudadanos TIC"</t>
  </si>
  <si>
    <t>Servicio de acceso y uso de Tecnologías de la Información y las Comunicaciones</t>
  </si>
  <si>
    <t>Soluciones de conectividad en instituciones públicas instaladas</t>
  </si>
  <si>
    <t>0324 - 5 - 1 1 13 16 35 - 20
0324 - 5 - 1 1 13 16 35 - 88</t>
  </si>
  <si>
    <t>202000363-0035</t>
  </si>
  <si>
    <t>Fortalecimiento  y apoyo a las tecnologías de la información de las comunicaciones en el departamento del Quindío.</t>
  </si>
  <si>
    <t>Fortalecer e incentivar la apropiación, acceso y uso de herramientas tecnológicas en diversos sectores y comunidad en general, con el fin de generar el nacimiento de una nueva opción económica como lo es la industria y la venta de servicios TIC, impactando positivamente, el desarrollo económico en el Departamento del Quindío, a través de la transformación digital y los emprendimientos de este sector.</t>
  </si>
  <si>
    <t>Permitir la conectividad en instituciones publicas a traves de las Tecnologias de la Informacion y las Comunicaciones</t>
  </si>
  <si>
    <t>20 -88</t>
  </si>
  <si>
    <t xml:space="preserve">Recurso Ordinario
Recurso del Balance Ordinario  </t>
  </si>
  <si>
    <t>Secretaría TIC</t>
  </si>
  <si>
    <t>Servicio de educación informal en tecnologías de la información y las comunicaciones.</t>
  </si>
  <si>
    <t>Personas capacitadas en tecnologías de la información y las comunicaciones</t>
  </si>
  <si>
    <t>Capacitar y/o formar personas a través de programas TIC en diferentes sectores del departamento con énfasis en inclusión social y generacional</t>
  </si>
  <si>
    <t>Fomento del desarrollo de aplicaciones, software y contenidos para impulsar la apropiación de las Tecnologías de la Información y las Comunicaciones (TIC) "Quindío paraiso empresarial TIC-Quindío TIC"</t>
  </si>
  <si>
    <t>Servicio de promoción de la industria de Tecnologías de la Información</t>
  </si>
  <si>
    <t xml:space="preserve">Eventos para  promoción  de productos y Servicio de la industria TI realizados </t>
  </si>
  <si>
    <t>0324 - 5 - 1 1 13 17 36 - 88</t>
  </si>
  <si>
    <t>202000363-0036</t>
  </si>
  <si>
    <t>Fortalecimiento del sector empresarial del departamento del Quindío</t>
  </si>
  <si>
    <t>Fortalecer  e incentivar la apropiación, acceso y uso de herramientas tecnológicas en diversos sectores y comunidad en general, con el fin de generar el nacimiento de una nueva opción económica como lo es la industria y la venta de servicios TIC, impactando positivamente, el desarrollo económico en el Departamento del Quindío, a través de la transformación digital y los emprendimientos de este sector.</t>
  </si>
  <si>
    <t xml:space="preserve">Realizar eventos de promoción  de los productos y servicios de la inustria de la las tecnologías de la información para el fortalecimiento empresarial del departamento </t>
  </si>
  <si>
    <t xml:space="preserve">Recurso del Balance Ordinario  </t>
  </si>
  <si>
    <t xml:space="preserve">PRODUCTIVIDAD Y COMPETITIVIDAD </t>
  </si>
  <si>
    <t xml:space="preserve">Desarrollo tecnológico e innovación para el crecimiento empresarial </t>
  </si>
  <si>
    <t>Servicio de apoyo para la transferencia de conocimiento y tecnología</t>
  </si>
  <si>
    <t>Nuevas tecnologías adoptadas</t>
  </si>
  <si>
    <t>0324 - 5 - 1 2 13 31 1 - 20   
0324 - 5 - 1 2 13 31 1 - 88</t>
  </si>
  <si>
    <t>201663000-0001</t>
  </si>
  <si>
    <t>Apoyo a la estrategia de Gobierno en linea en el Departamento del Quindío</t>
  </si>
  <si>
    <t xml:space="preserve">Mejorar el acceso de los usuarios internos como externos mediante  los servicios informáticos ofrecidos por la entidad, para el grado de satisfaccion de los usuarios </t>
  </si>
  <si>
    <t>Mejorar los sistemas de información y equipos tecnológicos mediante la actualizacion y mantenimiento para aumentar los tiempos de respuesta de atención al usuario</t>
  </si>
  <si>
    <t>20- 88</t>
  </si>
  <si>
    <t>Generación de una cultura que valora y gestiona el conocimiento y la innovación.</t>
  </si>
  <si>
    <t>3904018</t>
  </si>
  <si>
    <t>Servicios de comunicación con enfoque en Ciencia Tecnología y Sociedad</t>
  </si>
  <si>
    <t>Juguetes, juegos o videojuegos para la comunicación de la ciencia, tecnología e innovación producidos</t>
  </si>
  <si>
    <t>0324 - 5 - 1 2 13 32 37 - 88</t>
  </si>
  <si>
    <t>202000363-0037</t>
  </si>
  <si>
    <t xml:space="preserve">Implementación  y  divulgación de la estratégia    "  Quindío innovador y competitivo" </t>
  </si>
  <si>
    <r>
      <t xml:space="preserve">Potenciar la innovación en el Departamento del Quindío a través de procesos </t>
    </r>
    <r>
      <rPr>
        <sz val="12"/>
        <color theme="1"/>
        <rFont val="Arial"/>
        <family val="2"/>
      </rPr>
      <t>fomento de la participación ciudadana en ciencia, tecnología e innovación,</t>
    </r>
    <r>
      <rPr>
        <sz val="12"/>
        <color rgb="FF000000"/>
        <rFont val="Arial"/>
        <family val="2"/>
      </rPr>
      <t xml:space="preserve"> apoyo a las empresas, universidades y otras instancias que generan conocimiento e investigación.</t>
    </r>
  </si>
  <si>
    <t>Realizar la transformación digital de las empresas de la región con la apropiación de herramientas digitales, que permitan ser competitivos en los diferentes sectores productivos ( Juguetes, juegos o videojuegos para la comunicación )</t>
  </si>
  <si>
    <t xml:space="preserve"> </t>
  </si>
  <si>
    <t>Servicio de educación informal en Gestión TI y en Seguridad y Privacidad de la Información</t>
  </si>
  <si>
    <t>Personas capacitadas para en Gestión TI y en Seguridad y Privacidad de la Información</t>
  </si>
  <si>
    <t>0324 - 5 - 3 1 5 28 89 17 4 - 20
0324 - 5 - 1 4 17 17 4 - 88</t>
  </si>
  <si>
    <t>201663000-0004</t>
  </si>
  <si>
    <t>Apoyo a la sostenibilidad de las tecnologías de la información y comunicación de la Gobernación del Quindío.</t>
  </si>
  <si>
    <t>Optimizar la infraestructura informática y de comunicaciones disponible a través de actualización de equipos y aplicaciones para una mejor atención al usuario</t>
  </si>
  <si>
    <t>Modernizar la infraestructura tecnológica mediante la actualización de herramientas tecnológicas y soporte de primer nivel; para agilizar los procesos</t>
  </si>
  <si>
    <t>Carlos Fernando Benitez Zapata</t>
  </si>
  <si>
    <t>Servicio de educación informal para la implementación de la Estrategia de Gobierno digital</t>
  </si>
  <si>
    <t>Personas capacitadas para la implementación de la Estrategia de Gobierno digital</t>
  </si>
  <si>
    <t xml:space="preserve">Recurso Ordinario  </t>
  </si>
  <si>
    <t>JOHN MARIO LIÉVANO FERNÁNDEZ</t>
  </si>
  <si>
    <t>Secretario TIC</t>
  </si>
  <si>
    <t>SEGUIMIENTO PLAN DE ACCIÓN
INDEPORTES
JUNIO 30 DE 2020</t>
  </si>
  <si>
    <t>Servicio de Escuelas Deportivas</t>
  </si>
  <si>
    <t>Municipios con Escuelas Deportivas</t>
  </si>
  <si>
    <t>2234471206_12</t>
  </si>
  <si>
    <t>201663000-0163</t>
  </si>
  <si>
    <t>Apoyo al Deporte formativo, deporte social comunitario y juegos  tradicionales en el Departamento del Quindío</t>
  </si>
  <si>
    <t xml:space="preserve">Generar espacios recreo-deportivos, aumentando el porcentaje de utilización de escenarios deportivos y
disminuyendo los índices de consumo de estupefacientes
</t>
  </si>
  <si>
    <t>Fortalecer los espacios recreodeportivos</t>
  </si>
  <si>
    <t>12</t>
  </si>
  <si>
    <t xml:space="preserve">OTROS (MONOPOLIO )  </t>
  </si>
  <si>
    <t xml:space="preserve">ORDINARIO-OTROS (MONOPOLIO - IPOCONSUMO)  </t>
  </si>
  <si>
    <t>MANUEL ANTONIO RODRIGUEZ QUINTERO</t>
  </si>
  <si>
    <t>Gerente General INDEPORTES</t>
  </si>
  <si>
    <t>Servicio de promoción de la actividad física, la recreación y el deporte</t>
  </si>
  <si>
    <t>Municipios implementando  programas de recreación, actividad física y deporte social comunitario</t>
  </si>
  <si>
    <t>2234471208_4</t>
  </si>
  <si>
    <t xml:space="preserve">2234471207_12
2234471207_3
2234471208_12
</t>
  </si>
  <si>
    <t>12-03</t>
  </si>
  <si>
    <t xml:space="preserve">OTROS (MONOPOLIO - IPOCONSUMO)  </t>
  </si>
  <si>
    <t>Municipios vinculados al programa Supérate-Intercolegiados</t>
  </si>
  <si>
    <t>2234470205_12</t>
  </si>
  <si>
    <t>201663000-0162</t>
  </si>
  <si>
    <t>Apoyo a los juegos intercolegiados en el Deparrtamento del Quindìo</t>
  </si>
  <si>
    <t xml:space="preserve">Generar espacios de  competencia para las instituciones educativas, aumentando así el porcentaje de utilización de escenarios deportivos y disminuyendo los índices de sedentarismo
</t>
  </si>
  <si>
    <t xml:space="preserve">Fortalecer programas y actividades deportivas
</t>
  </si>
  <si>
    <t>GLORIA INES HERRERA FRANCO</t>
  </si>
  <si>
    <t>2234470205_4</t>
  </si>
  <si>
    <t xml:space="preserve">Municipios implementando  programas de recreación, actividad física y  y deporte social comunitario </t>
  </si>
  <si>
    <t>2234572210_4</t>
  </si>
  <si>
    <t>201663000-0164</t>
  </si>
  <si>
    <t xml:space="preserve"> Apoyo a la Recreación,  para el Bien Común en el Departamento del Quindío</t>
  </si>
  <si>
    <t xml:space="preserve">Disminuir los indices de consumo de estupefacientes en los municipios del departamento a través  del desarrollo de espacios recreodeportivos. </t>
  </si>
  <si>
    <t>Fortalecer una cultura recreo-deportiva en la poblacion</t>
  </si>
  <si>
    <t>DORIS JUDITH LOPEZ MARTINEZ</t>
  </si>
  <si>
    <t>2234572209_3
2234572210_3</t>
  </si>
  <si>
    <t>N/A</t>
  </si>
  <si>
    <t>Formular e  implementar una  política pública para el desarrollo y acceso al deporte, la recreación, la actividad física, la educación física y el uso adecuado del tiempo libre, como ejes de transformación humana y social en el departamento del Quindío</t>
  </si>
  <si>
    <t>Politica publica formulada e implementada</t>
  </si>
  <si>
    <t>2234572211_12
2234572211_3</t>
  </si>
  <si>
    <t>22346741_4</t>
  </si>
  <si>
    <t>201663000-0166</t>
  </si>
  <si>
    <t>Apoyo a proyectos deportivos, recreativos y de actividad fisica, en el Departamento del Quindìo</t>
  </si>
  <si>
    <t>Disminuir los índices del consumo de estupefacientes en los municipios del departamento</t>
  </si>
  <si>
    <t>Fortalecer la articulacion interinstitucional</t>
  </si>
  <si>
    <t>2234572212_3</t>
  </si>
  <si>
    <t>201663000-0165</t>
  </si>
  <si>
    <t>Apoyo a la actividad fisica, salud y productiva en el Departamento del Quindio.</t>
  </si>
  <si>
    <t xml:space="preserve">Disminuir los  índices en el consumo de estupefacientes  y sedentarismo en los municipios del departamento a traves de programa de actividad fisica y habitos saludables
</t>
  </si>
  <si>
    <t>Fomentar estios de vida saludable y actividad fisica</t>
  </si>
  <si>
    <t>Servicio de asistencia técnica para la promoción del deporte</t>
  </si>
  <si>
    <t xml:space="preserve">Organismos deportivos asistidos </t>
  </si>
  <si>
    <t>2234468202_12
2234468202_3
2234468202_4
2234468203_4
2234469204_12
2234469204_4</t>
  </si>
  <si>
    <t>201663000-0161</t>
  </si>
  <si>
    <t>Apoyo al deporte asociado en el Departamento del Quindio</t>
  </si>
  <si>
    <t xml:space="preserve">Incrementar los niveles de desarrollo en el deporte formativo y competitivo del departamento del quindio
</t>
  </si>
  <si>
    <t xml:space="preserve">Fortalecer los procesos con deportistas de altos logros 
</t>
  </si>
  <si>
    <t>RUBEN DARIO BELTRAN MARIN</t>
  </si>
  <si>
    <t>INDEPORTES</t>
  </si>
  <si>
    <t>Juegos Deportivos Realizados</t>
  </si>
  <si>
    <t>202000363-0038</t>
  </si>
  <si>
    <t>Desarrollo de los  XXII JUEGOS DEPORTIVOS NACIONALES Y VI JUEGOS PARANACIONALES   2023</t>
  </si>
  <si>
    <t>Generar una mayor participación  deportiva y organización de eventos multideportivos en el Departamento del Quindío</t>
  </si>
  <si>
    <t xml:space="preserve">Aumentar la asignación de recursos para el deporte formativo y competitivo
</t>
  </si>
  <si>
    <t>ORDINARIO</t>
  </si>
  <si>
    <t>FERNANDO AUGUSTO PANESSO ZULUAGA</t>
  </si>
  <si>
    <t>Gerente General</t>
  </si>
  <si>
    <t>SEGUIMIENTO PLAN DE ACCIÓN 
INSTITUTO DEPARTAMENTAL DE TRANSITO DEL QUINDIO
JUNIO 30 DE 2020</t>
  </si>
  <si>
    <t xml:space="preserve"> TERRITORIO, AMBIENTE Y DESARROLLO SOSTENIBLE</t>
  </si>
  <si>
    <t>Seguridad de Transporte. "Tú y yo seguros en la vía"</t>
  </si>
  <si>
    <t>Formular e Implementar una estrategia de movilidad saludable, segura y sostenible.</t>
  </si>
  <si>
    <t xml:space="preserve">Estrategia de movilidad saludable, segura y sostenible  formulada e implementada </t>
  </si>
  <si>
    <t>SEGURIDAD DE TRANSPORTE. TU Y YO SEGUROS EN LA VIA</t>
  </si>
  <si>
    <t>Fortalecimiento de la seguridad vial  en el Departamento del Quindío</t>
  </si>
  <si>
    <t>Disminuir  el numero de lesiones fatales y graves por accidentes de transito, en la poblacion, a traves de planes y programas institucionales para mejorar las condiciones de vida de la poblacion de los municipios de la jurisdicción del instituto departamental de transito del quindio</t>
  </si>
  <si>
    <t>Disminuir los riesgos de accidentes en las vias mediante la formulación e implementación de planes y programas de seguridad vial para el mejoramiento de las ocndiciones de vida de la población en la jurisdicción del I.D.T.Q</t>
  </si>
  <si>
    <t>1</t>
  </si>
  <si>
    <t>Otros recursos (Propios de  IDTQ)</t>
  </si>
  <si>
    <t>IDTQ</t>
  </si>
  <si>
    <t>Formular e Implementar un programa de formación en normas de tránsito y fomento de cultura  de la seguridad en la vía.</t>
  </si>
  <si>
    <t>Programa de formación cultural  de la seguridad en la vía formulado e implementado.</t>
  </si>
  <si>
    <t>Implementación del Programa "Tu y yo por la seguridad vial", en el Departamento del Quindio.</t>
  </si>
  <si>
    <t>Formular e Implementar un programa de control, prevención y atención del tránsito y el transporte en los municipios y vías de jurisdicción del IDTQ.</t>
  </si>
  <si>
    <t>Programa de control y atención del tránsito y el transporte formulado e implementado</t>
  </si>
  <si>
    <t>-</t>
  </si>
  <si>
    <t>Diseñar e Implementar un programa de señalización y demarcación en los municipios y vías de jurisdicción del IDTQ.</t>
  </si>
  <si>
    <t>Programa de Señalización y demarcación en los municipios y vías de jurisdicción del IDTQ diseñado e Implementado</t>
  </si>
  <si>
    <t>EDNA PATRICIA TORRES ORTIZ</t>
  </si>
  <si>
    <t>Directora Instituto Departamental de Tránsito del Quindío (IDTQ)</t>
  </si>
  <si>
    <t>SEGUIMIENTO PLAN DE ACCIÓN ARMONIZADO
SECRETARÍA DE AGRICULTURA, DESARROLLO RURAL Y MEDIO AMBIENTE
JUNIO 30 2020</t>
  </si>
  <si>
    <t>Servicio de asesoría para el fortalecimiento de la asociatividad</t>
  </si>
  <si>
    <t>Asociaciones fortalecidas</t>
  </si>
  <si>
    <t>0312 - 5 - 1 2 13 4 75 - 20
0312 - 5 - 1 2 13 4 75 - 88
0312 - 5 - 3 1 2 2 6 13 75 - 20</t>
  </si>
  <si>
    <t>201663000-0075</t>
  </si>
  <si>
    <t xml:space="preserve">Fomento al emprendimiento y  al empleo rural en el Departamento del Quindío  </t>
  </si>
  <si>
    <t>Aumentar crecimiento del PIB del departamento del Quindío a frente al PIB Nacional.</t>
  </si>
  <si>
    <t>Apoyar la formalización de empresas en los sectores productivos del departamento, a través de la identificación, análisis y priorización de los potenciales emprendimientos rurales, con el fin de contribuir a generar condiciones para aumentar   producto interno bruto el departamento durante la vigencia 2016. 
Realizar apalancamiento a las iniciativas productivas rurales, a través de procesos de acompañamiento a la consolidación de ideas de negocio e implementación de garantías complementarias para el facilitar el acceso a las diferentes fuentes financiación con el fin de contribuir a generar condiciones para aumentar   producto interno bruto el departamento   durante la vigencia 2016.
Capacitar a jóvenes y mujeres en actividades agrícolas y no agrícolas con procesos de seguimiento y evaluación en la generación de ideas y/o consolidación de negocios con el fin de contribuir a generar condiciones para aumentar producto interno bruto el departamento durante la vigencia 2016.</t>
  </si>
  <si>
    <t xml:space="preserve">Recurso Ordinario
Superávit Recurso Ordinario
</t>
  </si>
  <si>
    <t>JUAN CAMILO TABARES</t>
  </si>
  <si>
    <t>Secretaría de Agricultura, Desarrollo rural y Medio Ambiente</t>
  </si>
  <si>
    <t>Servicio de apoyo financiero para proyectos productivos</t>
  </si>
  <si>
    <t>Proyectos productivos cofinanciados</t>
  </si>
  <si>
    <t>SECRETARÍA DE AGRICULTURA</t>
  </si>
  <si>
    <t>Servicio de apoyo financiero para el acceso a activos productivos y de comercialización</t>
  </si>
  <si>
    <t>Productores apoyados con activos productivos y de comercialización</t>
  </si>
  <si>
    <t>Servicio de apoyo para el fomento organizativo de la Agricultura Campesina, Familiar y Comunitaria</t>
  </si>
  <si>
    <t>Productores agropecuarios apoyados</t>
  </si>
  <si>
    <t>0312 - 5 - 1 2 8 4 79 - 20
0312 - 5 - 1 2 8 4 79 - 88
0312 - 5 - 3 1 3 11 34 8 79 - 20</t>
  </si>
  <si>
    <t>201663000-0079</t>
  </si>
  <si>
    <t>Fomento a la agricultura familiar , urbana y  mercados campesinos para la soberanía y  Seguridad alimentaria en el Departamento del Quindio.</t>
  </si>
  <si>
    <t>Aumentar la producción de frutas y verduras para el autoconsumo del departamento del Quindío a través de la implementación de un sistema de parcelas campesinas y comercio de excedentes.</t>
  </si>
  <si>
    <t>.Diseñar e implementar un (1) programa de agricultura familiar campesina.
.Apoyar la conformación de cuatro (4) alianzas para contratos de compra anticipada de productos de la agricultura familiar en el departamento del Quindío.
.Apoyar la conformación de cuatro (4) alianzas para contratos de compra anticipada de productos de la agricultura familiar en el departamento del Quindío.
.Beneficiar a 2400 familias urbanas y periurbanas con parcelas de agricultura familiar para autoconsumo y comercio de excedentes.
.Mejorar el estado nutricional de 1795 niños menor de 5 años y de 1531 niños de 6 a 18 años en riesgo de desnutrición en el departamento.</t>
  </si>
  <si>
    <t xml:space="preserve">LUIS ALBERTO  </t>
  </si>
  <si>
    <t>Servicio de apoyo a la comercialización</t>
  </si>
  <si>
    <t>Organizaciones de productores formales apoyadas</t>
  </si>
  <si>
    <t>0312 - 5 - 1 2 13 4 78 - 20
0312 - 5 - 1 2 13 4 78 - 88
0312 - 5 - 1 2 13 7 78 - 20
0312 - 5 - 1 2 13 7 78 - 88
0312 - 5 - 1 2 13 27 78 - 20
0312 - 5 - 1 2 13 27 78 - 88
0312 - 5 - 3 1 2 2 7 13 78 - 20</t>
  </si>
  <si>
    <t>201663000-0078</t>
  </si>
  <si>
    <t>Fortalecimiento a la competitividad productiva y empresarial del sector rural en el Departamento del Quindio</t>
  </si>
  <si>
    <t>Crecimiento del PIB del departamento del Quindío frente al PIB Nacional</t>
  </si>
  <si>
    <t>Conocimiento de métodos no tradicionales de comercialización. 
Aumentar la divulgación de eventos especializados para acceder a mercados internacionales.</t>
  </si>
  <si>
    <t>Productores apoyados para la participación en mercados campesinos</t>
  </si>
  <si>
    <t>Planes de Desarrollo Agropecuario y Rural elaborados</t>
  </si>
  <si>
    <t>0312 - 5 - 1 2 8 4 13 - 20
0312 - 5 - 1 2 8 4 13 - 88
0312 - 5 - 1 2 8 8 13 - 20
0312 - 5 - 1 2 8 8 13 - 88</t>
  </si>
  <si>
    <t>202000363-0013</t>
  </si>
  <si>
    <t>Implementación de procesos de extensión agropecuaria e inocuidad (estatus sanitario, BPA, BPG) alimentaria; en el Departamento del Quindio</t>
  </si>
  <si>
    <t>Establecer los lineamientos para el fortalecimiento de habilidades y competencias técnicas y humanas, de capacidades financieras y
estratégicas de los productores, para fortalecer la competitividad y sostenibilidad territorial del sector agropecuario</t>
  </si>
  <si>
    <t>Formular e Implementar el Plan Departamental de Extensión Agropecuaria PDEA del departamento del
Quindío.
estructurar y ejecutar proyectos integrales agropecuarios, de asistencia técnica y extensión agropecuaria
municipales
Acompañar en la implementación de Planes de desarrollo agropecuario y rural municipales
Implementar proyectos integrales agropecuarios sostenibles, de Coordinación interinstitucional en investigación,
transferencia y adopción tecnológica,
prestar servicio de asistencia técnica agropecuaria en la certificación de las BPA, BPG, GAB y BPM, entre otras
normas de inocuidad y sanidad agroalimentaria.</t>
  </si>
  <si>
    <t>Servicios de acompañamiento en la implementación de Planes de desarrollo agropecuario y rural</t>
  </si>
  <si>
    <t>Planes de Desarrollo Agropecuario y Rural acompañados</t>
  </si>
  <si>
    <t>Servicio de apoyo para el acceso a maquinaria y equipos</t>
  </si>
  <si>
    <t>Productores beneficiados con acceso a maquinaria y equipo</t>
  </si>
  <si>
    <t>0312 - 5 - 1 2 8 4 14 - 20
0312 - 5 - 1 2 8 4 14 - 88
0312 - 5 - 1 2 8 5 14 - 20
0312 - 5 - 1 2 8 5 14 - 88</t>
  </si>
  <si>
    <t>202000363-0014</t>
  </si>
  <si>
    <t>Implementación de procesos productivos agropecuarios familiares campesinos en busca de la soberanía y seguridad alimentaria en el Departamento del Quindio.</t>
  </si>
  <si>
    <t>Estructurar y ejecutar programas y proyectos integrales agropecuarios y de acompañamiento técnico a los productores en la
producción primaria y Transferencia de Tecnológica</t>
  </si>
  <si>
    <t>Formular e implementar proyectos integrales de Desarrollo Tecnológico y/o agroindustriales, mediante la
dotación de maquinaria y equipo, que permitan el incremento de la productividad y competitividad agropecuaria
sostenible, el ajuste, fortalecimiento y la articulación interinstitucional pública, privada y académica, en
cuanto a la operativización de las competencias de extensión agropecuaria y asistencia técnica
agroindustrial, así como el fomento al crédito, a la infraestructura productiva y al mejoramiento continuo
de la calidad de vida de los empresarios rurales.
Estructurar y ejecutar proyectos integrales agropecuarios de seguridad y soberanía alimentaria, mediante el
acompañamiento técnico a los productores en la producción primaria (Implementación de procesos y
procedimientos de Acompañamiento y Transferencia de Tecnología, Financiación logística y de Insumos,
reconversión productiva, normalización de la calidad de sus productos e infraestructura productiva y de
servicios), gestionando el desarrollo y fortalecimiento de capacidades y habilidades técnicas, mediante
transferencia de innovaciones tecnológicas y provisión de metodologías de extensión rural (PDEA y PGAT
municipal) a los productores, teniendo en cuenta los estudios básicos (suelos, agua, nutrición, sanidad,
genética, procesos, productos y medio ambiente), que consolide un nuevo liderazgo empresarial, la
asociatividad, las alianzas estratégicas, las cadenas productivas y la cooperación técnica
Apoyar el servicio de acceso a maquinaria y equipos
Apoyar el servicio al fomento organizativo de la Agricultura Campesina, Familiar y Comunitaria
Formular e implementar programas y proyectos integrales de agroindustria, que permitan el incremento de la
productividad y competitividad agropecuaria sostenible, el ajuste, fortalecimiento y la articulación
interinstitucional pública, privada y académica, en cuanto a la operativización de las competencias de
investigación, educación, extensión y asistencia técnica agroindustrial, así como el fomento al crédito, a la
infraestructura productiva y al mejoramiento continuo de la calidad de vida de los empresarios rurales
Apoyar el servicio de acompañamiento productivo y empresarial
Estructurar y ejecutar proyectos integrales agropecuarios que promuevan el acceso a los servicios de
financiamiento y a la gestión de riesgos naturales y de mercado del sector agropecuario y rural., mediante el
acompañamiento técnico a los productores en gestión interinstitucional para la prevención y mitigación de
riesgos naturales que afecten la producción primaria, la agroindustria y la comercialización agropecuaria.
Servicio de apoyo a la implementación de mecanismos y herramientas para el conocimiento, reducción y
manejo de riesgos agropecuarios</t>
  </si>
  <si>
    <t>Servicio de acompañamiento productivo y empresarial</t>
  </si>
  <si>
    <t>Unidades productivas beneficiadas</t>
  </si>
  <si>
    <t>Servicio de apoyo en la formulación y estructuración de proyectos</t>
  </si>
  <si>
    <t>Proyectos estructurados</t>
  </si>
  <si>
    <t>0312 - 5 - 1 2 13 4 15 - 20
0312 - 5 - 1 2 13 4 15 - 88
0312 - 5 - 1 2 13 10 15 - 20
0312 - 5 - 1 2 13 10 15 - 88</t>
  </si>
  <si>
    <t>202000363-0015</t>
  </si>
  <si>
    <t xml:space="preserve">Implementación de procesos de agro industrialización con calidad e inocuidad en el Departamento del Quindio </t>
  </si>
  <si>
    <t>Formular e implementar programas y proyectos integrales de agroindustria, que permitan el incremento de la productividad y competitividad
agropecuaria sostenible</t>
  </si>
  <si>
    <t xml:space="preserve">Apoyar procesos de Formulación y estructuración de proyectos
Mejorar el apoyo en la formulación y estructuración de proyecto
Mejorar los centros logísticos agropecuarios
adecuadar Centros logísticos agropecuarios
Mejorar la Infraestructura de pos cosecha
adecuar Infraestructura de pos cosecha
Fortalecer y adecuar trapiches paneleros,
Ejecutar la puesta en marcha de servicios de Trapiches paneleros
</t>
  </si>
  <si>
    <t>Servicios financieros y gestión del riesgo para las actividades agropecuarias y rurales. "Tú y yo con un campo protegido"</t>
  </si>
  <si>
    <t>Servicio de apoyo a la implementación de mecanismos y herramientas para el conocimiento, reducción y manejo de riesgos agropecuarios</t>
  </si>
  <si>
    <t>Personas beneficiadas</t>
  </si>
  <si>
    <t>Implementación de procesos productivos agropecuarios familiares campesinos en busca de la soberanía y seguridad alimentaria.</t>
  </si>
  <si>
    <t>Ordenamiento social y uso productivo del territorio rural. "Tú y yo con un campo planificado"</t>
  </si>
  <si>
    <t>Documentos de lineamientos técnicos</t>
  </si>
  <si>
    <t>Documentos de lineamientos para el ordenamiento social y productivo elaborados</t>
  </si>
  <si>
    <t>0312 - 5 - 1 2 13 6 16 - 20
0312 - 5 - 1 2 13 6 16 - 88</t>
  </si>
  <si>
    <t>202000363-0016</t>
  </si>
  <si>
    <t>Implementación de procesos de ordenamiento productivo y social territorial</t>
  </si>
  <si>
    <t xml:space="preserve">Formular e implementar procesos agropecuarios integrales, sostenibles, de reconversión productiva acordes con la aptitud, vocación y
formalización de la propiedad rural ajutados a los lineamientos del Plan de Ordenamiento Productivo y Social </t>
  </si>
  <si>
    <t>Formular e implementar el Plan de Ordenamiento Productivo Y Social De La Propiedad Rural (POPSPR)
Elaborar documentos de lineamientos técnicos en calidad ambiental de las áreas urbanas
Formular e implementar programas y proyectos agropecuarios integrales, sostenibles, de reconversión
productiva
Ejecutar servicios de apoyo para el fomento de la formalidad</t>
  </si>
  <si>
    <t>Servicio de apoyo para el fomento de la formalidad</t>
  </si>
  <si>
    <t xml:space="preserve">Personas sensibilizadas en la formalización </t>
  </si>
  <si>
    <t>Aprovechamiento de mercados externos. "Tú y yo a los mercados internacionales"</t>
  </si>
  <si>
    <t>Servicio de apoyo financiero para la participación en Ferias nacionales e internacionales</t>
  </si>
  <si>
    <t>Participaciones en ferias nacionales e internacionales</t>
  </si>
  <si>
    <t>Sanidad agropecuaria e inocuidad agroalimentaria. "Tú y yo con un agro saludable"</t>
  </si>
  <si>
    <t>Servicio de divulgación y socialización</t>
  </si>
  <si>
    <t>Eventos realizados</t>
  </si>
  <si>
    <t>Implementación de procesos de extensión agropecuaria e inocuidad (estatus sanitario, BPA, BPG) alimentaria.</t>
  </si>
  <si>
    <t>Ciencia, tecnología e innovación agropecuaria. "Tú y yo con un agro interconectado"</t>
  </si>
  <si>
    <t>Documentos de lineamientos técnicos elaborados</t>
  </si>
  <si>
    <t>0312 - 5 - 1 2 13 9 17 - 20
0312 - 5 - 1 2 13 9 17 - 88</t>
  </si>
  <si>
    <t>202000363-0017</t>
  </si>
  <si>
    <t xml:space="preserve">Implementación de procesos de innovación, ciencia y tecnología agropecuario en el Departamento del Quindio </t>
  </si>
  <si>
    <t>Formular e implementar programas y proyectos integrales agropecuarios sostenibles, de Coordinación interinstitucional en investigación,
transferencia y adopción de tecnologías, que permitan proyectar la educación, la ciencia, la tecnología</t>
  </si>
  <si>
    <t>Mejorar los procesos de planificación integrales de Desarrollo Tecnológico, agropecurios y agroindustriales y
de desarrollo rural integral
Elaborar documentos de lineamientos técnicos</t>
  </si>
  <si>
    <t>Centros logísticos agropecuarios adecuados</t>
  </si>
  <si>
    <t>Implementación de procesos de agro industrialización con calidad e inocuidad en el Departamento del Quindío.</t>
  </si>
  <si>
    <t>Infraestructura de pos cosecha adecuada</t>
  </si>
  <si>
    <t>Servicio de asistencia técnica para emprendedores y/o empresas en edad temprana</t>
  </si>
  <si>
    <t xml:space="preserve">Necesidades empresariales atendidas a partir de emprendimientos </t>
  </si>
  <si>
    <t xml:space="preserve">Recurso Ordinario (20)
</t>
  </si>
  <si>
    <t>Servicio de asistencia técnica para el desarrollo de iniciativas clústeres</t>
  </si>
  <si>
    <t>Fortalecimiento del desempeño ambiental de los sectores productivos. "Tú y yo guardianes de la biodiversidad".</t>
  </si>
  <si>
    <t>Documentos de lineamientos técnicos para mejorar la calidad ambiental de las áreas urbanas</t>
  </si>
  <si>
    <t>Documentos de lineamientos técnicos para para mejorar la calidad ambiental de las áreas urbanas elaborados</t>
  </si>
  <si>
    <t>0312 - 5 - 1 3 10 20 18 - 88</t>
  </si>
  <si>
    <t>202000363-0018</t>
  </si>
  <si>
    <t xml:space="preserve">Fortalecimiento de los procesos de Gestión Ambiental Urbana y Rural para la protección del Paisaje y la Biodiversidad en el Departamento del Quindio </t>
  </si>
  <si>
    <t>Promover estrategias para garantizar la conservación, protección, recuperación y gestión sostenible de la estructura ecológica del
Departamento, con énfasis en la conservación y uso del recurso hídrico y la biodiversidad</t>
  </si>
  <si>
    <t>Elaborar lineamientos técnicos para el mejoramiento de la calidad ambiental en áreas urbanas.
Determinar lineamientos técnicos en calidad ambiental de las áreas urbanas</t>
  </si>
  <si>
    <t>Servicio apoyo financiero para la implementación de esquemas de pago por Servicio ambientales</t>
  </si>
  <si>
    <t xml:space="preserve">Esquemas de Pago por Servicio ambientales implementados </t>
  </si>
  <si>
    <t>0312 - 5 - 1 3 10 21 67 - 20
0312 - 5 - 1 3 10 21 67 - 88
0312 - 5 - 3 1 1 1 2 10 67 - 20</t>
  </si>
  <si>
    <t>201663000-0067</t>
  </si>
  <si>
    <t>Gestón integral de cuencas hidrográficas en el Departamento del Quindío.</t>
  </si>
  <si>
    <t>Mantener  de la oferta hídrica promedio anual  de las Unidades de Manejo de Cuenca (UMC) del departamento del Quindío.</t>
  </si>
  <si>
    <t>Realizar y coordinar acciones de  recuperación y mantenimiento del recursos hídrico.</t>
  </si>
  <si>
    <t>MIGEL ANGEL MEJIA</t>
  </si>
  <si>
    <t>Servicio de recuperación de cuerpos de agua lénticos y lóticos</t>
  </si>
  <si>
    <t>Bosque ripario recuperado</t>
  </si>
  <si>
    <t>0312 - 5 - 1 3 10 21 68 - 20
0312 - 5 - 1 3 10 21 68 - 88
0312 - 5 - 3 1 1 1 3 10 68 - 20</t>
  </si>
  <si>
    <t>201663000-0068</t>
  </si>
  <si>
    <t>Aplicación de mecanismos de protección ambiental en el Departamento del Quindío.</t>
  </si>
  <si>
    <t xml:space="preserve">Mantener  de la oferta hídrica promedio anual  de las Unidades de Manejo de Cuenca (UMC) del departamento del Quindío 
</t>
  </si>
  <si>
    <t>Potencializar  el Sistema Departamental y municipal de áreas protegidas.</t>
  </si>
  <si>
    <t>MIGUEL ANGEL MEJIA</t>
  </si>
  <si>
    <t>PEND DNP</t>
  </si>
  <si>
    <t>Adquisición, Mantenimiento y Administración de áreas de importancia estrategica para la conservación y regulación del recurso hidríco.</t>
  </si>
  <si>
    <t xml:space="preserve">Numero de Hectáreas intervenidas </t>
  </si>
  <si>
    <t xml:space="preserve">Estrategia  Departamental para la protección y bienestar de los animales domésticos y silvestres del Departamento </t>
  </si>
  <si>
    <t>Estrategia  para la protección y bienestar de los animales domésticos y silvestres adoptada</t>
  </si>
  <si>
    <t>0312 - 5 - 1 3 10 21 19 - 88</t>
  </si>
  <si>
    <t>202000363-0019</t>
  </si>
  <si>
    <t>Apoyo a la generación de entornos  amigables para nuestros animales en el departamento del Quindío.</t>
  </si>
  <si>
    <t>Implementar estrategias Departamentales para la protección y bienestar de los animales domésticos y silvestres</t>
  </si>
  <si>
    <t>Fortalecer el acompañamiento Departamental en Campañas para la fauna silvestre y Domestica
Apoyar en asesoria y asistencia técnica en la formulación, estructuración e implementación de Estrategia para
la protección y bienestar de los animales domésticos y silvestres</t>
  </si>
  <si>
    <t>Realizar  campaña  de sensibilización y apropiación del patrimonio ambiental en el departamento</t>
  </si>
  <si>
    <t>Campaña  de sensibilización y apropiación del patrimonio ambiental realizada</t>
  </si>
  <si>
    <t>0312 - 5 - 1 3 10 21 69 - 20
0312 - 5 - 1 3 10 21 69 - 88
0312 - 5 - 1 3 10 23 69 - 20
0312 - 5 - 1 3 10 23 69 - 88
0312 - 5 - 3 1 1 1 3 10 69 - 20</t>
  </si>
  <si>
    <t>201663000-0069</t>
  </si>
  <si>
    <t>Fortalecimiento  y potencialización de los servicios ecosistemicos en el Departamento del Quindío.</t>
  </si>
  <si>
    <t xml:space="preserve">Disminuir en la presión por cargas contaminantes, medida por el Índice de Alteración Potencial de la Calidad del Agua </t>
  </si>
  <si>
    <t xml:space="preserve">Mejorar en la calidad del agua en los sistemas hídricos  </t>
  </si>
  <si>
    <t>Gestión de la información y el conocimiento ambiental. "Tú y yo conscientes con la naturaleza"</t>
  </si>
  <si>
    <t>Servicio de apoyo financiero a emprendimientos</t>
  </si>
  <si>
    <t xml:space="preserve">Emprendimientos apoyados </t>
  </si>
  <si>
    <t>0312 - 5 - 1 3 10 22 20 - 88</t>
  </si>
  <si>
    <t>202000363-0020</t>
  </si>
  <si>
    <t xml:space="preserve">Apoyo a nuevos modelos de vida sostenibles, sustentables y efientes en el suelo rural y urbano en el Departamento del Quindío. </t>
  </si>
  <si>
    <t xml:space="preserve">Apoyar competencias administrativas, organizacionales, mercados, extensión, planes de negocio, coordinación interinstitucional en
proyectos con prácticas sostenibles asociadas a producción limpia, la agricultura orgánica y la ganadería sostenible.
</t>
  </si>
  <si>
    <t>Formular e implementar Proyectos integrales de emprendimientos verdes de las organizaciones de los
productores, mediante acciones de capacitación, acompañamiento, asesoría, y seguimiento en competencias
administrativas, organizacionales, mercados, planes de negocio, coordinación interinstitucional
Formular e implementar Proyectos para el fomento de la cultura de asociatividad, que permitan consolidar
procesos de autogestión, perspectiva de género, étnico y relevo generacional y sostenibilidad organizacional
Gestionar y fortalecer una red de Estaciones meteorológicas que permita a las instituciones del departamento
tener información en tiempo real sobre la variabilidad climática en el Quindío y generar una respuesta temprana
a los eventos que se presente en las diferentes áreas vulnerables.
Gestionar la articulación de la red de Estaciones meteorológicas agroambientales del Quindio, que permita tener
información sobre la variabilidad climática en el Quindío.</t>
  </si>
  <si>
    <t>Obras para estabilización de taludes</t>
  </si>
  <si>
    <t>Obras para estabilización de taludes realizadas</t>
  </si>
  <si>
    <t>Gestión del cambio climático para un desarrollo bajo en carbono y resiliente al clima. "Tú y yo preparados para el cambio climático"</t>
  </si>
  <si>
    <t>Servicio de producción de plántulas en viveros</t>
  </si>
  <si>
    <t>Plántulas producidas</t>
  </si>
  <si>
    <t>0312 - 5 - 1 3 10 24 21 - 88</t>
  </si>
  <si>
    <t>202000363-0021</t>
  </si>
  <si>
    <t>Implementación de acciones de Gestión del Cambio Climatico en el marco del PIGCC.</t>
  </si>
  <si>
    <t>Promover y desarrollar estrategias que garanticen la conservación, protección, recuperación y gestión sostenible de la estructura ecológica
del Departamento, con énfasis en la conservación y uso del recurso hídrico y la biodiversidad</t>
  </si>
  <si>
    <t>apoyar a las iniciativas de educación, restauracióny recuperación ecológica en diferentes áreas del
departamento.
Realizar actividades de servicio de producción de plántulas en viveros</t>
  </si>
  <si>
    <t>JULIO CÉSAR CORTÉS PULIDO</t>
  </si>
  <si>
    <t>Secretario de Agricultura, Desarrollo Rural y Medio Ambiente</t>
  </si>
  <si>
    <t>SEGUIMIENTO PLAN DE ACCIÓN ARMONIZADO
PROMOTORA DE VIVIENDA
JUNIO 30 DE 2020</t>
  </si>
  <si>
    <t xml:space="preserve">F-PLA-06   </t>
  </si>
  <si>
    <t>INCLUSION SOCIAL Y EQUIDAD</t>
  </si>
  <si>
    <t xml:space="preserve">Infraestructura  deportiva y/o recreativa con procesos   Constructivos ,  y/o Mejorados, y/o Ampliados, y/o Mantenidos, Y/o  Reforzados </t>
  </si>
  <si>
    <t xml:space="preserve">0211101_4
</t>
  </si>
  <si>
    <t>201663000-0171</t>
  </si>
  <si>
    <t xml:space="preserve">Apoyo en la formulación y ejecucion de proyectos de vivienda, infraestructura y equipamientos colectivos y comunitarios en el Departamento del Quindio </t>
  </si>
  <si>
    <t xml:space="preserve">Disminuir el porcentaje de personas en situación de pobreza en el Departamento del Quindio.
</t>
  </si>
  <si>
    <t>Desarrollo de Programas y Proyectos, en los componentes de vivienda, infraestructura, equipamiento colectivo y comunitario.</t>
  </si>
  <si>
    <t>Gerente</t>
  </si>
  <si>
    <t xml:space="preserve">Infraestructura  de Instituciones Educativas  con procesos   Constructivos ,  y/o Mejorados, y/o Ampliados, y/o Mantenidos, Y/o  Reforzados </t>
  </si>
  <si>
    <t>0211101_4
0211102_3</t>
  </si>
  <si>
    <t>Impuesto al Registro 6%</t>
  </si>
  <si>
    <t>Infraestructura   vial  con procesos  de construcción, mejoramiento, ampliación, mantenimiento y/o  Reforzamiento.</t>
  </si>
  <si>
    <t>Km de vías del departamento mantenidas, mejoradas y/o rehabilitadas</t>
  </si>
  <si>
    <t>0211102_3</t>
  </si>
  <si>
    <t xml:space="preserve">Infraestructura Institucional de Edificios Públicos de atención de servicios ciudadanos con procesos Costructivos, y/o Mejorados, y/o Ampliados, y/o Mantenidos y/o Reforzados </t>
  </si>
  <si>
    <t>4001001</t>
  </si>
  <si>
    <t xml:space="preserve">Servicio de asistencia técnica y jurídica en saneamiento y titulación de predios </t>
  </si>
  <si>
    <t>Entidades territoriales asistidas técnica y jurídicamente</t>
  </si>
  <si>
    <t>4001014</t>
  </si>
  <si>
    <t xml:space="preserve">Viviendas de Interés Prioritario urbanas costruidas </t>
  </si>
  <si>
    <t>Viviendas de Interés Prioritario urbanas construidas</t>
  </si>
  <si>
    <t>4001015</t>
  </si>
  <si>
    <t xml:space="preserve">Viviendas de Interés Prioritario urbanas mejoradas </t>
  </si>
  <si>
    <t>Viviendas de Interés Prioritario urbanas mejoradas</t>
  </si>
  <si>
    <t>4001030</t>
  </si>
  <si>
    <t>PABLO CESAR HERRERA CORREA</t>
  </si>
  <si>
    <t>Gerente Promotora de Vivienda y Desarrollo del Quindío</t>
  </si>
  <si>
    <t>SEGUIMIENTO PLAN DE ACCIÓN ARMONIZADO
SECRETARÍA DE SALUD
JUNIO 30 DE 2020</t>
  </si>
  <si>
    <t xml:space="preserve">Inspección, vigilancia y control. "Tú y yo con salud certificada" </t>
  </si>
  <si>
    <t xml:space="preserve">Implementación del modelo operativo de Inspección, Vigilancia y Control IVC sanitario en los municipios de competencia departamental. </t>
  </si>
  <si>
    <t xml:space="preserve">Modelo de IVC sanitario operando </t>
  </si>
  <si>
    <t>1803 - 5 - 1 1 2 11 132 - 61</t>
  </si>
  <si>
    <t>201663000-0132</t>
  </si>
  <si>
    <t>Aprovechamiento biológico y consumo de  alimentos idóneos  en el Departamento del Quindio</t>
  </si>
  <si>
    <t>Disminuir o mantener la proporción de niños menores de 5 años en riesgo de desnutrición moderada o severa aguda</t>
  </si>
  <si>
    <t>* Fortalecer la estrategia que determine el número de brotes de enfermedades transmitidas por alimentos (ETA)
* Cumplir con  el tiempo de la practica de la lactancia Materna exclusiva.
* Fortalecer la  atencion nutricional en poblaciones indigenas del departamento.</t>
  </si>
  <si>
    <r>
      <t xml:space="preserve"> </t>
    </r>
    <r>
      <rPr>
        <sz val="12"/>
        <color rgb="FF000000"/>
        <rFont val="Arial"/>
        <family val="2"/>
      </rPr>
      <t>SGP Salud Publica C.S.F</t>
    </r>
  </si>
  <si>
    <t>SGP Salud (61)</t>
  </si>
  <si>
    <t xml:space="preserve">Liliana Valdez mejía </t>
  </si>
  <si>
    <t>Secretaría de Salud</t>
  </si>
  <si>
    <t>Servicio de concepto sanitario</t>
  </si>
  <si>
    <t>Conceptos sanitarios expedidos</t>
  </si>
  <si>
    <t>1803 - 5 - 1 1 2 11 146 - 61
1803 - 5 - 1 1 2 11 146 - 63
1803 - 5 - 1 1 2 11 146 - 99
1803 - 5 - 3 1 3 12 43 2 146 - 61
1803 - 5 - 3 1 3 12 43 2 146 - 63</t>
  </si>
  <si>
    <t>201663000-0146</t>
  </si>
  <si>
    <t xml:space="preserve">Fortalecimiento de la autoridad sanitaria en el Departamento del Quindio </t>
  </si>
  <si>
    <t>Consolidar y desarrollar el sistema de vigilancia en salud pública integrado al sistema de vigilancia de control sanitario e inspección, vigilancia y control de S.G.S.S.S.</t>
  </si>
  <si>
    <t xml:space="preserve"> * Aumentar la cobertura en acciones de inspeccion vigilancia y control.
* Articular los sistemas de vigilancia relacionados al control sanitario</t>
  </si>
  <si>
    <t>61-63-99</t>
  </si>
  <si>
    <t xml:space="preserve">SGP Salud Publica C.S.F
Fondo de Estupefacientes
Superavit Fondo de Estuperfacientes
</t>
  </si>
  <si>
    <t>SGP Salud (61)
Fondo de Estuperfacientes (63)</t>
  </si>
  <si>
    <t>Servicio de asistencia técnica en inspección, vigilancia y control</t>
  </si>
  <si>
    <t>Asistencias técnica en Inspección, Vigilancia y Control realizadas</t>
  </si>
  <si>
    <t>Realizar la vigilancia epidemiológica de plaguicidas en el marco del programa veo (vigilancia epidemiológica de organofosforados y carba matos) en los municipios de competencia departamental.</t>
  </si>
  <si>
    <t>Municipios con procesos de vigilancia epidemiológica de plaguicidas organofosforados y carbamatos realizados.</t>
  </si>
  <si>
    <t xml:space="preserve">Realizar inspección vigilancia y control de las condiciones de seguridad,  higiénico sanitarias y ambientales a los objetos de interés comercial, tales que manejen sustancias químicas y residuos peligrosos con riesgo biológico, incluyendo los objetos de interés en saneamiento básico, </t>
  </si>
  <si>
    <t xml:space="preserve">Realizar vigilancia epidemiológica de plaguicidas en el marco del programa VEO con la toma de muestras de Acetilcolinesterasa en sangre a los individuos expuestos a plaguicidas  Organofosforados y Carbamatos.
</t>
  </si>
  <si>
    <t>Análisis y seguimiento al comportamiento de los eventos por intoxicaciones de sustancias químicas  ( metales, plaguicidas, solventes , otras sustancias  y gases) generada por el Sistema de Vigilancia y fuentes externas. realizando  asistencia técnica  a los actores de vigilancia en salud publica  en el departamento.</t>
  </si>
  <si>
    <t xml:space="preserve">Realizar asistencia técnica  para el fortalecimiento de capacidades del personal en salud (médicos y enfermeras del área de urgencias ) en la IPS Públicas y privadas,  en métodos de diagnóstico para la atención de pacientes con intoxicaciones químicas. </t>
  </si>
  <si>
    <t>Servicio de promoción, prevención, vigilancia y control de vectores y zoonosis</t>
  </si>
  <si>
    <t>Municipios categorías 4, 5 y 6 que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</si>
  <si>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</si>
  <si>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</si>
  <si>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Servicio de inspección, vigilancia y control</t>
  </si>
  <si>
    <t>visitas realizadas</t>
  </si>
  <si>
    <t xml:space="preserve">Informes de los resultados obtenidos en la vigilancia sanitaria </t>
  </si>
  <si>
    <t>Documentos técnicos publicados y/o socializados</t>
  </si>
  <si>
    <t>1803 - 5 - 1 1 2 11 148 - 61
1803 - 5 - 3 1 3 12 44 2 148 - 61</t>
  </si>
  <si>
    <t>201663000-0148</t>
  </si>
  <si>
    <t>Implementación de programas de promoción social en poblaciones  especiales en el Departamento del Quindío.</t>
  </si>
  <si>
    <t>Fortalecer la gestión intersectorial en salud de los grupos con alta vulnerabilidad</t>
  </si>
  <si>
    <t xml:space="preserve">*Garantizar el acceso en la prestación de los servicios de salud.
*mplementar programas de participación social que garanticen los derechos de los grupos vulnerables.
*Consolidar los programas de atención a la primera infancia.
*Fortalecer atención integral a poblaciones vulnerables </t>
  </si>
  <si>
    <t>Servicio de adopción y seguimiento de acciones y medidas especiales</t>
  </si>
  <si>
    <t>Acciones y medidas especiales ejecutadas</t>
  </si>
  <si>
    <t>Servicio de análisis de laboratorio</t>
  </si>
  <si>
    <t>Análisis realizados</t>
  </si>
  <si>
    <t>1803 - 5 - 1 1 2 11 151 - 170
1803 - 5 - 1 1 2 11 151 - 61
1803 - 5 - 1 1 2 11 151 - 98
1803 - 5 - 3 1 3 12 46 2 151 - 61</t>
  </si>
  <si>
    <t>201663000-0151</t>
  </si>
  <si>
    <t xml:space="preserve">Fortalecimiento de las actividades de vigilancia y control del laboratorio de salud pública en el Departamento del Quindio </t>
  </si>
  <si>
    <t>Mejorar la capacidad analítica del LSP Departamental  para dar respuesta  a las necesidades del Sistema de Vigilancia en Salud Pública</t>
  </si>
  <si>
    <t>*Garantizar equipos e insumos medios y reactivos para la realización  de los análisis normados.
*Optimizar los procesos contractuales desde el LSP y  la DTS.
*Adecuar infraestructura que de cumplimiento para el buen  funcionamiento del LSP</t>
  </si>
  <si>
    <t>170-61-98</t>
  </si>
  <si>
    <t xml:space="preserve">Resolución 626 De 2020 Covid-19 SGP
SGP Salud Publica C.S.F
Superávit SGP Salud Publica
</t>
  </si>
  <si>
    <t>Servicio de auditoría y visitas inspectivas</t>
  </si>
  <si>
    <t>Auditorías y visitas inspectivas realizadas</t>
  </si>
  <si>
    <t>Servicio de información de vigilancia epidemiológica</t>
  </si>
  <si>
    <t>Informes de evento generados en la vigencia</t>
  </si>
  <si>
    <t>1803 - 5 - 1 1 2 11 152 - 170
1803 - 5 - 1 1 2 11 152 - 61
1803 - 5 - 3 1 3 12 46 2 152 - 61</t>
  </si>
  <si>
    <t>201663000-0152</t>
  </si>
  <si>
    <t>Fortalecimiento del sistema de vigilancia en salud pública en el Departamento del Quindío.</t>
  </si>
  <si>
    <t>Aumentar los índices de cumplimiento en los indicadores de calidad, cobertura y  oportunidad del sistema de vigilancia en salud publica departamental</t>
  </si>
  <si>
    <t xml:space="preserve">*Aumentar la participación comunitaria en acciones ineherentes al sistema de vigilancia en salud publica.
*Fortalecer  la capacidad instalada en los niveles institucionales y municipales frente al desarrollo de los procesos de Vigilancia en Salud Pública </t>
  </si>
  <si>
    <t>170-61</t>
  </si>
  <si>
    <t xml:space="preserve">Resolución 626 De 2020 Covid-19 SGP
SGP Salud Publica C.S.F
</t>
  </si>
  <si>
    <t>Asistencias técnicas realizadas</t>
  </si>
  <si>
    <t>0318 - 5 - 1 1 2 11 155 - 88
0318 - 5 - 3 1 3 14 51 2 155 - 20</t>
  </si>
  <si>
    <t>201663000-0155</t>
  </si>
  <si>
    <t xml:space="preserve">Asistencia técnica para el fortalecimiento de la gestión de las entidades territoriales del Departamento del Quindio </t>
  </si>
  <si>
    <t xml:space="preserve">Apoyar los proceso de articulacion y competencias territoriarles en el SGSS
</t>
  </si>
  <si>
    <t xml:space="preserve"> *Fortalecer los procesos de financiacion a los municpios para ejercer procesos de afiliacion y atencion al SGSS.
*Capacitar en los procesos de gestion tecnica en salud.
*Realizar asistencia técnica en la construcción y ejecución del plan bienal de inversiones, a catorce (14) Empresas sociales del estado (ESE) del departamento.</t>
  </si>
  <si>
    <t xml:space="preserve">Recurso Ordinario 
Superávit Recurso Ordinario 
</t>
  </si>
  <si>
    <t xml:space="preserve">Liz Belkca Castro Jaramillo </t>
  </si>
  <si>
    <t>Servicio de información para la gestión de la inspección, vigilancia y control sanitario</t>
  </si>
  <si>
    <t>Usuarios del sistema</t>
  </si>
  <si>
    <t xml:space="preserve">0318 - 5 - 3 1 3 14 53 2 158 - 20
0318 - 5 - 1 1 2 11 158 - 88
</t>
  </si>
  <si>
    <t>201663000-0158</t>
  </si>
  <si>
    <t>Apoyo al proceso del sistema obligatorio de garantía de calidad a los prestadores de salud en el Departamento del Quindio.</t>
  </si>
  <si>
    <t xml:space="preserve">Asegurar la implementacion y seguimiento del  PAMEC y cumplimiento de la totalidad de los estandeares de Habilitacion de acuerdo al nivel de complejidad.
</t>
  </si>
  <si>
    <t xml:space="preserve">*Fortalecer los procesos de implementacion, auditoria y seguimiento. 
*Asegurar la totalidad de los estandares establecidos en el sistema de habilitacion . 
*Garantizar eficiencia en el establecimiento de los indicadores de seguimiento a riesgo 
              </t>
  </si>
  <si>
    <t>Servicio de certificaciones en buenas practicas</t>
  </si>
  <si>
    <t>Certificaciones expedidas</t>
  </si>
  <si>
    <t>Servicios de comunicación y divulgación en inspección, vigilancia y control</t>
  </si>
  <si>
    <t>Eventos de rendición de cuentas realizados</t>
  </si>
  <si>
    <t>1804 - 5 - 1 1 2 11 160 - 72
1804 - 5 - 3 1 3 15 55 2 160 - 72</t>
  </si>
  <si>
    <t>201663000-0160</t>
  </si>
  <si>
    <t>Apoyo Operativo a la inversión social en salud en el Departamento del Quindio</t>
  </si>
  <si>
    <t xml:space="preserve">Incrementar el porcentaje de apoyo de la dirección estratégica en los procesos administrativos y misionales de la secretaria de salud
</t>
  </si>
  <si>
    <t xml:space="preserve">*Fortaleza en la planificacion, seguimiento y evaluacion de objetivos de S.D.S.
*Garantizar eficiencia en el establecimiento de los indicadores de seguimiento a riesgo </t>
  </si>
  <si>
    <t>72</t>
  </si>
  <si>
    <t xml:space="preserve">Rentas Cedidas Subcuenta Otros Gastos en Salud     </t>
  </si>
  <si>
    <t>Rentas Cedidas Subcuenta Otros Gastos en Salud  (72)</t>
  </si>
  <si>
    <t xml:space="preserve">Isabel Solarte </t>
  </si>
  <si>
    <t>Servicio del ejercicio del procedimiento administrativo sancionatorio</t>
  </si>
  <si>
    <t xml:space="preserve">Procesos con aplicación del procedimiento administrativo sancionatorio tramitados </t>
  </si>
  <si>
    <t>Servicio de gestión de peticiones, quejas, reclamos y denuncias</t>
  </si>
  <si>
    <t>Preguntas Quejas Reclamos y Denuncias Gestionadas</t>
  </si>
  <si>
    <t>Servicio de implementación de estrategias para el fortalecimiento del control social en salud</t>
  </si>
  <si>
    <t>Estrategias para el fortalecimiento del control social en salud implementadas</t>
  </si>
  <si>
    <t xml:space="preserve">Salud Pública. "Tú y yo con salud de calidad" </t>
  </si>
  <si>
    <t>Servicio de gestión del riesgo para temas de consumo, aprovechamiento biológico, calidad e inocuidad de los alimentos.</t>
  </si>
  <si>
    <t>Campañas de gestión del riesgo para temas de consumo, aprovechamiento biológico, calidad e inocuidad de los alimentos implementadas</t>
  </si>
  <si>
    <t>1803 - 5 - 1 1 2 12 132 - 61
1803 - 5 - 3 1 3 11 35 2 132 - 61</t>
  </si>
  <si>
    <t>Aprovechamiento biológico y consumo de  alimentos idóneos  en el Departamento del Quindío</t>
  </si>
  <si>
    <t xml:space="preserve">Disminuir o mantener la proporción de niños menores de 5 años en riesgo de desnutrición moderada o severa aguda
</t>
  </si>
  <si>
    <t xml:space="preserve">*Fortalecer la estrategia que determine el número de brotes de enfermedades transmitidas por alimentos (ETA).
*Cumplir con  el tiempo de la practica de la lactancia Materna exclusiva
*Fortalecer la  atencion nutricional en poblaciones indigenas del departamento.
</t>
  </si>
  <si>
    <t>Servicios de promoción de la salud y prevención de riesgos asociados a condiciones no transmisibles</t>
  </si>
  <si>
    <t>Campañas de promoción de la salud y prevención de riesgos asociados a condiciones no transmisibles implementadas</t>
  </si>
  <si>
    <t xml:space="preserve">Servicio de educación informal en temas de salud pública </t>
  </si>
  <si>
    <t>1803 - 5 - 1 1 2 12 133 - 61
1803 - 5 - 3 1 3 12 36 2 133 - 61</t>
  </si>
  <si>
    <t>201663000-0133</t>
  </si>
  <si>
    <t>Control Salud Ambiental Departamento del Quindío.</t>
  </si>
  <si>
    <t>Disminuir  los factores de riesgo sanitarios y ambientales asociados a eventos de interés en salud pública relacionados con la salud ambiental como el aumento de la carga contaminante del agua, entre otros.</t>
  </si>
  <si>
    <t xml:space="preserve">*Adoptar e implementar en el departamento de la  Política integral de salud ambiental PISA reglamentada 
*Fortalecer la gestion intersectorial en el cumplimiento de la normatividad relacionada con la elaboracion de mapas de riesgo </t>
  </si>
  <si>
    <t>61</t>
  </si>
  <si>
    <t xml:space="preserve"> SGP Salud Publica C.S.F</t>
  </si>
  <si>
    <t xml:space="preserve">Realizar seguimiento y Monitoreo a las Entidades Administradoras de Planes Básicos EAPB en la implementación de la Ruta Integral de Atención para la Promoción y Mantenimiento de la Salud y Materno Perinatal en el Departamento  </t>
  </si>
  <si>
    <t>Entidades Administradoras de Planes Básicos EAPB con Rutas de obligatorio cumplimiento Implementadas</t>
  </si>
  <si>
    <t>Formular   el plan de fortalecimiento de capacidades   en salud ambiental    en coordinación con el Consejo Territorial de salud Ambiental COTSA</t>
  </si>
  <si>
    <t>Plan de fortalecimiento de capacidades   en salud ambiental formulado e implementado</t>
  </si>
  <si>
    <t>Implementar el protocolo de vigilancia sanitaria y ambiental de los efectos en salud relacionados con la contaminación del aire en los 11 municipios de competencia departamental.</t>
  </si>
  <si>
    <t>Protocolo implementado</t>
  </si>
  <si>
    <t>Formulación e implementación del plan departamental en salud Ambiental de adaptación al cambio climático.</t>
  </si>
  <si>
    <t xml:space="preserve">Plan departamental en salud Ambiental de adaptación al cambio climático implementado </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</si>
  <si>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</si>
  <si>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</si>
  <si>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</si>
  <si>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</si>
  <si>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1803 - 5 - 1 1 2 12 134 - 61</t>
  </si>
  <si>
    <t>201663000-0134</t>
  </si>
  <si>
    <t>Fortalecimiento de acciones de intervención inherentes a los derechos sexuales y reproductivos  en el Departamento del Quindio.</t>
  </si>
  <si>
    <t xml:space="preserve">Disminuir de los eventos de interés en salud pública relacionados con la salud sexual y reproductiva en especial de la mortalidad materna  </t>
  </si>
  <si>
    <t xml:space="preserve">*Garantizar la  atención integral a la población en salud sexual y reproductiva.
*Implementar programa del  control prenatal antes de la semana 12 de la edad gestacional </t>
  </si>
  <si>
    <t>Servicio de gestión del riesgo en temas de consumo de sustancias psicoactivas</t>
  </si>
  <si>
    <t>Campañas de gestión del riesgo en temas de consumo de sustancias psicoactivas implementadas</t>
  </si>
  <si>
    <t>1803 - 5 - 1 1 2 12 135 - 61
1803 - 5 - 3 1 3 12 38 2 135 - 61</t>
  </si>
  <si>
    <t>201663000-0135</t>
  </si>
  <si>
    <t>Fortalecimiento, promoción de la salud y prevención primaria en salud mental en el Departamento del Quindío.</t>
  </si>
  <si>
    <t>Disminuir la morbimortalidad asociada a la salud mental principalmente de la violencia intrafamiliar</t>
  </si>
  <si>
    <t>*Implementar los lineamientos  del Ministerio de Salud y Protección Social frente a la ajustes e implementación de política y el plan nacional de salud mental
*Establecer lineamientos de planificación en la Atención primaria en Salud Mental (APS) en todos los municipios Quindiano.
*Articular las políticas públicas de reducción de la oferta y reducción de la demanda de sustancias psicoactivas licitas e ilícitas.</t>
  </si>
  <si>
    <t xml:space="preserve"> SGP Salud Publica C.S.F
 </t>
  </si>
  <si>
    <t>Adaptar e implementar la Política Pública de Salud Mental para el Departamento del Quindío</t>
  </si>
  <si>
    <t xml:space="preserve">Política pública en Salud Mental adaptada e Implementada  </t>
  </si>
  <si>
    <t>Servicio de gestión del riesgo para abordar condiciones crónicas prevalentes</t>
  </si>
  <si>
    <t>Campañas de gestión del riesgo para abordar condiciones crónicas prevalentes implementadas</t>
  </si>
  <si>
    <t>1803 - 5 - 1 1 2 12 138 - 61
1803 - 5 - 3 1 3 12 39 2 138 - 61</t>
  </si>
  <si>
    <t>201663000-0138</t>
  </si>
  <si>
    <t xml:space="preserve">Control y vigilancia en las acciones de condiciones no transmisibles y promoción de estilos de vida saludable en el Quindio  </t>
  </si>
  <si>
    <t>Disminuir la carga de la enfermedad asociada a las enfermedades crónicas no trasmisibles</t>
  </si>
  <si>
    <t>*Realizar campañas  de promoción y prevención que orienten la adopción de estilos de vida saludable
*Articular estrategias interinstitucionales que garanticen la integralidad en la atención de los usuarios
*Adoptar guías y protocolos de atención de las enfermedades crónicas no transmisibles por parte de las EPS e IPS</t>
  </si>
  <si>
    <t>Cuartos fríos adecuados</t>
  </si>
  <si>
    <t>1803 - 5 - 1 1 2 12 139 - 61
1803 - 5 - 3 1 3 12 40 2 139 - 61</t>
  </si>
  <si>
    <t>201663000-0139</t>
  </si>
  <si>
    <t>Fortalecimiento de las acciones de la prevención y protección en la población infantil en el Departamento del Quindío</t>
  </si>
  <si>
    <t>Reducir la exposición a condiciones y factores de riesgo ambientales, sanitarios y biológicos, de las contingencias y daños producidos por las enfermedades transmisibles</t>
  </si>
  <si>
    <t xml:space="preserve">*Fortalecimiento de la red de frío del Programa ampliado de inmunización (PAI).
*Fortalecimiento de los protocolos para la prevenciÓn y control de las enfermedades transmisibles
</t>
  </si>
  <si>
    <t>SGP Salud Publica C.S.F</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</si>
  <si>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</si>
  <si>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</si>
  <si>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</si>
  <si>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</si>
  <si>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0318 - 5 - 1 1 2 12 141 - 20
0318 - 5 - 1 1 2 12 141 - 88
0318 - 5 - 3 1 3 12 40 2 141 - 20
1803 - 5 - 1 1 2 12 141 - 102
1803 - 5 - 1 1 2 12 141 - 107
1803 - 5 - 1 1 2 12 141 - 111
1803 - 5 - 1 1 2 12 141 - 147
1803 - 5 - 1 1 2 12 141 - 161
1803 - 5 - 1 1 2 12 141 - 61
1803 - 5 - 3 1 3 12 40 2 141 - 111
1803 - 5 - 3 1 3 12 40 2 141 - 61</t>
  </si>
  <si>
    <t>201663000-0141</t>
  </si>
  <si>
    <t xml:space="preserve">Fortalecimiento de estrategia de gestión integral, vectores, cambio climático y zoonosis en el Departamento  del Quindío </t>
  </si>
  <si>
    <t xml:space="preserve">Disminuir el indice de enfermedades trasmision vectorial y zoonosis en la poblacion  
</t>
  </si>
  <si>
    <t xml:space="preserve">*Implementar estrategiaspara  la gestión integral para enfermedades de transmisión vectorial (EGI ETV) 
*Fortalecer acciones para aumentar coberturas útiles de vacunación antirrábica en animales (perros y gatos). 
</t>
  </si>
  <si>
    <t>SGP Salud (61)
Res. 781/15 Prev. y Control Enfermedades por vect  (111)
Recurso Ordinario (20)</t>
  </si>
  <si>
    <t>*Recurso Ordinario
*Superávit Recurso Ordinario</t>
  </si>
  <si>
    <t>111</t>
  </si>
  <si>
    <t xml:space="preserve">Res. 781/15 Prev. y Control Enfermedades por vect </t>
  </si>
  <si>
    <t>102
107
147
161</t>
  </si>
  <si>
    <t>*Superávit Cofinanciación Nacional Res. 3876/12 Dis
*Superávit Res 781/15 personal temporal ETV
*Superávit Res. 2311 De 2017
*Superávit Resoluciones vige. anter. Salud Publica</t>
  </si>
  <si>
    <t>1803 - 5 - 1 1 2 12 142 - 113
1803 - 5 - 1 1 2 12 142 - 114
1803 - 5 - 1 1 2 12 142 - 61
1803 - 5 - 3 1 3 12 40 2 142 - 61</t>
  </si>
  <si>
    <t>201663000-0142</t>
  </si>
  <si>
    <t xml:space="preserve">Fortalecimiento de la inclusión social para la disminución de riesgos de contraer enfermedades transmisibles  en el Departamento del Quindio </t>
  </si>
  <si>
    <t xml:space="preserve">Aumentar la adeherencia al tratamiento de los pacientes con diagnositico de tuberculosis 
</t>
  </si>
  <si>
    <t xml:space="preserve"> *Fortalecimiento de las capacidades del recurso humano
*Realizar campañas de prevención y atención integral en afectados por tuberculosis
*Coordinar acciones para la gestión intersectorial</t>
  </si>
  <si>
    <t>Servicio de gestión del riesgo para enfermedades emergentes, reemergentes y desatendidas.</t>
  </si>
  <si>
    <t>113-114</t>
  </si>
  <si>
    <t xml:space="preserve">Res. 1029/16 Camp y control Anti Tuberculosis Qdio
Res.1030/2016 Campaña control Lepra Quindio
</t>
  </si>
  <si>
    <t>0318 - 5 - 1 1 2 12 2 - 20
0318 - 5 - 3 1 3 12 40 2 177 - 20</t>
  </si>
  <si>
    <t>202000363-0002</t>
  </si>
  <si>
    <t>Tu y Yo Contra  - COVID</t>
  </si>
  <si>
    <t>Eficiente gestión integral del riesgo en eventos de interes en salud pública, ante la pandemia por COVID-19</t>
  </si>
  <si>
    <t>Disponer de una gran oferta de capacidad técnica y humana, que provea de habilidades resolutivas en cuidados intermedios, altos e intensivos, de la red hospitalaria publica departamental</t>
  </si>
  <si>
    <t>20</t>
  </si>
  <si>
    <t>Servicios de atención en salud pública en situaciones de emergencias y desastres</t>
  </si>
  <si>
    <t>Personas en capacidad de ser atendidas</t>
  </si>
  <si>
    <t>1803 - 5 - 1 1 2 12 143 - 61</t>
  </si>
  <si>
    <t>201663000-0143</t>
  </si>
  <si>
    <t>Prevención en emergencias y desastres de eventos relacionados con la salud pública en el Departamento del  Quindio</t>
  </si>
  <si>
    <t>Coordinar acccuiones para la gestión integral  del riesgo en  situaciones de emergencias y desastres  en las IPS y autoridad sanitaria del departamento</t>
  </si>
  <si>
    <t xml:space="preserve">*Actualizar planes de seguridad hospitalaria  en los hospitales de I y II nivel. 
*Operar el Plan de Emergencias en Salud en el Departamento </t>
  </si>
  <si>
    <t>Servicio de gestión del riesgo para abordar situaciones prevalentes de origen laboral</t>
  </si>
  <si>
    <t>Campañas de gestión del riesgo para abordar situaciones prevalentes de origen laboral implementadas</t>
  </si>
  <si>
    <t>1803 - 5 - 1 1 2 12 145 - 61
1803 - 5 - 3 1 3 12 42 2 145 - 61</t>
  </si>
  <si>
    <t>201663000-0145</t>
  </si>
  <si>
    <t xml:space="preserve"> Prevención vigilancia y control de eventos de origen laboral en el Departamento del Quindío.</t>
  </si>
  <si>
    <t xml:space="preserve">Disminuir los eventos de origen laboral en los trabajadores del sector formal del Departamentodel Quindio 
</t>
  </si>
  <si>
    <t xml:space="preserve">*Realizar campañas para el cumplimiento en la aplicacion de los deberes y derechos relacionados en el Sistema General de Riesgos Laborales tanto para empleadores como para trabajadores  
*Implementar controles de cumplimiento por parte de los empleadores en lo reglamentado en el Sistema general de Riesgos Laborales. </t>
  </si>
  <si>
    <t xml:space="preserve">Documentos de planeación en epidemiología y demografía elaborados </t>
  </si>
  <si>
    <t>1803 - 5 - 1 1 2 12 152 - 98</t>
  </si>
  <si>
    <t xml:space="preserve">*Fortalecer  la capacidad instalada en los niveles institucionales y municipales frente al desarrollo de los procesos de Vigilancia en Salud Pública </t>
  </si>
  <si>
    <t>98</t>
  </si>
  <si>
    <t>Superávit SGP Salud Publica</t>
  </si>
  <si>
    <t>Centros Reguladores de Urgencias, Emergencias y Desastres funcionando y dotados</t>
  </si>
  <si>
    <t>Centro Reguladores de Urgencias, Emergencias y Desastres dotados y funcionando</t>
  </si>
  <si>
    <t>0318 - 5 - 1 1 2 12 157 - 88
0318 - 5 - 3 1 3 14 52 2 157 - 20</t>
  </si>
  <si>
    <t>201663000-0157</t>
  </si>
  <si>
    <t xml:space="preserve">Fortalecimiento de la red de urgencias y emergencias en el Departamento del Quindio </t>
  </si>
  <si>
    <t>Fortalecimiento  en la integración de  la red hospitalaria  del departamento del  Quindío. Mediante la modernización del CRUE en el departamento del Quindío</t>
  </si>
  <si>
    <t>*Centralizar por medio del centro de regulación de urgencias y emergencias las atenciones que se puedan suscitar en el departamento 
*Estandarizar e implementar  los formatos de reporte entre los actores involucrados</t>
  </si>
  <si>
    <t>1803 - 5 - 1 1 2 12 150 - 61
1803 - 5 - 1 1 2 12 150 - 98
1803 - 5 - 3 1 3 12 45 2 150 - 61</t>
  </si>
  <si>
    <t>201663000-0150</t>
  </si>
  <si>
    <t xml:space="preserve">Asistencia atención a las personas y prioridades en salud pública en el  Departamento del Quindío- Plan de Intervenciones Colectivas PIC. </t>
  </si>
  <si>
    <t>Disminuir la morbimortalidad asociada  a la carga de la enfermedad por los determinantes sociales fortaleciendo  las acciones de complementariedad  a los municipios</t>
  </si>
  <si>
    <t>Mejorar los procesos de implementación de las actividades colectivas</t>
  </si>
  <si>
    <t>61-98</t>
  </si>
  <si>
    <t xml:space="preserve">SGP Salud Publica C.S.F
Superávit SGP Salud Publica
</t>
  </si>
  <si>
    <t>Servicio de promoción de afiliaciones al régimen contributivo del Sistema General de Seguridad Social de las personas con capacidad de pago</t>
  </si>
  <si>
    <t>Personas con capacidad de pago afiliadas</t>
  </si>
  <si>
    <t>201663000-0153</t>
  </si>
  <si>
    <t>Subsidio afiliación al régimen subsidiado del Sistema General de Seguridad Social en Salud en el Departamento del Quindío.</t>
  </si>
  <si>
    <t xml:space="preserve">Mejorar  la cobertura  universal en  aseguramiento  al sistema de atención integral y suficiencia de recursos para la población del Departamento del Quindío
</t>
  </si>
  <si>
    <t xml:space="preserve">*Mejorar los procesos de identificación de la población no sisbenizada y no afiliada.
* Gestionar  recursos para cofinanciación de la afialicon  mpo y lugares de afiliación
* Aumentar la asistencia técnica a 12 Municipios del departamento,  en los procesos del régimen subsidiado
</t>
  </si>
  <si>
    <t>Adres SSF (154)
Recurso Ordinarios (20)</t>
  </si>
  <si>
    <t>Servicio de cofinanciación para la continuidad del  régimen subsidiado en salud en 11 municipios del departamento</t>
  </si>
  <si>
    <t>Personas afiliadas</t>
  </si>
  <si>
    <t xml:space="preserve">
1801 - 5 - 1 1 2 13 153 - 154
1801 - 5 - 1 1 2 13 153 - 96
1801 - 5 - 3 1 3 13 48 2 153 - 154</t>
  </si>
  <si>
    <t>154
96</t>
  </si>
  <si>
    <t xml:space="preserve">*ADRES Sin Situación de Fondos
*Superávit Rentas Cedidas Salud
</t>
  </si>
  <si>
    <t>0318 - 5 - 3 1 3 13 49 2 153 - 20</t>
  </si>
  <si>
    <t xml:space="preserve">Recurso ordinario
</t>
  </si>
  <si>
    <t>Servicio de apoyo con tecnologías para prestación de servicios en salud</t>
  </si>
  <si>
    <t>Población inimputable atendida</t>
  </si>
  <si>
    <t>1802 - 5 - 1 1 2 13 154 - 110
1802 - 5 - 1 1 2 13 154 - 156</t>
  </si>
  <si>
    <t>201663000-0154</t>
  </si>
  <si>
    <t xml:space="preserve">Prestación de Servicios a la Población no Afiliada al Sistema General de Seguridad Social en Salud  y en los no POS  a la Población Afiliada al Régimen Subsidiado.
</t>
  </si>
  <si>
    <t>Garantizar la atención en salud a la población pobre no asegurada y/o víctima del conflicto armado en un rango de afiliación 51.57 según Resolución 3778 de 2011. en  e l departamento del Quindío</t>
  </si>
  <si>
    <t xml:space="preserve">Fortalecer la contratación para la atención de la población no afiliada </t>
  </si>
  <si>
    <t>110-156</t>
  </si>
  <si>
    <t xml:space="preserve">Resolución 971/2016 Programa Inimputables
Superavit Res. 997 de 2018 Inimputables
</t>
  </si>
  <si>
    <t>Servicios de reconocimientos de las metas de calidad, financiera, producción y transferencias especiales</t>
  </si>
  <si>
    <t>Porcentaje de recursos transferidos</t>
  </si>
  <si>
    <t>1802 - 5 - 1 1 2 13 154 - 97</t>
  </si>
  <si>
    <t>60</t>
  </si>
  <si>
    <t xml:space="preserve"> SGP Salud Aportes Patronales</t>
  </si>
  <si>
    <t>Servicios de reconocimientos de deuda</t>
  </si>
  <si>
    <t>Porcentaje de recursos pagados</t>
  </si>
  <si>
    <t>1802 - 5 - 1 1 2 13 154 - 59</t>
  </si>
  <si>
    <t>59</t>
  </si>
  <si>
    <t>SGP Salud Prestacion Servicios C.S.F</t>
  </si>
  <si>
    <t>97</t>
  </si>
  <si>
    <t>Superávit SGP Salud Prestacion de Servicios</t>
  </si>
  <si>
    <t>1802 - 5 - 1 1 2 13 154 - 152
1802 - 5 - 1 1 2 13 154 - 167
1802 - 5 - 1 1 2 13 154 - 169
1802 - 5 - 1 1 2 13 154 - 58
1802 - 5 - 1 1 2 13 154 - 96
1804 - 5 - 1 1 2 13 154 - 96</t>
  </si>
  <si>
    <t>152
167
169
58
96</t>
  </si>
  <si>
    <t xml:space="preserve">Excedentes Aportes Patronales ESE del Depto
Superavit Recursos - Adres Res. 2359/2019
Superavit Recursos SGSS Salud -  Adres
Rentas Cedidas Secretaria de Salud
Superavit Rentas Cedidas Salud
</t>
  </si>
  <si>
    <t>1802 - 5 - 1 1 2 13 154 - 102
1802 - 5 - 1 1 2 13 154 - 65
1804 - 5 - 1 1 2 13 154 - 102</t>
  </si>
  <si>
    <t>102
65</t>
  </si>
  <si>
    <t xml:space="preserve">*Superávit Cofinanciación Nacional Res. 3876/12 Dis
*Cofinanciacion Nacional Salud
</t>
  </si>
  <si>
    <t>Servicio de asistencia técnica a Instituciones Prestadoras de Servicios de salud</t>
  </si>
  <si>
    <t>Instituciones Prestadoras de Servicios de salud asistidas técnicamente</t>
  </si>
  <si>
    <t>1802 - 5 - 1 1 2 13 159 - 60</t>
  </si>
  <si>
    <t>201663000-0159</t>
  </si>
  <si>
    <t>Fortalecimiento de la red de prestación de servicios pública  del Departamento del Quindío</t>
  </si>
  <si>
    <t>Apoyar el  seguimiento al proceso de reporte, vigilancia y control en el manejo de los recursos de salud en el Departamento del Quindio</t>
  </si>
  <si>
    <t xml:space="preserve">*Fortalecer los procesos financieros  del sector salud en el departamento del Quindío.
*Realizar los  procesos adecuados para la auditoria en el flujo de recursos de las IPS 
</t>
  </si>
  <si>
    <t>0318 - 5 - 1 1 2 13 159 - 88
0318 - 5 - 3 1 3 14 54 2 159 - 20</t>
  </si>
  <si>
    <t>1804 - 5 - 1 1 2 13 159 - 168</t>
  </si>
  <si>
    <t>168</t>
  </si>
  <si>
    <t>Fondo de Salvamento y Grant. para la Salud FONSAET</t>
  </si>
  <si>
    <t>YENNY ALEXANDRA TRUJILLO ALZATE</t>
  </si>
  <si>
    <t>Secretaria de Salud</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</si>
</sst>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4" formatCode="_(&quot;$&quot;\ * #,##0.00_);_(&quot;$&quot;\ * \(#,##0.00\);_(&quot;$&quot;\ * &quot;-&quot;??_);_(@_)"/>
    <numFmt numFmtId="43" formatCode="_(* #,##0.00_);_(* \(#,##0.00\);_(* &quot;-&quot;??_);_(@_)"/>
    <numFmt numFmtId="164" formatCode="0.0"/>
    <numFmt numFmtId="165" formatCode="&quot;$&quot;\ #,##0"/>
    <numFmt numFmtId="166" formatCode="_ [$€-2]\ * #,##0.00_ ;_ [$€-2]\ * \-#,##0.00_ ;_ [$€-2]\ * &quot;-&quot;??_ "/>
    <numFmt numFmtId="167" formatCode="dd/mm/yyyy;@"/>
    <numFmt numFmtId="168" formatCode="_-* #,##0_-;\-* #,##0_-;_-* &quot;-&quot;_-;_-@_-"/>
    <numFmt numFmtId="169" formatCode="_-* #,##0.00_-;\-* #,##0.00_-;_-* &quot;-&quot;_-;_-@_-"/>
    <numFmt numFmtId="170" formatCode="d/mm/yyyy;@"/>
    <numFmt numFmtId="171" formatCode="_([$$-240A]\ * #,##0.00_);_([$$-240A]\ * \(#,##0.00\);_([$$-240A]\ * &quot;-&quot;??_);_(@_)"/>
    <numFmt numFmtId="172" formatCode="&quot;$&quot;\ #,##0.00"/>
    <numFmt numFmtId="173" formatCode="_-&quot;$&quot;* #,##0.00_-;\-&quot;$&quot;* #,##0.00_-;_-&quot;$&quot;* &quot;-&quot;??_-;_-@_-"/>
    <numFmt numFmtId="174" formatCode="0.0000"/>
    <numFmt numFmtId="175" formatCode="_-&quot;$&quot;\ * #,##0.00_-;\-&quot;$&quot;\ * #,##0.00_-;_-&quot;$&quot;\ * &quot;-&quot;??_-;_-@_-"/>
    <numFmt numFmtId="176" formatCode="_(* #,##0_);_(* \(#,##0\);_(* &quot;-&quot;??_);_(@_)"/>
    <numFmt numFmtId="177" formatCode="#,##0;[Red]#,##0"/>
    <numFmt numFmtId="178" formatCode="_(* #,##0.0000_);_(* \(#,##0.0000\);_(* &quot;-&quot;??_);_(@_)"/>
    <numFmt numFmtId="179" formatCode="_-* #,##0.00_-;\-* #,##0.00_-;_-* &quot;-&quot;??_-;_-@_-"/>
    <numFmt numFmtId="180" formatCode="_-&quot;$&quot;* #,##0_-;\-&quot;$&quot;* #,##0_-;_-&quot;$&quot;* &quot;-&quot;_-;_-@_-"/>
    <numFmt numFmtId="181" formatCode="_-* #,##0_-;\-* #,##0_-;_-* &quot;-&quot;??_-;_-@_-"/>
    <numFmt numFmtId="182" formatCode="[$$-240A]\ #,##0.00;\-[$$-240A]\ #,##0.00"/>
    <numFmt numFmtId="183" formatCode="[$$-240A]\ #,##0"/>
    <numFmt numFmtId="184" formatCode="0.0%"/>
  </numFmts>
  <fonts count="29" x14ac:knownFonts="1">
    <font>
      <sz val="11"/>
      <color theme="1"/>
      <name val="Calibri"/>
      <family val="2"/>
      <scheme val="minor"/>
    </font>
    <font>
      <sz val="11"/>
      <color theme="1"/>
      <name val="Calibri"/>
      <family val="2"/>
      <scheme val="minor"/>
    </font>
    <font>
      <b/>
      <sz val="12"/>
      <color theme="1"/>
      <name val="Arial"/>
      <family val="2"/>
    </font>
    <font>
      <sz val="12"/>
      <color theme="1"/>
      <name val="Arial"/>
      <family val="2"/>
    </font>
    <font>
      <b/>
      <sz val="12"/>
      <color indexed="8"/>
      <name val="Arial"/>
      <family val="2"/>
    </font>
    <font>
      <b/>
      <sz val="12"/>
      <name val="Arial"/>
      <family val="2"/>
    </font>
    <font>
      <b/>
      <sz val="10"/>
      <color theme="1"/>
      <name val="Arial"/>
      <family val="2"/>
    </font>
    <font>
      <b/>
      <sz val="10"/>
      <color indexed="8"/>
      <name val="Arial"/>
      <family val="2"/>
    </font>
    <font>
      <sz val="11"/>
      <color indexed="8"/>
      <name val="Calibri"/>
      <family val="2"/>
    </font>
    <font>
      <sz val="12"/>
      <name val="Arial"/>
      <family val="2"/>
    </font>
    <font>
      <b/>
      <sz val="11"/>
      <color rgb="FF6F6F6E"/>
      <name val="Calibri"/>
      <family val="2"/>
      <scheme val="minor"/>
    </font>
    <font>
      <b/>
      <sz val="14"/>
      <color theme="1"/>
      <name val="Arial"/>
      <family val="2"/>
    </font>
    <font>
      <b/>
      <sz val="11"/>
      <color theme="1"/>
      <name val="Arial"/>
      <family val="2"/>
    </font>
    <font>
      <sz val="11"/>
      <color theme="1"/>
      <name val="Arial"/>
      <family val="2"/>
    </font>
    <font>
      <b/>
      <sz val="11"/>
      <color indexed="8"/>
      <name val="Arial"/>
      <family val="2"/>
    </font>
    <font>
      <b/>
      <sz val="11"/>
      <name val="Arial"/>
      <family val="2"/>
    </font>
    <font>
      <sz val="10"/>
      <color theme="1"/>
      <name val="Arial"/>
      <family val="2"/>
    </font>
    <font>
      <sz val="12"/>
      <color rgb="FF000000"/>
      <name val="Arial"/>
      <family val="2"/>
    </font>
    <font>
      <b/>
      <sz val="9"/>
      <color indexed="81"/>
      <name val="Tahoma"/>
      <family val="2"/>
    </font>
    <font>
      <sz val="9"/>
      <color indexed="81"/>
      <name val="Tahoma"/>
      <family val="2"/>
    </font>
    <font>
      <sz val="12"/>
      <color theme="1"/>
      <name val="Calibri"/>
      <family val="2"/>
      <scheme val="minor"/>
    </font>
    <font>
      <sz val="12"/>
      <color rgb="FF323130"/>
      <name val="Arial"/>
      <family val="2"/>
    </font>
    <font>
      <sz val="12"/>
      <name val="Calibri"/>
      <family val="2"/>
      <scheme val="minor"/>
    </font>
    <font>
      <sz val="12"/>
      <color indexed="8"/>
      <name val="Arial"/>
      <family val="2"/>
    </font>
    <font>
      <sz val="11"/>
      <name val="Arial"/>
      <family val="2"/>
    </font>
    <font>
      <b/>
      <sz val="16"/>
      <color theme="1"/>
      <name val="Arial"/>
      <family val="2"/>
    </font>
    <font>
      <sz val="14"/>
      <color theme="1"/>
      <name val="Arial"/>
      <family val="2"/>
    </font>
    <font>
      <sz val="14"/>
      <name val="Arial"/>
      <family val="2"/>
    </font>
    <font>
      <sz val="10"/>
      <name val="Arial"/>
      <family val="2"/>
    </font>
  </fonts>
  <fills count="11">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00B0F0"/>
        <bgColor indexed="64"/>
      </patternFill>
    </fill>
    <fill>
      <patternFill patternType="solid">
        <fgColor rgb="FFECECEC"/>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bgColor theme="4" tint="0.79998168889431442"/>
      </patternFill>
    </fill>
  </fills>
  <borders count="2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rgb="FF522B57"/>
      </left>
      <right style="thin">
        <color rgb="FF522B57"/>
      </right>
      <top style="thin">
        <color rgb="FF522B57"/>
      </top>
      <bottom style="thin">
        <color rgb="FF522B57"/>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rgb="FF522B57"/>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23">
    <xf numFmtId="0" fontId="0" fillId="0" borderId="0"/>
    <xf numFmtId="9" fontId="1" fillId="0" borderId="0" applyFont="0" applyFill="0" applyBorder="0" applyAlignment="0" applyProtection="0"/>
    <xf numFmtId="166" fontId="1" fillId="0" borderId="0"/>
    <xf numFmtId="9" fontId="8"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71" fontId="1" fillId="0" borderId="0"/>
    <xf numFmtId="171" fontId="10" fillId="7" borderId="19">
      <alignment horizontal="center" vertical="center" wrapText="1"/>
    </xf>
    <xf numFmtId="0" fontId="16" fillId="0" borderId="0"/>
    <xf numFmtId="43" fontId="8" fillId="0" borderId="0" applyFont="0" applyFill="0" applyBorder="0" applyAlignment="0" applyProtection="0"/>
    <xf numFmtId="173" fontId="1" fillId="0" borderId="0" applyFont="0" applyFill="0" applyBorder="0" applyAlignment="0" applyProtection="0"/>
    <xf numFmtId="44" fontId="1" fillId="0" borderId="0" applyFont="0" applyFill="0" applyBorder="0" applyAlignment="0" applyProtection="0"/>
    <xf numFmtId="0" fontId="1" fillId="0" borderId="0"/>
    <xf numFmtId="166" fontId="1" fillId="0" borderId="0"/>
    <xf numFmtId="43" fontId="1" fillId="0" borderId="0" applyFont="0" applyFill="0" applyBorder="0" applyAlignment="0" applyProtection="0"/>
    <xf numFmtId="175" fontId="1" fillId="0" borderId="0" applyFont="0" applyFill="0" applyBorder="0" applyAlignment="0" applyProtection="0"/>
    <xf numFmtId="43" fontId="8" fillId="0" borderId="0" applyFont="0" applyFill="0" applyBorder="0" applyAlignment="0" applyProtection="0"/>
    <xf numFmtId="0" fontId="1" fillId="0" borderId="0"/>
    <xf numFmtId="179" fontId="1" fillId="0" borderId="0" applyFont="0" applyFill="0" applyBorder="0" applyAlignment="0" applyProtection="0"/>
    <xf numFmtId="44"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0" fontId="28" fillId="0" borderId="0"/>
  </cellStyleXfs>
  <cellXfs count="1837">
    <xf numFmtId="0" fontId="0" fillId="0" borderId="0" xfId="0"/>
    <xf numFmtId="0" fontId="2" fillId="0" borderId="2" xfId="0" applyFont="1" applyBorder="1" applyAlignment="1">
      <alignment horizontal="center" vertical="center"/>
    </xf>
    <xf numFmtId="0" fontId="2" fillId="0" borderId="2" xfId="0" applyFont="1" applyBorder="1" applyAlignment="1">
      <alignment vertical="center"/>
    </xf>
    <xf numFmtId="0" fontId="3" fillId="2" borderId="0" xfId="0" applyFont="1" applyFill="1"/>
    <xf numFmtId="0" fontId="3" fillId="0" borderId="0" xfId="0" applyFont="1"/>
    <xf numFmtId="0" fontId="2" fillId="0" borderId="2" xfId="0" applyFont="1" applyBorder="1" applyAlignment="1">
      <alignment vertical="center" wrapText="1"/>
    </xf>
    <xf numFmtId="3" fontId="4" fillId="0" borderId="2" xfId="0" applyNumberFormat="1" applyFont="1" applyBorder="1" applyAlignment="1">
      <alignment horizontal="left" vertical="center" wrapText="1"/>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wrapText="1"/>
    </xf>
    <xf numFmtId="0" fontId="2" fillId="0" borderId="3" xfId="0" applyFont="1" applyBorder="1" applyAlignment="1">
      <alignment vertical="center"/>
    </xf>
    <xf numFmtId="0" fontId="2" fillId="0" borderId="4" xfId="0" applyFont="1" applyBorder="1" applyAlignment="1">
      <alignment vertical="center"/>
    </xf>
    <xf numFmtId="0" fontId="2" fillId="3" borderId="2" xfId="0" applyFont="1" applyFill="1" applyBorder="1" applyAlignment="1">
      <alignment horizontal="center" vertical="center" wrapText="1"/>
    </xf>
    <xf numFmtId="167" fontId="2" fillId="3" borderId="2" xfId="0" applyNumberFormat="1" applyFont="1" applyFill="1" applyBorder="1" applyAlignment="1">
      <alignment horizontal="center" vertical="center" wrapText="1"/>
    </xf>
    <xf numFmtId="1" fontId="2" fillId="2" borderId="17" xfId="0" applyNumberFormat="1" applyFont="1" applyFill="1" applyBorder="1" applyAlignment="1">
      <alignment horizontal="center" vertical="center" wrapText="1"/>
    </xf>
    <xf numFmtId="0" fontId="2" fillId="2" borderId="0" xfId="0" applyFont="1" applyFill="1" applyAlignment="1">
      <alignment horizontal="center" vertical="center" wrapText="1"/>
    </xf>
    <xf numFmtId="0" fontId="5" fillId="6" borderId="2" xfId="0" applyFont="1" applyFill="1" applyBorder="1" applyAlignment="1">
      <alignment horizontal="left" vertical="center"/>
    </xf>
    <xf numFmtId="0" fontId="5" fillId="6" borderId="2" xfId="0" applyFont="1" applyFill="1" applyBorder="1" applyAlignment="1">
      <alignment vertical="center"/>
    </xf>
    <xf numFmtId="0" fontId="2" fillId="6" borderId="3" xfId="0" applyFont="1" applyFill="1" applyBorder="1" applyAlignment="1">
      <alignment vertical="center"/>
    </xf>
    <xf numFmtId="0" fontId="2" fillId="6" borderId="3" xfId="0" applyFont="1" applyFill="1" applyBorder="1" applyAlignment="1">
      <alignment horizontal="justify" vertical="center"/>
    </xf>
    <xf numFmtId="0" fontId="2" fillId="6" borderId="3" xfId="0" applyFont="1" applyFill="1" applyBorder="1" applyAlignment="1">
      <alignment horizontal="center" vertical="center" wrapText="1"/>
    </xf>
    <xf numFmtId="0" fontId="2" fillId="6" borderId="3" xfId="0" applyFont="1" applyFill="1" applyBorder="1" applyAlignment="1">
      <alignment horizontal="center" vertical="center"/>
    </xf>
    <xf numFmtId="164" fontId="2" fillId="6" borderId="3" xfId="0" applyNumberFormat="1" applyFont="1" applyFill="1" applyBorder="1" applyAlignment="1">
      <alignment horizontal="center" vertical="center"/>
    </xf>
    <xf numFmtId="165" fontId="2" fillId="6" borderId="3" xfId="0" applyNumberFormat="1" applyFont="1" applyFill="1" applyBorder="1" applyAlignment="1">
      <alignment vertical="center"/>
    </xf>
    <xf numFmtId="165" fontId="2" fillId="6" borderId="3" xfId="0" applyNumberFormat="1" applyFont="1" applyFill="1" applyBorder="1" applyAlignment="1">
      <alignment horizontal="center" vertical="center"/>
    </xf>
    <xf numFmtId="1" fontId="2" fillId="6" borderId="3" xfId="0" applyNumberFormat="1" applyFont="1" applyFill="1" applyBorder="1" applyAlignment="1">
      <alignment horizontal="center" vertical="center"/>
    </xf>
    <xf numFmtId="167" fontId="2" fillId="6" borderId="3" xfId="0" applyNumberFormat="1" applyFont="1" applyFill="1" applyBorder="1" applyAlignment="1">
      <alignment horizontal="center" vertical="center"/>
    </xf>
    <xf numFmtId="0" fontId="2" fillId="6" borderId="4" xfId="0" applyFont="1" applyFill="1" applyBorder="1" applyAlignment="1">
      <alignment horizontal="justify" vertical="center"/>
    </xf>
    <xf numFmtId="1" fontId="3" fillId="2" borderId="17"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7" xfId="0" applyFont="1" applyFill="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justify" vertical="center" wrapText="1"/>
    </xf>
    <xf numFmtId="0" fontId="3" fillId="0" borderId="2" xfId="0" applyFont="1" applyBorder="1" applyAlignment="1">
      <alignment horizontal="justify"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vertical="center" wrapText="1"/>
    </xf>
    <xf numFmtId="0" fontId="3"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9" fontId="3" fillId="2" borderId="2" xfId="1" applyFont="1" applyFill="1" applyBorder="1" applyAlignment="1">
      <alignment horizontal="center" vertical="center" wrapText="1"/>
    </xf>
    <xf numFmtId="43" fontId="3" fillId="2" borderId="2" xfId="4" applyFont="1" applyFill="1" applyBorder="1" applyAlignment="1">
      <alignment vertical="center" wrapText="1"/>
    </xf>
    <xf numFmtId="0" fontId="3" fillId="2" borderId="2" xfId="0" applyFont="1" applyFill="1" applyBorder="1" applyAlignment="1">
      <alignment horizontal="justify" vertical="center" wrapText="1"/>
    </xf>
    <xf numFmtId="3" fontId="3" fillId="2" borderId="2" xfId="0" applyNumberFormat="1" applyFont="1" applyFill="1" applyBorder="1" applyAlignment="1">
      <alignment horizontal="justify" vertical="center" wrapText="1"/>
    </xf>
    <xf numFmtId="0" fontId="3" fillId="2" borderId="6" xfId="0" applyFont="1" applyFill="1" applyBorder="1" applyAlignment="1">
      <alignment horizontal="justify" vertical="center" wrapText="1"/>
    </xf>
    <xf numFmtId="43" fontId="3" fillId="2" borderId="18" xfId="4" applyFont="1" applyFill="1" applyBorder="1" applyAlignment="1">
      <alignment horizontal="center" vertical="center" wrapText="1"/>
    </xf>
    <xf numFmtId="1" fontId="3" fillId="2" borderId="18" xfId="0" applyNumberFormat="1" applyFont="1" applyFill="1" applyBorder="1" applyAlignment="1">
      <alignment horizontal="center" vertical="center" wrapText="1"/>
    </xf>
    <xf numFmtId="0" fontId="3" fillId="2" borderId="18" xfId="0" applyFont="1" applyFill="1" applyBorder="1" applyAlignment="1">
      <alignment horizontal="justify" vertical="center" wrapText="1"/>
    </xf>
    <xf numFmtId="1" fontId="3" fillId="2" borderId="2" xfId="0" applyNumberFormat="1" applyFont="1" applyFill="1" applyBorder="1" applyAlignment="1">
      <alignment horizontal="center" vertical="center" wrapText="1"/>
    </xf>
    <xf numFmtId="169" fontId="3" fillId="2" borderId="2" xfId="5" applyNumberFormat="1" applyFont="1" applyFill="1" applyBorder="1" applyAlignment="1">
      <alignment horizontal="center" vertical="center" wrapText="1"/>
    </xf>
    <xf numFmtId="167" fontId="3" fillId="0" borderId="2" xfId="0" applyNumberFormat="1" applyFont="1" applyFill="1" applyBorder="1" applyAlignment="1">
      <alignment horizontal="center" vertical="center"/>
    </xf>
    <xf numFmtId="170" fontId="3" fillId="2" borderId="2" xfId="0" applyNumberFormat="1" applyFont="1" applyFill="1" applyBorder="1" applyAlignment="1">
      <alignment horizontal="center" vertical="center" wrapText="1"/>
    </xf>
    <xf numFmtId="0" fontId="3" fillId="6"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3" fillId="6" borderId="2" xfId="0" applyFont="1" applyFill="1" applyBorder="1" applyAlignment="1">
      <alignment horizontal="justify" vertical="center" wrapText="1"/>
    </xf>
    <xf numFmtId="0" fontId="3" fillId="6" borderId="2" xfId="0" applyFont="1" applyFill="1" applyBorder="1" applyAlignment="1">
      <alignment vertical="center" wrapText="1"/>
    </xf>
    <xf numFmtId="164" fontId="3" fillId="6" borderId="2" xfId="0" applyNumberFormat="1" applyFont="1" applyFill="1" applyBorder="1" applyAlignment="1">
      <alignment horizontal="center" vertical="center" wrapText="1"/>
    </xf>
    <xf numFmtId="165" fontId="3" fillId="6" borderId="2" xfId="0" applyNumberFormat="1" applyFont="1" applyFill="1" applyBorder="1" applyAlignment="1">
      <alignment vertical="center" wrapText="1"/>
    </xf>
    <xf numFmtId="165" fontId="3" fillId="6" borderId="2" xfId="0" applyNumberFormat="1" applyFont="1" applyFill="1" applyBorder="1" applyAlignment="1">
      <alignment horizontal="center" vertical="center" wrapText="1"/>
    </xf>
    <xf numFmtId="1" fontId="3" fillId="6" borderId="2" xfId="0" applyNumberFormat="1" applyFont="1" applyFill="1" applyBorder="1" applyAlignment="1">
      <alignment horizontal="center" vertical="center" wrapText="1"/>
    </xf>
    <xf numFmtId="1" fontId="2" fillId="6" borderId="2" xfId="0" applyNumberFormat="1" applyFont="1" applyFill="1" applyBorder="1" applyAlignment="1">
      <alignment horizontal="center" vertical="center" textRotation="180" wrapText="1"/>
    </xf>
    <xf numFmtId="1" fontId="2" fillId="6" borderId="2" xfId="0" applyNumberFormat="1" applyFont="1" applyFill="1" applyBorder="1" applyAlignment="1">
      <alignment vertical="center" textRotation="180" wrapText="1"/>
    </xf>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43" fontId="9" fillId="0" borderId="10" xfId="4" applyFont="1" applyFill="1" applyBorder="1" applyAlignment="1">
      <alignment horizontal="right" vertical="center" wrapText="1"/>
    </xf>
    <xf numFmtId="43" fontId="9" fillId="0" borderId="6" xfId="4" applyFont="1" applyFill="1" applyBorder="1" applyAlignment="1">
      <alignment horizontal="right" vertical="center" wrapText="1"/>
    </xf>
    <xf numFmtId="0" fontId="3"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1" fontId="3" fillId="0" borderId="18" xfId="0" applyNumberFormat="1" applyFont="1" applyFill="1" applyBorder="1" applyAlignment="1">
      <alignment horizontal="center" vertical="center" wrapText="1"/>
    </xf>
    <xf numFmtId="0" fontId="3" fillId="0" borderId="18" xfId="0" applyFont="1" applyFill="1" applyBorder="1" applyAlignment="1">
      <alignment horizontal="justify" vertical="center" wrapText="1"/>
    </xf>
    <xf numFmtId="0" fontId="9" fillId="2" borderId="2" xfId="0" applyFont="1" applyFill="1" applyBorder="1" applyAlignment="1">
      <alignment horizontal="justify" vertical="center" wrapText="1"/>
    </xf>
    <xf numFmtId="0" fontId="9" fillId="0" borderId="8" xfId="0" applyFont="1" applyBorder="1" applyAlignment="1">
      <alignment horizontal="justify" vertical="center" wrapText="1"/>
    </xf>
    <xf numFmtId="0" fontId="3" fillId="2" borderId="16" xfId="0" applyFont="1" applyFill="1" applyBorder="1" applyAlignment="1">
      <alignment horizontal="justify" vertical="center" wrapText="1"/>
    </xf>
    <xf numFmtId="0" fontId="3" fillId="2" borderId="0" xfId="0" applyFont="1" applyFill="1" applyAlignment="1">
      <alignment horizontal="center" vertical="center" wrapText="1"/>
    </xf>
    <xf numFmtId="0" fontId="3"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0" xfId="0" applyFont="1" applyBorder="1" applyAlignment="1">
      <alignment horizontal="justify" vertical="center" wrapText="1"/>
    </xf>
    <xf numFmtId="0" fontId="3" fillId="2" borderId="8" xfId="0" applyFont="1" applyFill="1" applyBorder="1" applyAlignment="1">
      <alignment vertical="center" wrapText="1"/>
    </xf>
    <xf numFmtId="0" fontId="9" fillId="0" borderId="7" xfId="0" applyFont="1" applyBorder="1" applyAlignment="1">
      <alignment horizontal="center" vertical="center" wrapText="1"/>
    </xf>
    <xf numFmtId="0" fontId="9" fillId="0" borderId="8" xfId="0" applyFont="1" applyBorder="1" applyAlignment="1">
      <alignment horizontal="justify" vertical="center" wrapText="1"/>
    </xf>
    <xf numFmtId="43" fontId="3" fillId="2" borderId="18" xfId="4" applyFont="1" applyFill="1" applyBorder="1" applyAlignment="1">
      <alignment vertical="center" wrapText="1"/>
    </xf>
    <xf numFmtId="43" fontId="3" fillId="2" borderId="16" xfId="4" applyFont="1" applyFill="1" applyBorder="1" applyAlignment="1">
      <alignment vertical="center" wrapText="1"/>
    </xf>
    <xf numFmtId="171" fontId="9" fillId="0" borderId="2" xfId="6" applyFont="1" applyFill="1" applyBorder="1" applyAlignment="1">
      <alignment horizontal="justify" vertical="center" wrapText="1"/>
    </xf>
    <xf numFmtId="0" fontId="3" fillId="2" borderId="16" xfId="0" applyFont="1" applyFill="1" applyBorder="1" applyAlignment="1">
      <alignment vertical="center" wrapText="1"/>
    </xf>
    <xf numFmtId="0" fontId="3" fillId="2" borderId="16" xfId="0" applyFont="1" applyFill="1" applyBorder="1" applyAlignment="1">
      <alignment horizontal="justify" vertical="center" wrapText="1"/>
    </xf>
    <xf numFmtId="0" fontId="3" fillId="0" borderId="16" xfId="0" applyFont="1" applyFill="1" applyBorder="1" applyAlignment="1">
      <alignment horizontal="justify" vertical="center" wrapText="1"/>
    </xf>
    <xf numFmtId="0" fontId="3" fillId="2" borderId="17" xfId="0" applyFont="1" applyFill="1" applyBorder="1" applyAlignment="1">
      <alignment horizontal="justify" vertical="center" wrapText="1"/>
    </xf>
    <xf numFmtId="43" fontId="3" fillId="2" borderId="8" xfId="4" applyFont="1" applyFill="1" applyBorder="1" applyAlignment="1">
      <alignment horizontal="center" vertical="center" wrapText="1"/>
    </xf>
    <xf numFmtId="43" fontId="3" fillId="2" borderId="16" xfId="4" applyFont="1" applyFill="1" applyBorder="1" applyAlignment="1">
      <alignment horizontal="center" vertical="center" wrapText="1"/>
    </xf>
    <xf numFmtId="1" fontId="3" fillId="0" borderId="0" xfId="0" applyNumberFormat="1" applyFont="1"/>
    <xf numFmtId="0" fontId="3" fillId="0" borderId="1" xfId="0" applyFont="1" applyBorder="1"/>
    <xf numFmtId="0" fontId="3" fillId="0" borderId="17" xfId="0" applyFont="1" applyBorder="1"/>
    <xf numFmtId="0" fontId="3" fillId="0" borderId="0" xfId="0" applyFont="1" applyBorder="1"/>
    <xf numFmtId="0" fontId="3" fillId="2" borderId="2" xfId="0" applyFont="1" applyFill="1" applyBorder="1" applyAlignment="1">
      <alignment horizontal="center" vertical="center"/>
    </xf>
    <xf numFmtId="0" fontId="3" fillId="2" borderId="16" xfId="0" applyFont="1" applyFill="1" applyBorder="1"/>
    <xf numFmtId="0" fontId="3" fillId="0" borderId="2" xfId="0" applyFont="1" applyBorder="1" applyAlignment="1">
      <alignment horizontal="center" vertical="center"/>
    </xf>
    <xf numFmtId="0" fontId="5" fillId="0" borderId="0" xfId="0" applyFont="1" applyBorder="1" applyAlignment="1">
      <alignment horizontal="left" vertical="center"/>
    </xf>
    <xf numFmtId="0" fontId="3" fillId="2" borderId="18" xfId="0" applyFont="1" applyFill="1" applyBorder="1"/>
    <xf numFmtId="0" fontId="3" fillId="2" borderId="18" xfId="0" applyFont="1" applyFill="1" applyBorder="1" applyAlignment="1">
      <alignment horizontal="justify" vertical="center" wrapText="1"/>
    </xf>
    <xf numFmtId="43" fontId="9" fillId="0" borderId="9" xfId="4" applyFont="1" applyFill="1" applyBorder="1" applyAlignment="1">
      <alignment horizontal="right" vertical="center" wrapText="1"/>
    </xf>
    <xf numFmtId="43" fontId="9" fillId="0" borderId="17" xfId="4" applyFont="1" applyFill="1" applyBorder="1" applyAlignment="1">
      <alignment horizontal="right" vertical="center" wrapText="1"/>
    </xf>
    <xf numFmtId="1" fontId="3" fillId="2" borderId="18" xfId="0" applyNumberFormat="1" applyFont="1" applyFill="1" applyBorder="1" applyAlignment="1">
      <alignment horizontal="center" vertical="center" wrapText="1"/>
    </xf>
    <xf numFmtId="9" fontId="3" fillId="2" borderId="18" xfId="1" applyFont="1" applyFill="1" applyBorder="1" applyAlignment="1">
      <alignment horizontal="center" vertical="center" wrapText="1"/>
    </xf>
    <xf numFmtId="0" fontId="3" fillId="0" borderId="6" xfId="0" applyFont="1" applyBorder="1"/>
    <xf numFmtId="0" fontId="3" fillId="0" borderId="3" xfId="0" applyFont="1" applyBorder="1"/>
    <xf numFmtId="0" fontId="3" fillId="0" borderId="4" xfId="0" applyFont="1" applyBorder="1"/>
    <xf numFmtId="0" fontId="3" fillId="2" borderId="18" xfId="0" applyFont="1" applyFill="1" applyBorder="1" applyAlignment="1">
      <alignment horizontal="center" vertical="center"/>
    </xf>
    <xf numFmtId="0" fontId="3" fillId="2" borderId="18" xfId="0" applyFont="1" applyFill="1" applyBorder="1" applyAlignment="1">
      <alignment horizontal="center" vertical="center" wrapText="1"/>
    </xf>
    <xf numFmtId="0" fontId="9" fillId="0" borderId="2" xfId="7" applyNumberFormat="1" applyFont="1" applyFill="1" applyBorder="1" applyAlignment="1">
      <alignment horizontal="justify" vertical="center" wrapText="1"/>
    </xf>
    <xf numFmtId="0" fontId="3" fillId="0" borderId="0" xfId="0" applyFont="1" applyFill="1" applyAlignment="1">
      <alignment horizontal="justify" vertical="center" wrapText="1"/>
    </xf>
    <xf numFmtId="43" fontId="9" fillId="0" borderId="2" xfId="4" applyFont="1" applyFill="1" applyBorder="1" applyAlignment="1">
      <alignment horizontal="right" vertical="center" wrapText="1"/>
    </xf>
    <xf numFmtId="1" fontId="3" fillId="2" borderId="2" xfId="0" applyNumberFormat="1" applyFont="1" applyFill="1" applyBorder="1" applyAlignment="1">
      <alignment horizontal="center" vertical="center"/>
    </xf>
    <xf numFmtId="0" fontId="3" fillId="0" borderId="2" xfId="0" applyNumberFormat="1" applyFont="1" applyBorder="1" applyAlignment="1">
      <alignment horizontal="center" vertical="center"/>
    </xf>
    <xf numFmtId="1" fontId="3" fillId="0" borderId="3" xfId="0" applyNumberFormat="1" applyFont="1" applyBorder="1"/>
    <xf numFmtId="0" fontId="3" fillId="2" borderId="2" xfId="0" applyFont="1" applyFill="1" applyBorder="1" applyAlignment="1">
      <alignment horizontal="justify" vertical="center"/>
    </xf>
    <xf numFmtId="0" fontId="3" fillId="2" borderId="2" xfId="0" applyFont="1" applyFill="1" applyBorder="1"/>
    <xf numFmtId="0" fontId="3" fillId="2" borderId="2" xfId="0" applyFont="1" applyFill="1" applyBorder="1" applyAlignment="1">
      <alignment horizontal="center"/>
    </xf>
    <xf numFmtId="164" fontId="3" fillId="2" borderId="2" xfId="0" applyNumberFormat="1" applyFont="1" applyFill="1" applyBorder="1" applyAlignment="1">
      <alignment horizontal="center" vertical="center"/>
    </xf>
    <xf numFmtId="43" fontId="5" fillId="0" borderId="18" xfId="0" applyNumberFormat="1" applyFont="1" applyFill="1" applyBorder="1" applyAlignment="1">
      <alignment vertical="center"/>
    </xf>
    <xf numFmtId="0" fontId="3" fillId="0" borderId="2" xfId="0" applyFont="1" applyFill="1" applyBorder="1" applyAlignment="1">
      <alignment horizontal="justify" vertical="center"/>
    </xf>
    <xf numFmtId="0" fontId="3" fillId="0" borderId="2" xfId="0" applyFont="1" applyBorder="1" applyAlignment="1">
      <alignment horizontal="center"/>
    </xf>
    <xf numFmtId="0" fontId="5" fillId="0" borderId="18" xfId="0" applyNumberFormat="1" applyFont="1" applyFill="1" applyBorder="1" applyAlignment="1">
      <alignment horizontal="center" vertical="center"/>
    </xf>
    <xf numFmtId="9" fontId="2" fillId="2" borderId="2" xfId="1" applyFont="1" applyFill="1" applyBorder="1" applyAlignment="1">
      <alignment horizontal="center" vertical="center" wrapText="1"/>
    </xf>
    <xf numFmtId="167" fontId="3" fillId="0" borderId="2" xfId="0" applyNumberFormat="1" applyFont="1" applyBorder="1" applyAlignment="1">
      <alignment horizontal="center" vertical="center"/>
    </xf>
    <xf numFmtId="167" fontId="3" fillId="0" borderId="2" xfId="0" applyNumberFormat="1" applyFont="1" applyBorder="1" applyAlignment="1">
      <alignment horizontal="center"/>
    </xf>
    <xf numFmtId="0" fontId="3" fillId="0" borderId="2" xfId="0" applyFont="1" applyBorder="1" applyAlignment="1">
      <alignment horizontal="justify" vertical="center"/>
    </xf>
    <xf numFmtId="0" fontId="3" fillId="2" borderId="0" xfId="0" applyFont="1" applyFill="1" applyAlignment="1">
      <alignment horizontal="justify" vertical="center"/>
    </xf>
    <xf numFmtId="0" fontId="3" fillId="2" borderId="0" xfId="0" applyFont="1" applyFill="1" applyAlignment="1">
      <alignment horizontal="center"/>
    </xf>
    <xf numFmtId="164" fontId="3" fillId="2" borderId="0" xfId="0" applyNumberFormat="1" applyFont="1" applyFill="1" applyAlignment="1">
      <alignment horizontal="center" vertical="center"/>
    </xf>
    <xf numFmtId="172" fontId="3" fillId="0" borderId="0" xfId="0" applyNumberFormat="1" applyFont="1" applyFill="1" applyAlignment="1">
      <alignment vertical="center"/>
    </xf>
    <xf numFmtId="0" fontId="3" fillId="0" borderId="0" xfId="0" applyFont="1" applyFill="1" applyAlignment="1">
      <alignment horizontal="justify" vertical="center"/>
    </xf>
    <xf numFmtId="165" fontId="3" fillId="0" borderId="0" xfId="0" applyNumberFormat="1" applyFont="1" applyFill="1" applyAlignment="1">
      <alignment horizontal="center" vertical="center"/>
    </xf>
    <xf numFmtId="1" fontId="3" fillId="2" borderId="0" xfId="0" applyNumberFormat="1" applyFont="1" applyFill="1" applyAlignment="1">
      <alignment horizontal="center" vertical="center"/>
    </xf>
    <xf numFmtId="0" fontId="3" fillId="2" borderId="0" xfId="0" applyFont="1" applyFill="1" applyAlignment="1">
      <alignment horizontal="center" vertical="center"/>
    </xf>
    <xf numFmtId="0" fontId="3" fillId="0" borderId="0" xfId="0" applyFont="1" applyAlignment="1">
      <alignment horizontal="center"/>
    </xf>
    <xf numFmtId="167" fontId="3" fillId="0" borderId="0" xfId="0" applyNumberFormat="1" applyFont="1" applyAlignment="1">
      <alignment horizontal="center" vertical="center"/>
    </xf>
    <xf numFmtId="167" fontId="3" fillId="0" borderId="0" xfId="0" applyNumberFormat="1" applyFont="1" applyAlignment="1">
      <alignment horizontal="center"/>
    </xf>
    <xf numFmtId="0" fontId="3" fillId="0" borderId="0" xfId="0" applyFont="1" applyAlignment="1">
      <alignment horizontal="justify" vertical="center"/>
    </xf>
    <xf numFmtId="165" fontId="3" fillId="2" borderId="0" xfId="0" applyNumberFormat="1" applyFont="1" applyFill="1" applyAlignment="1">
      <alignment vertical="center"/>
    </xf>
    <xf numFmtId="172" fontId="3" fillId="2" borderId="0" xfId="0" applyNumberFormat="1" applyFont="1" applyFill="1" applyAlignment="1">
      <alignment horizontal="center" vertical="center"/>
    </xf>
    <xf numFmtId="0" fontId="3" fillId="2" borderId="0" xfId="0" applyFont="1" applyFill="1" applyBorder="1" applyAlignment="1">
      <alignment horizontal="justify" vertical="center"/>
    </xf>
    <xf numFmtId="0" fontId="2" fillId="0" borderId="0" xfId="0" applyFont="1"/>
    <xf numFmtId="165" fontId="3" fillId="2" borderId="0" xfId="0" applyNumberFormat="1" applyFont="1" applyFill="1" applyAlignment="1">
      <alignment horizontal="center" vertical="center"/>
    </xf>
    <xf numFmtId="2" fontId="3" fillId="2" borderId="0" xfId="0" applyNumberFormat="1" applyFont="1" applyFill="1" applyAlignment="1">
      <alignment horizontal="center" vertical="center"/>
    </xf>
    <xf numFmtId="0" fontId="12" fillId="0" borderId="2" xfId="0" applyFont="1" applyFill="1" applyBorder="1" applyAlignment="1">
      <alignment horizontal="center" vertical="center"/>
    </xf>
    <xf numFmtId="0" fontId="12" fillId="0" borderId="2" xfId="0" applyFont="1" applyFill="1" applyBorder="1" applyAlignment="1">
      <alignment vertical="center"/>
    </xf>
    <xf numFmtId="0" fontId="13" fillId="2" borderId="0" xfId="0" applyFont="1" applyFill="1"/>
    <xf numFmtId="0" fontId="13" fillId="0" borderId="0" xfId="0" applyFont="1"/>
    <xf numFmtId="0" fontId="12" fillId="0" borderId="2" xfId="0" applyFont="1" applyFill="1" applyBorder="1" applyAlignment="1">
      <alignment vertical="center" wrapText="1"/>
    </xf>
    <xf numFmtId="3" fontId="14" fillId="0" borderId="2" xfId="0" applyNumberFormat="1" applyFont="1" applyFill="1" applyBorder="1" applyAlignment="1">
      <alignment horizontal="left" vertical="center" wrapText="1"/>
    </xf>
    <xf numFmtId="0" fontId="12" fillId="0" borderId="6" xfId="0" applyFont="1" applyBorder="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vertical="center"/>
    </xf>
    <xf numFmtId="0" fontId="12" fillId="0" borderId="4" xfId="0" applyFont="1" applyBorder="1" applyAlignment="1">
      <alignment vertical="center"/>
    </xf>
    <xf numFmtId="0" fontId="12" fillId="3" borderId="2" xfId="0" applyFont="1" applyFill="1" applyBorder="1" applyAlignment="1">
      <alignment horizontal="center" vertical="center" wrapText="1"/>
    </xf>
    <xf numFmtId="167" fontId="12" fillId="3" borderId="2" xfId="0" applyNumberFormat="1" applyFont="1" applyFill="1" applyBorder="1" applyAlignment="1">
      <alignment horizontal="center" vertical="center" wrapText="1"/>
    </xf>
    <xf numFmtId="0" fontId="5" fillId="8" borderId="9" xfId="0" applyNumberFormat="1" applyFont="1" applyFill="1" applyBorder="1" applyAlignment="1">
      <alignment horizontal="left" vertical="center" wrapText="1"/>
    </xf>
    <xf numFmtId="0" fontId="5" fillId="8" borderId="5" xfId="0" applyNumberFormat="1" applyFont="1" applyFill="1" applyBorder="1" applyAlignment="1">
      <alignment horizontal="left" vertical="center"/>
    </xf>
    <xf numFmtId="0" fontId="3" fillId="8" borderId="8" xfId="0" applyFont="1" applyFill="1" applyBorder="1"/>
    <xf numFmtId="0" fontId="2" fillId="8" borderId="2" xfId="0" applyFont="1" applyFill="1" applyBorder="1" applyAlignment="1">
      <alignment vertical="center"/>
    </xf>
    <xf numFmtId="0" fontId="2" fillId="8" borderId="2" xfId="0" applyFont="1" applyFill="1" applyBorder="1" applyAlignment="1">
      <alignment horizontal="justify" vertical="center" wrapText="1"/>
    </xf>
    <xf numFmtId="0" fontId="2" fillId="8" borderId="2" xfId="0" applyFont="1" applyFill="1" applyBorder="1" applyAlignment="1">
      <alignment horizontal="center" vertical="center"/>
    </xf>
    <xf numFmtId="0" fontId="2" fillId="8" borderId="2" xfId="0" applyFont="1" applyFill="1" applyBorder="1" applyAlignment="1">
      <alignment horizontal="justify" vertical="center"/>
    </xf>
    <xf numFmtId="164" fontId="2" fillId="8" borderId="2" xfId="0" applyNumberFormat="1" applyFont="1" applyFill="1" applyBorder="1" applyAlignment="1">
      <alignment horizontal="center" vertical="center"/>
    </xf>
    <xf numFmtId="165" fontId="2" fillId="8" borderId="2" xfId="0" applyNumberFormat="1" applyFont="1" applyFill="1" applyBorder="1" applyAlignment="1">
      <alignment vertical="center"/>
    </xf>
    <xf numFmtId="165" fontId="2" fillId="8" borderId="2" xfId="0" applyNumberFormat="1" applyFont="1" applyFill="1" applyBorder="1" applyAlignment="1">
      <alignment horizontal="center" vertical="center"/>
    </xf>
    <xf numFmtId="1" fontId="2" fillId="8" borderId="2" xfId="0" applyNumberFormat="1" applyFont="1" applyFill="1" applyBorder="1" applyAlignment="1">
      <alignment horizontal="center" vertical="center"/>
    </xf>
    <xf numFmtId="167" fontId="2" fillId="8" borderId="2" xfId="0" applyNumberFormat="1" applyFont="1" applyFill="1" applyBorder="1" applyAlignment="1">
      <alignment horizontal="center" vertical="center"/>
    </xf>
    <xf numFmtId="1" fontId="2" fillId="2" borderId="9" xfId="0" applyNumberFormat="1" applyFont="1" applyFill="1" applyBorder="1" applyAlignment="1">
      <alignment horizontal="center" vertical="center" wrapText="1"/>
    </xf>
    <xf numFmtId="0" fontId="5" fillId="6" borderId="7" xfId="0" applyNumberFormat="1" applyFont="1" applyFill="1" applyBorder="1" applyAlignment="1">
      <alignment horizontal="left" vertical="center" wrapText="1"/>
    </xf>
    <xf numFmtId="0" fontId="2" fillId="6" borderId="2" xfId="0" applyFont="1" applyFill="1" applyBorder="1" applyAlignment="1">
      <alignment horizontal="justify" vertical="center"/>
    </xf>
    <xf numFmtId="164" fontId="2" fillId="6" borderId="2" xfId="0" applyNumberFormat="1" applyFont="1" applyFill="1" applyBorder="1" applyAlignment="1">
      <alignment horizontal="center" vertical="center"/>
    </xf>
    <xf numFmtId="165" fontId="2" fillId="6" borderId="2" xfId="0" applyNumberFormat="1" applyFont="1" applyFill="1" applyBorder="1" applyAlignment="1">
      <alignment vertical="center"/>
    </xf>
    <xf numFmtId="165" fontId="2" fillId="6" borderId="2" xfId="0" applyNumberFormat="1" applyFont="1" applyFill="1" applyBorder="1" applyAlignment="1">
      <alignment horizontal="center" vertical="center"/>
    </xf>
    <xf numFmtId="1" fontId="2" fillId="6" borderId="2" xfId="0" applyNumberFormat="1" applyFont="1" applyFill="1" applyBorder="1" applyAlignment="1">
      <alignment horizontal="center" vertical="center"/>
    </xf>
    <xf numFmtId="0" fontId="2" fillId="6" borderId="2" xfId="0" applyFont="1" applyFill="1" applyBorder="1" applyAlignment="1">
      <alignment horizontal="center" vertical="center"/>
    </xf>
    <xf numFmtId="0" fontId="2" fillId="6" borderId="2" xfId="0" applyFont="1" applyFill="1" applyBorder="1" applyAlignment="1">
      <alignment vertical="center"/>
    </xf>
    <xf numFmtId="167" fontId="2" fillId="6" borderId="2" xfId="0" applyNumberFormat="1" applyFont="1" applyFill="1" applyBorder="1" applyAlignment="1">
      <alignment horizontal="center" vertical="center"/>
    </xf>
    <xf numFmtId="0" fontId="3" fillId="2" borderId="0" xfId="0" applyFont="1" applyFill="1" applyBorder="1"/>
    <xf numFmtId="0" fontId="3" fillId="2" borderId="7" xfId="0"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3" fillId="2" borderId="2" xfId="0" applyFont="1" applyFill="1" applyBorder="1" applyAlignment="1" applyProtection="1">
      <alignment horizontal="justify" vertical="center" wrapText="1"/>
      <protection locked="0"/>
    </xf>
    <xf numFmtId="0" fontId="9" fillId="0" borderId="2" xfId="0" applyFont="1" applyFill="1" applyBorder="1" applyAlignment="1">
      <alignment horizontal="justify" vertical="center" wrapText="1"/>
    </xf>
    <xf numFmtId="0" fontId="9" fillId="2" borderId="2" xfId="0" applyFont="1" applyFill="1" applyBorder="1" applyAlignment="1">
      <alignment horizontal="center" vertical="center" wrapText="1"/>
    </xf>
    <xf numFmtId="43" fontId="3" fillId="2" borderId="2" xfId="0" applyNumberFormat="1" applyFont="1" applyFill="1" applyBorder="1" applyAlignment="1">
      <alignment horizontal="center" vertical="center" wrapText="1"/>
    </xf>
    <xf numFmtId="3" fontId="13" fillId="2" borderId="2" xfId="0" applyNumberFormat="1" applyFont="1" applyFill="1" applyBorder="1" applyAlignment="1">
      <alignment horizontal="justify" vertical="center" wrapText="1"/>
    </xf>
    <xf numFmtId="43" fontId="9" fillId="2" borderId="2" xfId="4" applyNumberFormat="1" applyFont="1" applyFill="1" applyBorder="1" applyAlignment="1">
      <alignment horizontal="right" vertical="center"/>
    </xf>
    <xf numFmtId="1" fontId="9" fillId="2" borderId="8" xfId="0" applyNumberFormat="1" applyFont="1" applyFill="1" applyBorder="1" applyAlignment="1">
      <alignment horizontal="center" vertical="center" wrapText="1"/>
    </xf>
    <xf numFmtId="1" fontId="9" fillId="2" borderId="2" xfId="0" applyNumberFormat="1" applyFont="1" applyFill="1" applyBorder="1" applyAlignment="1">
      <alignment horizontal="center" vertical="center" wrapText="1"/>
    </xf>
    <xf numFmtId="169" fontId="9" fillId="2" borderId="2" xfId="5" applyNumberFormat="1" applyFont="1" applyFill="1" applyBorder="1" applyAlignment="1">
      <alignment horizontal="center" vertical="center" wrapText="1"/>
    </xf>
    <xf numFmtId="14" fontId="3" fillId="2" borderId="2" xfId="0" applyNumberFormat="1" applyFont="1" applyFill="1" applyBorder="1" applyAlignment="1">
      <alignment vertical="center" wrapText="1"/>
    </xf>
    <xf numFmtId="14" fontId="3" fillId="2" borderId="2" xfId="0" applyNumberFormat="1" applyFont="1" applyFill="1" applyBorder="1" applyAlignment="1">
      <alignment horizontal="center" vertical="center" wrapText="1"/>
    </xf>
    <xf numFmtId="1" fontId="2" fillId="2" borderId="0" xfId="0" applyNumberFormat="1" applyFont="1" applyFill="1" applyBorder="1" applyAlignment="1">
      <alignment vertical="center" textRotation="180" wrapText="1"/>
    </xf>
    <xf numFmtId="0" fontId="2" fillId="2" borderId="0" xfId="0" applyFont="1" applyFill="1" applyBorder="1" applyAlignment="1">
      <alignment horizontal="center" vertical="center" wrapText="1"/>
    </xf>
    <xf numFmtId="0" fontId="9" fillId="0" borderId="7" xfId="0" applyNumberFormat="1" applyFont="1" applyFill="1" applyBorder="1" applyAlignment="1">
      <alignment horizontal="center" vertical="center" wrapText="1"/>
    </xf>
    <xf numFmtId="0" fontId="3" fillId="2" borderId="8" xfId="0" applyFont="1" applyFill="1" applyBorder="1" applyAlignment="1" applyProtection="1">
      <alignment horizontal="justify" vertical="center" wrapText="1"/>
      <protection locked="0"/>
    </xf>
    <xf numFmtId="0" fontId="9" fillId="0" borderId="8" xfId="0" applyFont="1" applyFill="1" applyBorder="1" applyAlignment="1">
      <alignment horizontal="justify" vertical="center" wrapText="1"/>
    </xf>
    <xf numFmtId="0" fontId="3" fillId="2" borderId="8"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8" xfId="0" applyFont="1" applyFill="1" applyBorder="1" applyAlignment="1">
      <alignment horizontal="justify" vertical="center" wrapText="1"/>
    </xf>
    <xf numFmtId="9" fontId="3" fillId="2" borderId="8" xfId="1" applyFont="1" applyFill="1" applyBorder="1" applyAlignment="1">
      <alignment horizontal="center" vertical="center" wrapText="1"/>
    </xf>
    <xf numFmtId="43" fontId="3" fillId="2" borderId="8" xfId="0" applyNumberFormat="1" applyFont="1" applyFill="1" applyBorder="1" applyAlignment="1">
      <alignment horizontal="center" vertical="center" wrapText="1"/>
    </xf>
    <xf numFmtId="0" fontId="3" fillId="2" borderId="8" xfId="0" applyFont="1" applyFill="1" applyBorder="1" applyAlignment="1">
      <alignment horizontal="justify" vertical="center" wrapText="1"/>
    </xf>
    <xf numFmtId="3" fontId="3" fillId="2" borderId="8" xfId="0" applyNumberFormat="1" applyFont="1" applyFill="1" applyBorder="1" applyAlignment="1">
      <alignment horizontal="justify" vertical="center" wrapText="1"/>
    </xf>
    <xf numFmtId="43" fontId="9" fillId="2" borderId="8" xfId="4" applyNumberFormat="1" applyFont="1" applyFill="1" applyBorder="1" applyAlignment="1">
      <alignment horizontal="right" vertical="center"/>
    </xf>
    <xf numFmtId="1" fontId="3" fillId="2" borderId="8"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14" fontId="3" fillId="2" borderId="8" xfId="0" applyNumberFormat="1" applyFont="1" applyFill="1" applyBorder="1" applyAlignment="1">
      <alignment vertical="center" wrapText="1"/>
    </xf>
    <xf numFmtId="14" fontId="3" fillId="2" borderId="8" xfId="0" applyNumberFormat="1" applyFont="1" applyFill="1" applyBorder="1" applyAlignment="1">
      <alignment horizontal="center" vertical="center" wrapText="1"/>
    </xf>
    <xf numFmtId="1" fontId="3" fillId="0" borderId="6" xfId="0" applyNumberFormat="1" applyFont="1" applyFill="1" applyBorder="1"/>
    <xf numFmtId="0" fontId="3" fillId="0" borderId="10" xfId="0" applyFont="1" applyFill="1" applyBorder="1"/>
    <xf numFmtId="0" fontId="3" fillId="0" borderId="11" xfId="0" applyFont="1" applyFill="1" applyBorder="1"/>
    <xf numFmtId="0" fontId="3" fillId="0" borderId="12" xfId="0" applyFont="1" applyFill="1" applyBorder="1"/>
    <xf numFmtId="0" fontId="3" fillId="0" borderId="2" xfId="0" applyFont="1" applyFill="1" applyBorder="1"/>
    <xf numFmtId="0" fontId="3" fillId="0" borderId="2" xfId="0" applyFont="1" applyFill="1" applyBorder="1" applyAlignment="1">
      <alignment horizontal="justify" vertical="center" wrapText="1"/>
    </xf>
    <xf numFmtId="0" fontId="3" fillId="0" borderId="2" xfId="0" applyFont="1" applyFill="1" applyBorder="1" applyAlignment="1">
      <alignment horizontal="center"/>
    </xf>
    <xf numFmtId="164" fontId="3" fillId="0" borderId="2" xfId="0" applyNumberFormat="1" applyFont="1" applyFill="1" applyBorder="1" applyAlignment="1">
      <alignment horizontal="center" vertical="center"/>
    </xf>
    <xf numFmtId="43" fontId="2" fillId="0" borderId="2" xfId="0" applyNumberFormat="1" applyFont="1" applyFill="1" applyBorder="1" applyAlignment="1">
      <alignment horizontal="center" vertical="center"/>
    </xf>
    <xf numFmtId="1" fontId="3"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2" fillId="0" borderId="2" xfId="0" applyNumberFormat="1" applyFont="1" applyFill="1" applyBorder="1" applyAlignment="1">
      <alignment horizontal="center" vertical="center"/>
    </xf>
    <xf numFmtId="167" fontId="3" fillId="0" borderId="2" xfId="0" applyNumberFormat="1" applyFont="1" applyFill="1" applyBorder="1" applyAlignment="1">
      <alignment horizontal="center"/>
    </xf>
    <xf numFmtId="0" fontId="3" fillId="0" borderId="0" xfId="0" applyFont="1" applyFill="1"/>
    <xf numFmtId="1" fontId="13" fillId="0" borderId="0" xfId="0" applyNumberFormat="1" applyFont="1"/>
    <xf numFmtId="0" fontId="13" fillId="2" borderId="0" xfId="0" applyFont="1" applyFill="1" applyAlignment="1">
      <alignment horizontal="justify" vertical="center" wrapText="1"/>
    </xf>
    <xf numFmtId="0" fontId="13" fillId="2" borderId="0" xfId="0" applyFont="1" applyFill="1" applyAlignment="1">
      <alignment horizontal="center"/>
    </xf>
    <xf numFmtId="0" fontId="13" fillId="2" borderId="0" xfId="0" applyFont="1" applyFill="1" applyAlignment="1">
      <alignment horizontal="justify" vertical="center"/>
    </xf>
    <xf numFmtId="164" fontId="13" fillId="2" borderId="0" xfId="0" applyNumberFormat="1" applyFont="1" applyFill="1" applyAlignment="1">
      <alignment horizontal="center" vertical="center"/>
    </xf>
    <xf numFmtId="165" fontId="13" fillId="2" borderId="0" xfId="0" applyNumberFormat="1" applyFont="1" applyFill="1" applyAlignment="1">
      <alignment vertical="center"/>
    </xf>
    <xf numFmtId="43" fontId="13" fillId="2" borderId="0" xfId="0" applyNumberFormat="1" applyFont="1" applyFill="1" applyAlignment="1">
      <alignment horizontal="center" vertical="center"/>
    </xf>
    <xf numFmtId="1" fontId="13" fillId="2" borderId="0" xfId="0" applyNumberFormat="1" applyFont="1" applyFill="1" applyAlignment="1">
      <alignment horizontal="center" vertical="center"/>
    </xf>
    <xf numFmtId="0" fontId="13" fillId="2" borderId="0" xfId="0" applyFont="1" applyFill="1" applyAlignment="1">
      <alignment horizontal="center" vertical="center"/>
    </xf>
    <xf numFmtId="167" fontId="13" fillId="0" borderId="0" xfId="0" applyNumberFormat="1" applyFont="1" applyFill="1" applyAlignment="1">
      <alignment horizontal="center" vertical="center"/>
    </xf>
    <xf numFmtId="167" fontId="13" fillId="0" borderId="0" xfId="0" applyNumberFormat="1" applyFont="1" applyAlignment="1">
      <alignment horizontal="center"/>
    </xf>
    <xf numFmtId="0" fontId="13" fillId="0" borderId="0" xfId="0" applyFont="1" applyAlignment="1">
      <alignment horizontal="justify" vertical="center"/>
    </xf>
    <xf numFmtId="172" fontId="13" fillId="2" borderId="0" xfId="0" applyNumberFormat="1" applyFont="1" applyFill="1" applyAlignment="1">
      <alignment vertical="center"/>
    </xf>
    <xf numFmtId="165" fontId="13" fillId="2" borderId="0" xfId="0" applyNumberFormat="1" applyFont="1" applyFill="1" applyAlignment="1">
      <alignment horizontal="center" vertical="center"/>
    </xf>
    <xf numFmtId="0" fontId="13" fillId="0" borderId="3" xfId="0" applyFont="1" applyBorder="1"/>
    <xf numFmtId="0" fontId="2" fillId="2" borderId="0" xfId="0" applyFont="1" applyFill="1" applyAlignment="1">
      <alignment horizontal="center"/>
    </xf>
    <xf numFmtId="172" fontId="13" fillId="2" borderId="0" xfId="0" applyNumberFormat="1" applyFont="1" applyFill="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justify" vertical="center" wrapText="1"/>
    </xf>
    <xf numFmtId="0" fontId="5" fillId="8" borderId="5" xfId="0" applyFont="1" applyFill="1" applyBorder="1" applyAlignment="1">
      <alignment horizontal="center" vertical="center"/>
    </xf>
    <xf numFmtId="0" fontId="5" fillId="8" borderId="11" xfId="0" applyNumberFormat="1" applyFont="1" applyFill="1" applyBorder="1" applyAlignment="1">
      <alignment horizontal="justify" vertical="center" wrapText="1"/>
    </xf>
    <xf numFmtId="0" fontId="5" fillId="8" borderId="5" xfId="0" applyNumberFormat="1" applyFont="1" applyFill="1" applyBorder="1" applyAlignment="1">
      <alignment vertical="center"/>
    </xf>
    <xf numFmtId="0" fontId="2" fillId="8" borderId="5" xfId="0" applyFont="1" applyFill="1" applyBorder="1" applyAlignment="1">
      <alignment horizontal="center" vertical="center"/>
    </xf>
    <xf numFmtId="0" fontId="2" fillId="8" borderId="5" xfId="0" applyFont="1" applyFill="1" applyBorder="1" applyAlignment="1">
      <alignment horizontal="justify" vertical="center"/>
    </xf>
    <xf numFmtId="164" fontId="2" fillId="8" borderId="5" xfId="0" applyNumberFormat="1" applyFont="1" applyFill="1" applyBorder="1" applyAlignment="1">
      <alignment horizontal="center" vertical="center"/>
    </xf>
    <xf numFmtId="165" fontId="2" fillId="8" borderId="5" xfId="0" applyNumberFormat="1" applyFont="1" applyFill="1" applyBorder="1" applyAlignment="1">
      <alignment vertical="center"/>
    </xf>
    <xf numFmtId="0" fontId="2" fillId="8" borderId="5" xfId="0" applyFont="1" applyFill="1" applyBorder="1" applyAlignment="1">
      <alignment horizontal="justify" vertical="center" wrapText="1"/>
    </xf>
    <xf numFmtId="165" fontId="2" fillId="8" borderId="5" xfId="0" applyNumberFormat="1" applyFont="1" applyFill="1" applyBorder="1" applyAlignment="1">
      <alignment horizontal="center" vertical="center"/>
    </xf>
    <xf numFmtId="1" fontId="2" fillId="8" borderId="5" xfId="0" applyNumberFormat="1" applyFont="1" applyFill="1" applyBorder="1" applyAlignment="1">
      <alignment horizontal="center" vertical="center"/>
    </xf>
    <xf numFmtId="167" fontId="2" fillId="8" borderId="5" xfId="0" applyNumberFormat="1" applyFont="1" applyFill="1" applyBorder="1" applyAlignment="1">
      <alignment horizontal="center" vertical="center"/>
    </xf>
    <xf numFmtId="0" fontId="2" fillId="8" borderId="7" xfId="0" applyFont="1" applyFill="1" applyBorder="1" applyAlignment="1">
      <alignment horizontal="justify" vertical="center"/>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6" borderId="12" xfId="0" applyNumberFormat="1" applyFont="1" applyFill="1" applyBorder="1" applyAlignment="1">
      <alignment horizontal="left" vertical="center" wrapText="1"/>
    </xf>
    <xf numFmtId="0" fontId="5" fillId="6" borderId="11" xfId="0" applyFont="1" applyFill="1" applyBorder="1" applyAlignment="1">
      <alignment horizontal="left" vertical="center"/>
    </xf>
    <xf numFmtId="0" fontId="5" fillId="6" borderId="11" xfId="0" applyNumberFormat="1" applyFont="1" applyFill="1" applyBorder="1" applyAlignment="1">
      <alignment horizontal="justify" vertical="center" wrapText="1"/>
    </xf>
    <xf numFmtId="0" fontId="9" fillId="6" borderId="11" xfId="0" applyNumberFormat="1" applyFont="1" applyFill="1" applyBorder="1" applyAlignment="1">
      <alignment horizontal="center" vertical="center"/>
    </xf>
    <xf numFmtId="0" fontId="5" fillId="6" borderId="11" xfId="0" applyFont="1" applyFill="1" applyBorder="1" applyAlignment="1">
      <alignment horizontal="justify" vertical="center" wrapText="1"/>
    </xf>
    <xf numFmtId="0" fontId="5" fillId="6" borderId="11" xfId="0" applyFont="1" applyFill="1" applyBorder="1" applyAlignment="1">
      <alignment vertical="center"/>
    </xf>
    <xf numFmtId="0" fontId="5" fillId="6" borderId="11" xfId="0" applyFont="1" applyFill="1" applyBorder="1" applyAlignment="1">
      <alignment horizontal="center" vertical="center"/>
    </xf>
    <xf numFmtId="0" fontId="2" fillId="6" borderId="11" xfId="0" applyFont="1" applyFill="1" applyBorder="1" applyAlignment="1">
      <alignment horizontal="center" vertical="center"/>
    </xf>
    <xf numFmtId="0" fontId="2" fillId="6" borderId="11" xfId="0" applyFont="1" applyFill="1" applyBorder="1" applyAlignment="1">
      <alignment horizontal="justify" vertical="center"/>
    </xf>
    <xf numFmtId="164" fontId="2" fillId="6" borderId="11" xfId="0" applyNumberFormat="1" applyFont="1" applyFill="1" applyBorder="1" applyAlignment="1">
      <alignment horizontal="center" vertical="center"/>
    </xf>
    <xf numFmtId="165" fontId="2" fillId="6" borderId="11" xfId="0" applyNumberFormat="1" applyFont="1" applyFill="1" applyBorder="1" applyAlignment="1">
      <alignment vertical="center"/>
    </xf>
    <xf numFmtId="0" fontId="2" fillId="6" borderId="11" xfId="0" applyFont="1" applyFill="1" applyBorder="1" applyAlignment="1">
      <alignment horizontal="justify" vertical="center" wrapText="1"/>
    </xf>
    <xf numFmtId="165" fontId="2" fillId="6" borderId="11" xfId="0" applyNumberFormat="1" applyFont="1" applyFill="1" applyBorder="1" applyAlignment="1">
      <alignment horizontal="center" vertical="center"/>
    </xf>
    <xf numFmtId="1" fontId="2" fillId="6" borderId="11" xfId="0" applyNumberFormat="1" applyFont="1" applyFill="1" applyBorder="1" applyAlignment="1">
      <alignment horizontal="center" vertical="center"/>
    </xf>
    <xf numFmtId="167" fontId="2" fillId="6" borderId="11" xfId="0" applyNumberFormat="1" applyFont="1" applyFill="1" applyBorder="1" applyAlignment="1">
      <alignment horizontal="center" vertical="center"/>
    </xf>
    <xf numFmtId="0" fontId="2" fillId="6" borderId="12" xfId="0" applyFont="1" applyFill="1" applyBorder="1" applyAlignment="1">
      <alignment horizontal="justify" vertical="center"/>
    </xf>
    <xf numFmtId="0" fontId="9" fillId="0" borderId="2"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9" fontId="3" fillId="2" borderId="18" xfId="1" applyNumberFormat="1" applyFont="1" applyFill="1" applyBorder="1" applyAlignment="1">
      <alignment horizontal="center" vertical="center" wrapText="1"/>
    </xf>
    <xf numFmtId="43" fontId="9" fillId="0" borderId="18" xfId="0" applyNumberFormat="1" applyFont="1" applyFill="1" applyBorder="1" applyAlignment="1">
      <alignment vertical="center"/>
    </xf>
    <xf numFmtId="43" fontId="9" fillId="0"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170" fontId="3" fillId="2" borderId="8" xfId="0" applyNumberFormat="1" applyFont="1" applyFill="1" applyBorder="1" applyAlignment="1">
      <alignment horizontal="center" vertical="center" wrapText="1"/>
    </xf>
    <xf numFmtId="1" fontId="3" fillId="2" borderId="18" xfId="0" applyNumberFormat="1" applyFont="1" applyFill="1" applyBorder="1" applyAlignment="1">
      <alignment horizontal="justify" vertical="center" wrapText="1"/>
    </xf>
    <xf numFmtId="0" fontId="2" fillId="2" borderId="1"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2" fillId="6" borderId="12" xfId="0" applyFont="1" applyFill="1" applyBorder="1" applyAlignment="1">
      <alignment horizontal="justify" vertical="center" wrapText="1"/>
    </xf>
    <xf numFmtId="1" fontId="3" fillId="0" borderId="17" xfId="0" applyNumberFormat="1" applyFont="1" applyBorder="1"/>
    <xf numFmtId="0" fontId="3" fillId="0" borderId="0" xfId="0" applyFont="1" applyAlignment="1">
      <alignment horizontal="center" vertical="center" wrapText="1"/>
    </xf>
    <xf numFmtId="9" fontId="3" fillId="2" borderId="2" xfId="1" applyFont="1" applyFill="1" applyBorder="1" applyAlignment="1">
      <alignment horizontal="center" vertical="center"/>
    </xf>
    <xf numFmtId="1" fontId="3" fillId="0" borderId="17" xfId="0" applyNumberFormat="1" applyFont="1" applyFill="1" applyBorder="1"/>
    <xf numFmtId="0" fontId="3" fillId="0" borderId="0" xfId="0" applyFont="1" applyFill="1" applyBorder="1"/>
    <xf numFmtId="0" fontId="3" fillId="0" borderId="1" xfId="0" applyFont="1" applyFill="1" applyBorder="1"/>
    <xf numFmtId="0" fontId="3" fillId="0" borderId="12" xfId="0" applyFont="1" applyFill="1" applyBorder="1" applyAlignment="1">
      <alignment horizontal="center"/>
    </xf>
    <xf numFmtId="0" fontId="9" fillId="0" borderId="2" xfId="0" applyFont="1" applyFill="1" applyBorder="1" applyAlignment="1">
      <alignment horizontal="center" vertical="center" wrapText="1"/>
    </xf>
    <xf numFmtId="10" fontId="3" fillId="0" borderId="2" xfId="1" applyNumberFormat="1" applyFont="1" applyFill="1" applyBorder="1" applyAlignment="1">
      <alignment horizontal="center" vertical="center"/>
    </xf>
    <xf numFmtId="0" fontId="3" fillId="0" borderId="8" xfId="8" applyNumberFormat="1" applyFont="1" applyFill="1" applyBorder="1" applyAlignment="1">
      <alignment horizontal="center" vertical="center"/>
    </xf>
    <xf numFmtId="170" fontId="3" fillId="0" borderId="8" xfId="0" applyNumberFormat="1" applyFont="1" applyFill="1" applyBorder="1" applyAlignment="1">
      <alignment horizontal="center" vertical="center" wrapText="1"/>
    </xf>
    <xf numFmtId="1" fontId="3" fillId="0" borderId="18" xfId="0" applyNumberFormat="1" applyFont="1" applyFill="1" applyBorder="1" applyAlignment="1">
      <alignment horizontal="justify" vertical="center" wrapText="1"/>
    </xf>
    <xf numFmtId="10" fontId="3" fillId="2" borderId="2" xfId="1" applyNumberFormat="1"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3" xfId="0" applyFont="1" applyFill="1" applyBorder="1" applyAlignment="1">
      <alignment horizontal="justify" vertical="center" wrapText="1"/>
    </xf>
    <xf numFmtId="49" fontId="3" fillId="0" borderId="2"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xf>
    <xf numFmtId="0" fontId="5" fillId="8" borderId="16" xfId="0" applyNumberFormat="1" applyFont="1" applyFill="1" applyBorder="1" applyAlignment="1">
      <alignment horizontal="left" vertical="center" wrapText="1"/>
    </xf>
    <xf numFmtId="0" fontId="5" fillId="8" borderId="0" xfId="0" applyNumberFormat="1" applyFont="1" applyFill="1" applyBorder="1" applyAlignment="1">
      <alignment horizontal="left" vertical="center"/>
    </xf>
    <xf numFmtId="0" fontId="5" fillId="8" borderId="0" xfId="0" applyFont="1" applyFill="1" applyBorder="1" applyAlignment="1">
      <alignment horizontal="center" vertical="center"/>
    </xf>
    <xf numFmtId="0" fontId="5" fillId="8" borderId="11" xfId="0" applyNumberFormat="1" applyFont="1" applyFill="1" applyBorder="1" applyAlignment="1">
      <alignment vertical="center"/>
    </xf>
    <xf numFmtId="0" fontId="2" fillId="8" borderId="11" xfId="0" applyFont="1" applyFill="1" applyBorder="1" applyAlignment="1">
      <alignment horizontal="center" vertical="center"/>
    </xf>
    <xf numFmtId="0" fontId="2" fillId="8" borderId="11"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5" fillId="8" borderId="11" xfId="0" applyFont="1" applyFill="1" applyBorder="1" applyAlignment="1">
      <alignment horizontal="justify" vertical="center" wrapText="1"/>
    </xf>
    <xf numFmtId="164" fontId="2" fillId="8" borderId="11" xfId="0" applyNumberFormat="1" applyFont="1" applyFill="1" applyBorder="1" applyAlignment="1">
      <alignment horizontal="center" vertical="center"/>
    </xf>
    <xf numFmtId="165" fontId="2" fillId="8" borderId="11" xfId="0" applyNumberFormat="1" applyFont="1" applyFill="1" applyBorder="1" applyAlignment="1">
      <alignment vertical="center"/>
    </xf>
    <xf numFmtId="0" fontId="2" fillId="8" borderId="11" xfId="0" applyFont="1" applyFill="1" applyBorder="1" applyAlignment="1">
      <alignment horizontal="justify" vertical="center" wrapText="1"/>
    </xf>
    <xf numFmtId="165" fontId="2" fillId="8" borderId="11" xfId="0" applyNumberFormat="1" applyFont="1" applyFill="1" applyBorder="1" applyAlignment="1">
      <alignment horizontal="center" vertical="center"/>
    </xf>
    <xf numFmtId="1" fontId="2" fillId="8" borderId="11" xfId="0" applyNumberFormat="1" applyFont="1" applyFill="1" applyBorder="1" applyAlignment="1">
      <alignment horizontal="center" vertical="center"/>
    </xf>
    <xf numFmtId="167" fontId="2" fillId="8" borderId="11" xfId="0" applyNumberFormat="1" applyFont="1" applyFill="1" applyBorder="1" applyAlignment="1">
      <alignment horizontal="center" vertical="center"/>
    </xf>
    <xf numFmtId="0" fontId="2" fillId="8" borderId="12" xfId="0" applyFont="1" applyFill="1" applyBorder="1" applyAlignment="1">
      <alignment horizontal="justify" vertical="center" wrapText="1"/>
    </xf>
    <xf numFmtId="0" fontId="9" fillId="0" borderId="2" xfId="7" applyNumberFormat="1"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horizontal="justify" vertical="center" wrapText="1"/>
    </xf>
    <xf numFmtId="0" fontId="3" fillId="0" borderId="8" xfId="0" applyFont="1" applyFill="1" applyBorder="1" applyAlignment="1">
      <alignment horizontal="justify" vertical="center" wrapText="1"/>
    </xf>
    <xf numFmtId="1" fontId="3" fillId="2" borderId="8" xfId="0" applyNumberFormat="1" applyFont="1" applyFill="1" applyBorder="1" applyAlignment="1">
      <alignment horizontal="center" vertical="center"/>
    </xf>
    <xf numFmtId="0" fontId="3" fillId="0" borderId="8" xfId="0" applyNumberFormat="1" applyFont="1" applyFill="1" applyBorder="1" applyAlignment="1">
      <alignment horizontal="center" vertical="center"/>
    </xf>
    <xf numFmtId="1" fontId="3" fillId="0" borderId="6" xfId="0" applyNumberFormat="1" applyFont="1" applyBorder="1"/>
    <xf numFmtId="0" fontId="9" fillId="0" borderId="8" xfId="0" applyFont="1" applyFill="1" applyBorder="1" applyAlignment="1">
      <alignment horizontal="center" vertical="center" wrapText="1"/>
    </xf>
    <xf numFmtId="0" fontId="9" fillId="0" borderId="8" xfId="0" applyFont="1" applyFill="1" applyBorder="1" applyAlignment="1">
      <alignment horizontal="justify" vertical="center" wrapText="1"/>
    </xf>
    <xf numFmtId="0" fontId="3" fillId="0" borderId="1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justify" vertical="center" wrapText="1"/>
    </xf>
    <xf numFmtId="0" fontId="3" fillId="0" borderId="11" xfId="0" applyFont="1" applyBorder="1"/>
    <xf numFmtId="0" fontId="3" fillId="0" borderId="12" xfId="0" applyFont="1" applyBorder="1"/>
    <xf numFmtId="0" fontId="3" fillId="0" borderId="5" xfId="0" applyFont="1" applyBorder="1"/>
    <xf numFmtId="0" fontId="3" fillId="0" borderId="7" xfId="0" applyFont="1" applyBorder="1"/>
    <xf numFmtId="0" fontId="9" fillId="0" borderId="8" xfId="7" applyNumberFormat="1" applyFont="1" applyFill="1" applyBorder="1" applyAlignment="1">
      <alignment horizontal="center" vertical="center" wrapText="1"/>
    </xf>
    <xf numFmtId="0" fontId="3" fillId="0" borderId="8" xfId="0" applyNumberFormat="1" applyFont="1" applyBorder="1" applyAlignment="1">
      <alignment horizontal="center" vertical="center"/>
    </xf>
    <xf numFmtId="0" fontId="9" fillId="0" borderId="18" xfId="7" applyNumberFormat="1" applyFont="1" applyFill="1" applyBorder="1" applyAlignment="1">
      <alignment horizontal="center" vertical="center" wrapText="1"/>
    </xf>
    <xf numFmtId="0" fontId="9" fillId="0" borderId="18" xfId="0" applyFont="1" applyFill="1" applyBorder="1" applyAlignment="1">
      <alignment horizontal="justify" vertical="center" wrapText="1"/>
    </xf>
    <xf numFmtId="0" fontId="9" fillId="0" borderId="18" xfId="0" applyFont="1" applyFill="1" applyBorder="1" applyAlignment="1">
      <alignment horizontal="center" vertical="center" wrapText="1"/>
    </xf>
    <xf numFmtId="0" fontId="9" fillId="0" borderId="2" xfId="4" applyNumberFormat="1" applyFont="1" applyFill="1" applyBorder="1" applyAlignment="1">
      <alignment horizontal="center" vertical="center" wrapText="1"/>
    </xf>
    <xf numFmtId="171" fontId="9" fillId="0" borderId="2" xfId="7" applyFont="1" applyFill="1" applyBorder="1" applyAlignment="1">
      <alignment horizontal="justify" vertical="center" wrapText="1"/>
    </xf>
    <xf numFmtId="0" fontId="3" fillId="0" borderId="18" xfId="0" applyNumberFormat="1" applyFont="1" applyFill="1" applyBorder="1" applyAlignment="1">
      <alignment horizontal="center" vertical="center"/>
    </xf>
    <xf numFmtId="0" fontId="5" fillId="6" borderId="5" xfId="0" applyFont="1" applyFill="1" applyBorder="1" applyAlignment="1">
      <alignment horizontal="left" vertical="center"/>
    </xf>
    <xf numFmtId="0" fontId="5" fillId="6" borderId="5" xfId="0" applyNumberFormat="1" applyFont="1" applyFill="1" applyBorder="1" applyAlignment="1">
      <alignment horizontal="justify" vertical="center" wrapText="1"/>
    </xf>
    <xf numFmtId="0" fontId="9" fillId="0" borderId="12" xfId="7" applyNumberFormat="1" applyFont="1" applyFill="1" applyBorder="1" applyAlignment="1">
      <alignment horizontal="center" vertical="center" wrapText="1"/>
    </xf>
    <xf numFmtId="0" fontId="3" fillId="0" borderId="2" xfId="8" applyNumberFormat="1" applyFont="1" applyFill="1" applyBorder="1" applyAlignment="1">
      <alignment horizontal="center" vertical="center"/>
    </xf>
    <xf numFmtId="43" fontId="5" fillId="0" borderId="2" xfId="0" applyNumberFormat="1" applyFont="1" applyFill="1" applyBorder="1" applyAlignment="1">
      <alignment vertical="center"/>
    </xf>
    <xf numFmtId="43" fontId="13" fillId="2" borderId="0" xfId="0" applyNumberFormat="1" applyFont="1" applyFill="1" applyAlignment="1">
      <alignment horizontal="justify" vertical="center" wrapText="1"/>
    </xf>
    <xf numFmtId="0" fontId="13" fillId="0" borderId="0" xfId="0" applyFont="1" applyAlignment="1">
      <alignment horizontal="center"/>
    </xf>
    <xf numFmtId="165" fontId="3" fillId="2" borderId="3" xfId="0" applyNumberFormat="1" applyFont="1" applyFill="1" applyBorder="1" applyAlignment="1">
      <alignment vertical="center"/>
    </xf>
    <xf numFmtId="0" fontId="3" fillId="2" borderId="3" xfId="0" applyFont="1" applyFill="1" applyBorder="1" applyAlignment="1">
      <alignment horizontal="justify" vertical="center"/>
    </xf>
    <xf numFmtId="0" fontId="13" fillId="2" borderId="0" xfId="0" applyFont="1" applyFill="1" applyBorder="1"/>
    <xf numFmtId="0" fontId="2" fillId="0" borderId="0" xfId="0" applyFont="1" applyBorder="1"/>
    <xf numFmtId="0" fontId="2" fillId="0" borderId="5" xfId="0" applyFont="1" applyFill="1" applyBorder="1" applyAlignment="1">
      <alignment horizontal="center" vertical="center"/>
    </xf>
    <xf numFmtId="0" fontId="2" fillId="0" borderId="3" xfId="0" applyFont="1" applyFill="1" applyBorder="1" applyAlignment="1">
      <alignment horizontal="center" vertical="center"/>
    </xf>
    <xf numFmtId="0" fontId="2" fillId="5" borderId="2" xfId="0" applyFont="1" applyFill="1" applyBorder="1" applyAlignment="1">
      <alignment horizontal="center" vertical="center" wrapText="1"/>
    </xf>
    <xf numFmtId="43" fontId="9" fillId="0" borderId="18" xfId="0" applyNumberFormat="1" applyFont="1" applyFill="1" applyBorder="1" applyAlignment="1">
      <alignment horizontal="center" vertical="center"/>
    </xf>
    <xf numFmtId="170" fontId="3" fillId="2" borderId="16" xfId="0" applyNumberFormat="1" applyFont="1" applyFill="1" applyBorder="1" applyAlignment="1">
      <alignment horizontal="center" vertical="center" wrapText="1"/>
    </xf>
    <xf numFmtId="0" fontId="3" fillId="0" borderId="8" xfId="0" applyNumberFormat="1" applyFont="1" applyFill="1" applyBorder="1" applyAlignment="1">
      <alignment vertical="center"/>
    </xf>
    <xf numFmtId="43" fontId="3" fillId="0" borderId="8" xfId="8" applyNumberFormat="1" applyFont="1" applyFill="1" applyBorder="1" applyAlignment="1">
      <alignment horizontal="center" vertical="center"/>
    </xf>
    <xf numFmtId="9" fontId="3" fillId="0" borderId="8" xfId="1" applyFont="1" applyFill="1" applyBorder="1" applyAlignment="1">
      <alignment horizontal="center" vertical="center"/>
    </xf>
    <xf numFmtId="0" fontId="3" fillId="0" borderId="8" xfId="8" applyNumberFormat="1" applyFont="1" applyFill="1" applyBorder="1" applyAlignment="1">
      <alignment horizontal="center" vertical="center" wrapText="1"/>
    </xf>
    <xf numFmtId="167" fontId="3" fillId="0" borderId="8" xfId="0" applyNumberFormat="1" applyFont="1" applyFill="1" applyBorder="1" applyAlignment="1">
      <alignment horizontal="center" vertical="center"/>
    </xf>
    <xf numFmtId="170" fontId="3" fillId="0" borderId="16" xfId="0" applyNumberFormat="1" applyFont="1" applyFill="1" applyBorder="1" applyAlignment="1">
      <alignment horizontal="center" vertical="center" wrapText="1"/>
    </xf>
    <xf numFmtId="0" fontId="3" fillId="6" borderId="2" xfId="0" applyNumberFormat="1" applyFont="1" applyFill="1" applyBorder="1" applyAlignment="1">
      <alignment vertical="center"/>
    </xf>
    <xf numFmtId="0" fontId="3" fillId="0" borderId="18" xfId="0" applyNumberFormat="1" applyFont="1" applyFill="1" applyBorder="1" applyAlignment="1">
      <alignment vertical="center"/>
    </xf>
    <xf numFmtId="0" fontId="3" fillId="0" borderId="8" xfId="0" applyFont="1" applyFill="1" applyBorder="1" applyAlignment="1">
      <alignment horizontal="center" vertical="center"/>
    </xf>
    <xf numFmtId="43" fontId="9" fillId="0" borderId="8" xfId="0" applyNumberFormat="1" applyFont="1" applyFill="1" applyBorder="1" applyAlignment="1">
      <alignment horizontal="center" vertical="center"/>
    </xf>
    <xf numFmtId="1" fontId="2" fillId="9" borderId="17" xfId="0" applyNumberFormat="1" applyFont="1" applyFill="1" applyBorder="1" applyAlignment="1">
      <alignment horizontal="center" vertical="center" wrapText="1"/>
    </xf>
    <xf numFmtId="0" fontId="2" fillId="9" borderId="0"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3" fillId="9" borderId="0" xfId="0" applyFont="1" applyFill="1"/>
    <xf numFmtId="170" fontId="3" fillId="2" borderId="18" xfId="0" applyNumberFormat="1" applyFont="1" applyFill="1" applyBorder="1" applyAlignment="1">
      <alignment horizontal="center" vertical="center" wrapText="1"/>
    </xf>
    <xf numFmtId="43" fontId="9" fillId="0" borderId="16" xfId="0" applyNumberFormat="1" applyFont="1" applyFill="1" applyBorder="1" applyAlignment="1">
      <alignment horizontal="center" vertical="center"/>
    </xf>
    <xf numFmtId="9" fontId="2" fillId="0" borderId="2" xfId="1" applyFont="1" applyBorder="1" applyAlignment="1">
      <alignment horizontal="center" vertical="center"/>
    </xf>
    <xf numFmtId="0" fontId="13" fillId="0" borderId="0" xfId="0" applyFont="1" applyFill="1" applyAlignment="1">
      <alignment horizontal="center" vertical="center"/>
    </xf>
    <xf numFmtId="0" fontId="12" fillId="0" borderId="2" xfId="0" applyFont="1" applyBorder="1" applyAlignment="1">
      <alignment horizontal="center" vertical="center"/>
    </xf>
    <xf numFmtId="0" fontId="12" fillId="0" borderId="2" xfId="0" applyFont="1" applyBorder="1"/>
    <xf numFmtId="0" fontId="12" fillId="0" borderId="2" xfId="0" applyFont="1" applyBorder="1" applyAlignment="1">
      <alignment vertical="center"/>
    </xf>
    <xf numFmtId="0" fontId="12" fillId="0" borderId="2" xfId="0" applyFont="1" applyBorder="1" applyAlignment="1">
      <alignment vertical="center" wrapText="1"/>
    </xf>
    <xf numFmtId="3" fontId="14" fillId="0" borderId="2" xfId="0" applyNumberFormat="1" applyFont="1" applyBorder="1" applyAlignment="1">
      <alignment horizontal="left" vertical="center" wrapText="1"/>
    </xf>
    <xf numFmtId="0" fontId="5" fillId="8" borderId="8" xfId="0" applyFont="1" applyFill="1" applyBorder="1" applyAlignment="1">
      <alignment horizontal="left" vertical="center" wrapText="1"/>
    </xf>
    <xf numFmtId="0" fontId="5" fillId="8" borderId="9" xfId="0" applyFont="1" applyFill="1" applyBorder="1" applyAlignment="1">
      <alignment vertical="center"/>
    </xf>
    <xf numFmtId="0" fontId="5" fillId="8" borderId="11" xfId="0" applyFont="1" applyFill="1" applyBorder="1" applyAlignment="1">
      <alignment vertical="center"/>
    </xf>
    <xf numFmtId="0" fontId="5" fillId="8" borderId="11" xfId="0" applyFont="1" applyFill="1" applyBorder="1" applyAlignment="1">
      <alignment horizontal="center" vertical="center"/>
    </xf>
    <xf numFmtId="0" fontId="2" fillId="8" borderId="11" xfId="0" applyFont="1" applyFill="1" applyBorder="1" applyAlignment="1">
      <alignment vertical="center"/>
    </xf>
    <xf numFmtId="0" fontId="2" fillId="8" borderId="12" xfId="0" applyFont="1" applyFill="1" applyBorder="1" applyAlignment="1">
      <alignment horizontal="justify" vertical="center"/>
    </xf>
    <xf numFmtId="0" fontId="5" fillId="6" borderId="1" xfId="0" applyFont="1" applyFill="1" applyBorder="1" applyAlignment="1">
      <alignment horizontal="left" vertical="center" wrapText="1"/>
    </xf>
    <xf numFmtId="0" fontId="5" fillId="6" borderId="0" xfId="0" applyFont="1" applyFill="1" applyAlignment="1">
      <alignment horizontal="left" vertical="center"/>
    </xf>
    <xf numFmtId="0" fontId="5" fillId="6" borderId="0" xfId="0" applyFont="1" applyFill="1" applyAlignment="1">
      <alignment horizontal="justify" vertical="center" wrapText="1"/>
    </xf>
    <xf numFmtId="0" fontId="2" fillId="6" borderId="3" xfId="0" applyFont="1" applyFill="1" applyBorder="1" applyAlignment="1">
      <alignment horizontal="justify" vertical="center" wrapText="1"/>
    </xf>
    <xf numFmtId="0" fontId="3" fillId="2" borderId="5" xfId="0" applyFont="1" applyFill="1" applyBorder="1" applyAlignment="1">
      <alignment vertical="center" wrapText="1"/>
    </xf>
    <xf numFmtId="0" fontId="3" fillId="2" borderId="7" xfId="0" applyFont="1" applyFill="1" applyBorder="1" applyAlignment="1">
      <alignment vertical="center" wrapText="1"/>
    </xf>
    <xf numFmtId="0" fontId="3" fillId="0" borderId="8" xfId="0" applyFont="1" applyFill="1" applyBorder="1" applyAlignment="1">
      <alignment horizontal="center" vertical="center" wrapText="1"/>
    </xf>
    <xf numFmtId="0" fontId="9" fillId="0" borderId="8" xfId="0" applyFont="1" applyBorder="1" applyAlignment="1">
      <alignment vertical="center" wrapText="1"/>
    </xf>
    <xf numFmtId="43" fontId="9" fillId="0" borderId="8" xfId="0" applyNumberFormat="1" applyFont="1" applyBorder="1" applyAlignment="1">
      <alignment vertical="center"/>
    </xf>
    <xf numFmtId="43" fontId="9" fillId="0" borderId="2" xfId="0" applyNumberFormat="1" applyFont="1" applyBorder="1" applyAlignment="1">
      <alignment horizontal="center" vertical="center"/>
    </xf>
    <xf numFmtId="169" fontId="3" fillId="2" borderId="8" xfId="5" applyNumberFormat="1" applyFont="1" applyFill="1" applyBorder="1" applyAlignment="1">
      <alignment horizontal="center" vertical="center" wrapText="1"/>
    </xf>
    <xf numFmtId="1" fontId="3" fillId="2" borderId="8" xfId="0" applyNumberFormat="1" applyFont="1" applyFill="1" applyBorder="1" applyAlignment="1">
      <alignment horizontal="justify" vertical="center" wrapText="1"/>
    </xf>
    <xf numFmtId="1" fontId="2" fillId="2" borderId="9" xfId="0" applyNumberFormat="1" applyFont="1" applyFill="1" applyBorder="1" applyAlignment="1">
      <alignment vertical="center" wrapText="1"/>
    </xf>
    <xf numFmtId="1" fontId="2" fillId="2" borderId="5" xfId="0" applyNumberFormat="1" applyFont="1" applyFill="1" applyBorder="1" applyAlignment="1">
      <alignment vertical="center" wrapText="1"/>
    </xf>
    <xf numFmtId="1" fontId="2" fillId="2" borderId="7" xfId="0" applyNumberFormat="1" applyFont="1" applyFill="1" applyBorder="1" applyAlignment="1">
      <alignment vertical="center" wrapText="1"/>
    </xf>
    <xf numFmtId="0" fontId="5" fillId="6" borderId="2" xfId="0" applyFont="1" applyFill="1" applyBorder="1" applyAlignment="1">
      <alignment horizontal="left" vertical="center" wrapText="1"/>
    </xf>
    <xf numFmtId="0" fontId="9" fillId="6" borderId="11" xfId="0" applyFont="1" applyFill="1" applyBorder="1" applyAlignment="1">
      <alignment horizontal="center" vertical="center"/>
    </xf>
    <xf numFmtId="0" fontId="2" fillId="6" borderId="11" xfId="0" applyFont="1" applyFill="1" applyBorder="1" applyAlignment="1">
      <alignment vertical="center"/>
    </xf>
    <xf numFmtId="9" fontId="2" fillId="6" borderId="11" xfId="1" applyFont="1" applyFill="1" applyBorder="1" applyAlignment="1">
      <alignment horizontal="center" vertical="center"/>
    </xf>
    <xf numFmtId="1" fontId="2" fillId="2" borderId="17" xfId="0" applyNumberFormat="1" applyFont="1" applyFill="1" applyBorder="1" applyAlignment="1">
      <alignment vertical="center" wrapText="1"/>
    </xf>
    <xf numFmtId="1" fontId="2" fillId="2" borderId="0" xfId="0" applyNumberFormat="1" applyFont="1" applyFill="1" applyAlignment="1">
      <alignment vertical="center" wrapText="1"/>
    </xf>
    <xf numFmtId="1" fontId="2" fillId="2" borderId="1" xfId="0" applyNumberFormat="1" applyFont="1" applyFill="1" applyBorder="1" applyAlignment="1">
      <alignment vertical="center" wrapText="1"/>
    </xf>
    <xf numFmtId="0" fontId="3" fillId="0" borderId="2" xfId="0" applyFont="1" applyBorder="1" applyAlignment="1">
      <alignment horizontal="center" vertical="center" wrapText="1"/>
    </xf>
    <xf numFmtId="0" fontId="9" fillId="0" borderId="2" xfId="0" applyFont="1" applyBorder="1" applyAlignment="1">
      <alignment vertical="center" wrapText="1"/>
    </xf>
    <xf numFmtId="10" fontId="3" fillId="2" borderId="2" xfId="1" applyNumberFormat="1" applyFont="1" applyFill="1" applyBorder="1" applyAlignment="1">
      <alignment horizontal="center" vertical="center" wrapText="1"/>
    </xf>
    <xf numFmtId="43" fontId="9" fillId="0" borderId="2" xfId="0" applyNumberFormat="1" applyFont="1" applyBorder="1" applyAlignment="1">
      <alignment vertical="center"/>
    </xf>
    <xf numFmtId="1" fontId="3" fillId="0" borderId="2" xfId="0" applyNumberFormat="1" applyFont="1" applyFill="1" applyBorder="1" applyAlignment="1">
      <alignment horizontal="center" vertical="center" wrapText="1"/>
    </xf>
    <xf numFmtId="1" fontId="3" fillId="2" borderId="2" xfId="5" applyNumberFormat="1" applyFont="1" applyFill="1" applyBorder="1" applyAlignment="1">
      <alignment horizontal="center" vertical="center" wrapText="1"/>
    </xf>
    <xf numFmtId="1" fontId="3" fillId="2" borderId="8" xfId="5" applyNumberFormat="1" applyFont="1" applyFill="1" applyBorder="1" applyAlignment="1">
      <alignment horizontal="center" vertical="center" wrapText="1"/>
    </xf>
    <xf numFmtId="1" fontId="3" fillId="2" borderId="2" xfId="0" applyNumberFormat="1" applyFont="1" applyFill="1" applyBorder="1" applyAlignment="1">
      <alignment horizontal="justify" vertical="center" wrapText="1"/>
    </xf>
    <xf numFmtId="9" fontId="2" fillId="6" borderId="3" xfId="1" applyFont="1" applyFill="1" applyBorder="1" applyAlignment="1">
      <alignment horizontal="center" vertical="center"/>
    </xf>
    <xf numFmtId="0" fontId="2" fillId="6" borderId="4" xfId="0" applyFont="1" applyFill="1" applyBorder="1" applyAlignment="1">
      <alignment horizontal="justify" vertical="center" wrapText="1"/>
    </xf>
    <xf numFmtId="0" fontId="3" fillId="2" borderId="9" xfId="0" applyFont="1" applyFill="1" applyBorder="1" applyAlignment="1">
      <alignment vertical="center" wrapText="1"/>
    </xf>
    <xf numFmtId="167" fontId="3" fillId="0" borderId="7" xfId="0" applyNumberFormat="1" applyFont="1" applyFill="1" applyBorder="1" applyAlignment="1">
      <alignment horizontal="center" vertical="center"/>
    </xf>
    <xf numFmtId="1" fontId="3" fillId="2" borderId="7" xfId="0" applyNumberFormat="1" applyFont="1" applyFill="1" applyBorder="1" applyAlignment="1">
      <alignment horizontal="justify" vertical="center" wrapText="1"/>
    </xf>
    <xf numFmtId="0" fontId="5" fillId="6" borderId="18" xfId="0" applyFont="1" applyFill="1" applyBorder="1" applyAlignment="1">
      <alignment horizontal="left" vertical="center" wrapText="1"/>
    </xf>
    <xf numFmtId="0" fontId="5" fillId="6" borderId="3" xfId="0" applyFont="1" applyFill="1" applyBorder="1" applyAlignment="1">
      <alignment horizontal="left" vertical="center"/>
    </xf>
    <xf numFmtId="1" fontId="2" fillId="0" borderId="6" xfId="0" applyNumberFormat="1" applyFont="1" applyFill="1" applyBorder="1" applyAlignment="1">
      <alignment vertical="center" wrapText="1"/>
    </xf>
    <xf numFmtId="1" fontId="2" fillId="0" borderId="3" xfId="0" applyNumberFormat="1" applyFont="1" applyFill="1" applyBorder="1" applyAlignment="1">
      <alignment vertical="center" wrapText="1"/>
    </xf>
    <xf numFmtId="1" fontId="2" fillId="0" borderId="4" xfId="0" applyNumberFormat="1"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3" fillId="0" borderId="2" xfId="0" applyFont="1" applyFill="1" applyBorder="1" applyAlignment="1">
      <alignment vertical="center" wrapText="1"/>
    </xf>
    <xf numFmtId="10" fontId="3" fillId="0" borderId="2" xfId="1" applyNumberFormat="1" applyFont="1" applyFill="1" applyBorder="1" applyAlignment="1">
      <alignment horizontal="center" vertical="center" wrapText="1"/>
    </xf>
    <xf numFmtId="43" fontId="9" fillId="0" borderId="2" xfId="0" applyNumberFormat="1" applyFont="1" applyFill="1" applyBorder="1" applyAlignment="1">
      <alignment vertical="center"/>
    </xf>
    <xf numFmtId="3" fontId="3" fillId="0" borderId="2" xfId="0" applyNumberFormat="1" applyFont="1" applyFill="1" applyBorder="1" applyAlignment="1">
      <alignment horizontal="justify" vertical="center" wrapText="1"/>
    </xf>
    <xf numFmtId="1" fontId="3" fillId="0" borderId="2" xfId="5" applyNumberFormat="1" applyFont="1" applyFill="1" applyBorder="1" applyAlignment="1">
      <alignment horizontal="center" vertical="center" wrapText="1"/>
    </xf>
    <xf numFmtId="1" fontId="3" fillId="0" borderId="8" xfId="5" applyNumberFormat="1" applyFont="1" applyFill="1" applyBorder="1" applyAlignment="1">
      <alignment horizontal="center" vertical="center" wrapText="1"/>
    </xf>
    <xf numFmtId="1" fontId="3" fillId="0" borderId="2" xfId="0" applyNumberFormat="1" applyFont="1" applyFill="1" applyBorder="1" applyAlignment="1">
      <alignment horizontal="justify" vertical="center" wrapText="1"/>
    </xf>
    <xf numFmtId="0" fontId="5" fillId="6" borderId="12" xfId="0" applyFont="1" applyFill="1" applyBorder="1" applyAlignment="1">
      <alignment horizontal="justify" vertical="center" wrapText="1"/>
    </xf>
    <xf numFmtId="0" fontId="3" fillId="2" borderId="17" xfId="0" applyFont="1" applyFill="1" applyBorder="1" applyAlignment="1">
      <alignment horizontal="center" vertical="center" wrapText="1"/>
    </xf>
    <xf numFmtId="0" fontId="9" fillId="0" borderId="8" xfId="7" applyNumberFormat="1" applyFont="1" applyFill="1" applyBorder="1">
      <alignment horizontal="center" vertical="center" wrapText="1"/>
    </xf>
    <xf numFmtId="0" fontId="3" fillId="0" borderId="0" xfId="0" applyFont="1" applyAlignment="1">
      <alignment horizontal="center"/>
    </xf>
    <xf numFmtId="0" fontId="3" fillId="2" borderId="16" xfId="0" applyFont="1" applyFill="1" applyBorder="1" applyAlignment="1">
      <alignment horizontal="center" vertical="center" wrapText="1"/>
    </xf>
    <xf numFmtId="1" fontId="3" fillId="2" borderId="16" xfId="0" applyNumberFormat="1" applyFont="1" applyFill="1" applyBorder="1" applyAlignment="1">
      <alignment horizontal="center" vertical="center" wrapText="1"/>
    </xf>
    <xf numFmtId="167" fontId="3" fillId="0" borderId="16" xfId="0" applyNumberFormat="1" applyFont="1" applyFill="1" applyBorder="1" applyAlignment="1">
      <alignment horizontal="center" vertical="center"/>
    </xf>
    <xf numFmtId="0" fontId="9" fillId="0" borderId="2" xfId="7" applyNumberFormat="1" applyFont="1" applyFill="1" applyBorder="1">
      <alignment horizontal="center" vertical="center" wrapText="1"/>
    </xf>
    <xf numFmtId="167" fontId="3" fillId="0" borderId="18" xfId="0" applyNumberFormat="1" applyFont="1" applyFill="1" applyBorder="1" applyAlignment="1">
      <alignment horizontal="center" vertical="center"/>
    </xf>
    <xf numFmtId="1" fontId="2" fillId="2" borderId="3" xfId="0" applyNumberFormat="1" applyFont="1" applyFill="1" applyBorder="1" applyAlignment="1">
      <alignment vertical="center" wrapText="1"/>
    </xf>
    <xf numFmtId="1" fontId="2" fillId="2" borderId="4" xfId="0" applyNumberFormat="1" applyFont="1" applyFill="1"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5" fillId="6" borderId="7" xfId="0" applyFont="1" applyFill="1" applyBorder="1" applyAlignment="1">
      <alignment horizontal="left" vertical="center" wrapText="1"/>
    </xf>
    <xf numFmtId="0" fontId="5" fillId="6" borderId="5" xfId="0" applyFont="1" applyFill="1" applyBorder="1" applyAlignment="1">
      <alignment horizontal="justify" vertical="center" wrapText="1"/>
    </xf>
    <xf numFmtId="10" fontId="3" fillId="2" borderId="8" xfId="1" applyNumberFormat="1"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8" xfId="0" applyFont="1" applyFill="1" applyBorder="1" applyAlignment="1">
      <alignment horizontal="center"/>
    </xf>
    <xf numFmtId="0" fontId="9" fillId="0" borderId="12" xfId="0" applyFont="1" applyBorder="1" applyAlignment="1">
      <alignment horizontal="center" vertical="center" wrapText="1"/>
    </xf>
    <xf numFmtId="0" fontId="3" fillId="0" borderId="8" xfId="0" applyFont="1" applyBorder="1" applyAlignment="1">
      <alignment horizontal="center" vertical="center"/>
    </xf>
    <xf numFmtId="0" fontId="5" fillId="8" borderId="5" xfId="0" applyFont="1" applyFill="1" applyBorder="1" applyAlignment="1">
      <alignment horizontal="left" vertical="center"/>
    </xf>
    <xf numFmtId="0" fontId="5" fillId="6" borderId="12" xfId="0" applyFont="1" applyFill="1" applyBorder="1" applyAlignment="1">
      <alignment horizontal="left" vertical="center" wrapText="1"/>
    </xf>
    <xf numFmtId="0" fontId="3" fillId="0" borderId="8" xfId="0" applyFont="1" applyFill="1" applyBorder="1"/>
    <xf numFmtId="43" fontId="9" fillId="0" borderId="8" xfId="0" applyNumberFormat="1" applyFont="1" applyFill="1" applyBorder="1" applyAlignment="1">
      <alignment vertical="center"/>
    </xf>
    <xf numFmtId="0" fontId="3" fillId="0" borderId="18" xfId="0" applyFont="1" applyFill="1" applyBorder="1"/>
    <xf numFmtId="1" fontId="3" fillId="0" borderId="18" xfId="5" applyNumberFormat="1" applyFont="1" applyFill="1" applyBorder="1" applyAlignment="1">
      <alignment horizontal="center" vertical="center" wrapText="1"/>
    </xf>
    <xf numFmtId="1" fontId="3" fillId="0" borderId="16" xfId="5" applyNumberFormat="1" applyFont="1" applyFill="1" applyBorder="1" applyAlignment="1">
      <alignment horizontal="center" vertical="center" wrapText="1"/>
    </xf>
    <xf numFmtId="0" fontId="3" fillId="0" borderId="9" xfId="0" applyFont="1" applyFill="1" applyBorder="1"/>
    <xf numFmtId="0" fontId="3" fillId="0" borderId="5" xfId="0" applyFont="1" applyFill="1" applyBorder="1"/>
    <xf numFmtId="0" fontId="3" fillId="0" borderId="7" xfId="0" applyFont="1" applyFill="1" applyBorder="1"/>
    <xf numFmtId="0" fontId="9" fillId="0" borderId="12" xfId="0" applyFont="1" applyFill="1" applyBorder="1" applyAlignment="1">
      <alignment horizontal="center" vertical="center" wrapText="1"/>
    </xf>
    <xf numFmtId="43" fontId="9" fillId="0" borderId="2" xfId="9" applyFont="1" applyFill="1" applyBorder="1" applyAlignment="1" applyProtection="1">
      <alignment horizontal="right" vertical="center"/>
      <protection locked="0"/>
    </xf>
    <xf numFmtId="0" fontId="3" fillId="0" borderId="17" xfId="0" applyFont="1" applyFill="1" applyBorder="1"/>
    <xf numFmtId="10" fontId="3" fillId="0" borderId="18" xfId="1" applyNumberFormat="1" applyFont="1" applyFill="1" applyBorder="1" applyAlignment="1">
      <alignment horizontal="center" vertical="center" wrapText="1"/>
    </xf>
    <xf numFmtId="0" fontId="9" fillId="2" borderId="2" xfId="0" applyFont="1" applyFill="1" applyBorder="1" applyAlignment="1">
      <alignment vertical="center" wrapText="1"/>
    </xf>
    <xf numFmtId="0" fontId="5" fillId="8" borderId="2" xfId="0" applyFont="1" applyFill="1" applyBorder="1" applyAlignment="1">
      <alignment horizontal="left" vertical="center" wrapText="1"/>
    </xf>
    <xf numFmtId="0" fontId="5" fillId="8" borderId="11" xfId="0" applyFont="1" applyFill="1" applyBorder="1" applyAlignment="1">
      <alignment horizontal="left" vertical="center"/>
    </xf>
    <xf numFmtId="0" fontId="5" fillId="6" borderId="5" xfId="0" applyFont="1" applyFill="1" applyBorder="1" applyAlignment="1">
      <alignment vertical="center"/>
    </xf>
    <xf numFmtId="0" fontId="3" fillId="0" borderId="12" xfId="0" applyFont="1" applyBorder="1" applyAlignment="1">
      <alignment horizontal="center" vertical="center"/>
    </xf>
    <xf numFmtId="0" fontId="3" fillId="0" borderId="8" xfId="0" applyFont="1" applyBorder="1"/>
    <xf numFmtId="9" fontId="3" fillId="0" borderId="2" xfId="1" applyFont="1" applyFill="1" applyBorder="1" applyAlignment="1">
      <alignment horizontal="center" vertical="center"/>
    </xf>
    <xf numFmtId="0" fontId="17" fillId="0" borderId="2" xfId="0" applyFont="1" applyBorder="1" applyAlignment="1">
      <alignment horizontal="justify" vertical="center" wrapText="1"/>
    </xf>
    <xf numFmtId="0" fontId="3" fillId="0" borderId="18" xfId="0" applyFont="1" applyBorder="1" applyAlignment="1">
      <alignment horizontal="center" vertical="center"/>
    </xf>
    <xf numFmtId="0" fontId="3" fillId="2" borderId="8" xfId="0" applyFont="1" applyFill="1" applyBorder="1"/>
    <xf numFmtId="43" fontId="9" fillId="0" borderId="18" xfId="0" applyNumberFormat="1" applyFont="1" applyBorder="1" applyAlignment="1">
      <alignment vertical="center"/>
    </xf>
    <xf numFmtId="0" fontId="3" fillId="0" borderId="18" xfId="0" applyFont="1" applyBorder="1" applyAlignment="1">
      <alignment horizontal="center" vertical="center" wrapText="1"/>
    </xf>
    <xf numFmtId="9" fontId="3" fillId="0" borderId="2" xfId="1" applyFont="1" applyBorder="1" applyAlignment="1">
      <alignment horizontal="center" vertical="center" wrapText="1"/>
    </xf>
    <xf numFmtId="0" fontId="3" fillId="0" borderId="18" xfId="0" applyFont="1" applyBorder="1" applyAlignment="1">
      <alignment horizontal="justify" vertical="center" wrapText="1"/>
    </xf>
    <xf numFmtId="1" fontId="3" fillId="0" borderId="6" xfId="0" applyNumberFormat="1" applyFont="1" applyBorder="1" applyAlignment="1"/>
    <xf numFmtId="1" fontId="3" fillId="0" borderId="3" xfId="0" applyNumberFormat="1" applyFont="1" applyBorder="1" applyAlignment="1"/>
    <xf numFmtId="1" fontId="3" fillId="0" borderId="4" xfId="0" applyNumberFormat="1" applyFont="1" applyBorder="1" applyAlignment="1"/>
    <xf numFmtId="1" fontId="3" fillId="0" borderId="11" xfId="0" applyNumberFormat="1" applyFont="1" applyBorder="1" applyAlignment="1"/>
    <xf numFmtId="1" fontId="3" fillId="0" borderId="12" xfId="0" applyNumberFormat="1" applyFont="1" applyBorder="1" applyAlignment="1"/>
    <xf numFmtId="0" fontId="3" fillId="2" borderId="0" xfId="0" applyFont="1" applyFill="1" applyAlignment="1">
      <alignment horizontal="justify" vertical="center" wrapText="1"/>
    </xf>
    <xf numFmtId="0" fontId="3" fillId="0" borderId="3" xfId="0" applyFont="1" applyBorder="1" applyAlignment="1">
      <alignment horizontal="center"/>
    </xf>
    <xf numFmtId="167" fontId="13" fillId="0" borderId="0" xfId="0" applyNumberFormat="1" applyFont="1" applyAlignment="1">
      <alignment horizontal="center" vertical="center"/>
    </xf>
    <xf numFmtId="0" fontId="5" fillId="6" borderId="7" xfId="0" applyNumberFormat="1" applyFont="1" applyFill="1" applyBorder="1" applyAlignment="1">
      <alignment horizontal="left" vertical="center"/>
    </xf>
    <xf numFmtId="0" fontId="5" fillId="6" borderId="10" xfId="0" applyFont="1" applyFill="1" applyBorder="1" applyAlignment="1">
      <alignment horizontal="left" vertical="center" wrapText="1"/>
    </xf>
    <xf numFmtId="0" fontId="5" fillId="6" borderId="1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8" xfId="0" applyFont="1" applyFill="1" applyBorder="1" applyAlignment="1">
      <alignment horizontal="justify" vertical="center" wrapText="1"/>
    </xf>
    <xf numFmtId="43" fontId="9" fillId="2" borderId="18" xfId="4" applyNumberFormat="1" applyFont="1" applyFill="1" applyBorder="1" applyAlignment="1">
      <alignment horizontal="right" vertical="center"/>
    </xf>
    <xf numFmtId="0" fontId="9" fillId="2" borderId="16" xfId="0" applyFont="1" applyFill="1" applyBorder="1" applyAlignment="1">
      <alignment horizontal="center" vertical="center" wrapText="1"/>
    </xf>
    <xf numFmtId="43" fontId="17" fillId="2" borderId="2" xfId="1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justify" vertical="center" wrapText="1"/>
    </xf>
    <xf numFmtId="43" fontId="17" fillId="2" borderId="8" xfId="10" applyNumberFormat="1" applyFont="1" applyFill="1" applyBorder="1" applyAlignment="1">
      <alignment horizontal="center" vertical="center" wrapText="1"/>
    </xf>
    <xf numFmtId="3" fontId="17" fillId="0" borderId="8" xfId="5" applyNumberFormat="1" applyFont="1" applyBorder="1" applyAlignment="1">
      <alignment horizontal="center" vertical="center"/>
    </xf>
    <xf numFmtId="43" fontId="9" fillId="2" borderId="2" xfId="10" applyNumberFormat="1" applyFont="1" applyFill="1" applyBorder="1" applyAlignment="1">
      <alignment horizontal="center" vertical="center" wrapText="1"/>
    </xf>
    <xf numFmtId="43" fontId="9" fillId="2" borderId="18" xfId="10" applyNumberFormat="1" applyFont="1" applyFill="1" applyBorder="1" applyAlignment="1">
      <alignment horizontal="center" vertical="center" wrapText="1"/>
    </xf>
    <xf numFmtId="3" fontId="17" fillId="0" borderId="18" xfId="5" applyNumberFormat="1" applyFont="1" applyBorder="1" applyAlignment="1">
      <alignment horizontal="center" vertical="center"/>
    </xf>
    <xf numFmtId="14" fontId="3" fillId="2" borderId="18" xfId="0" applyNumberFormat="1" applyFont="1" applyFill="1" applyBorder="1" applyAlignment="1">
      <alignment horizontal="center" vertical="center" wrapText="1"/>
    </xf>
    <xf numFmtId="43" fontId="3" fillId="2" borderId="2" xfId="0" applyNumberFormat="1" applyFont="1" applyFill="1" applyBorder="1" applyAlignment="1">
      <alignment vertical="center"/>
    </xf>
    <xf numFmtId="43" fontId="9" fillId="2" borderId="2" xfId="9" applyNumberFormat="1" applyFont="1" applyFill="1" applyBorder="1" applyAlignment="1">
      <alignment horizontal="justify" vertical="center"/>
    </xf>
    <xf numFmtId="3" fontId="3" fillId="0" borderId="2" xfId="0" applyNumberFormat="1" applyFont="1" applyBorder="1" applyAlignment="1">
      <alignment horizontal="center" vertical="center"/>
    </xf>
    <xf numFmtId="9" fontId="3" fillId="0" borderId="2" xfId="1" applyFont="1" applyBorder="1" applyAlignment="1">
      <alignment horizontal="center" vertical="center"/>
    </xf>
    <xf numFmtId="3" fontId="3" fillId="0" borderId="2" xfId="0" applyNumberFormat="1"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43" fontId="17" fillId="2" borderId="2" xfId="10" applyNumberFormat="1" applyFont="1" applyFill="1" applyBorder="1" applyAlignment="1">
      <alignment vertical="center" wrapText="1"/>
    </xf>
    <xf numFmtId="0" fontId="5" fillId="6" borderId="1" xfId="0" applyNumberFormat="1" applyFont="1" applyFill="1" applyBorder="1" applyAlignment="1">
      <alignment horizontal="left" vertical="center" wrapText="1"/>
    </xf>
    <xf numFmtId="0" fontId="5" fillId="6" borderId="16" xfId="0" applyFont="1" applyFill="1" applyBorder="1" applyAlignment="1">
      <alignment vertical="center"/>
    </xf>
    <xf numFmtId="0" fontId="3" fillId="6" borderId="16" xfId="0" applyFont="1" applyFill="1" applyBorder="1"/>
    <xf numFmtId="0" fontId="3" fillId="6" borderId="2" xfId="0" applyFont="1" applyFill="1" applyBorder="1"/>
    <xf numFmtId="0" fontId="3" fillId="6" borderId="2" xfId="0" applyFont="1" applyFill="1" applyBorder="1" applyAlignment="1">
      <alignment horizontal="center"/>
    </xf>
    <xf numFmtId="164" fontId="3" fillId="6" borderId="2" xfId="0" applyNumberFormat="1" applyFont="1" applyFill="1" applyBorder="1" applyAlignment="1">
      <alignment horizontal="center" vertical="center"/>
    </xf>
    <xf numFmtId="43" fontId="3" fillId="6" borderId="2" xfId="0" applyNumberFormat="1" applyFont="1" applyFill="1" applyBorder="1" applyAlignment="1">
      <alignment vertical="center"/>
    </xf>
    <xf numFmtId="0" fontId="9" fillId="6" borderId="2" xfId="0" applyFont="1" applyFill="1" applyBorder="1" applyAlignment="1">
      <alignment horizontal="justify" vertical="center" wrapText="1"/>
    </xf>
    <xf numFmtId="43" fontId="3" fillId="6" borderId="2" xfId="0" applyNumberFormat="1" applyFont="1" applyFill="1" applyBorder="1" applyAlignment="1">
      <alignment horizontal="center" vertical="center"/>
    </xf>
    <xf numFmtId="1" fontId="3" fillId="6" borderId="2" xfId="0" applyNumberFormat="1" applyFont="1" applyFill="1" applyBorder="1" applyAlignment="1">
      <alignment horizontal="center" vertical="center"/>
    </xf>
    <xf numFmtId="3" fontId="3" fillId="6" borderId="2" xfId="0" applyNumberFormat="1" applyFont="1" applyFill="1" applyBorder="1" applyAlignment="1">
      <alignment horizontal="center"/>
    </xf>
    <xf numFmtId="167" fontId="3" fillId="6" borderId="2" xfId="0" applyNumberFormat="1" applyFont="1" applyFill="1" applyBorder="1" applyAlignment="1">
      <alignment horizontal="center" vertical="center"/>
    </xf>
    <xf numFmtId="167" fontId="3" fillId="6" borderId="2" xfId="0" applyNumberFormat="1" applyFont="1" applyFill="1" applyBorder="1" applyAlignment="1">
      <alignment horizontal="center"/>
    </xf>
    <xf numFmtId="0" fontId="3" fillId="6" borderId="2" xfId="0" applyFont="1" applyFill="1" applyBorder="1" applyAlignment="1">
      <alignment horizontal="justify" vertical="center"/>
    </xf>
    <xf numFmtId="0" fontId="9" fillId="0" borderId="12" xfId="4"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justify" vertical="center" wrapText="1"/>
    </xf>
    <xf numFmtId="43" fontId="3" fillId="2" borderId="2" xfId="0" applyNumberFormat="1" applyFont="1" applyFill="1" applyBorder="1" applyAlignment="1">
      <alignment horizontal="center" vertical="center"/>
    </xf>
    <xf numFmtId="3" fontId="3" fillId="0" borderId="8" xfId="0" applyNumberFormat="1" applyFont="1" applyBorder="1" applyAlignment="1">
      <alignment horizontal="center" vertical="center"/>
    </xf>
    <xf numFmtId="0" fontId="9" fillId="2" borderId="12" xfId="4" applyNumberFormat="1" applyFont="1" applyFill="1" applyBorder="1" applyAlignment="1">
      <alignment horizontal="center" vertical="center" wrapText="1"/>
    </xf>
    <xf numFmtId="0" fontId="3" fillId="0" borderId="3" xfId="0" applyFont="1" applyFill="1" applyBorder="1"/>
    <xf numFmtId="0" fontId="3" fillId="0" borderId="4" xfId="0" applyFont="1" applyFill="1" applyBorder="1"/>
    <xf numFmtId="3" fontId="3" fillId="0" borderId="2" xfId="0" applyNumberFormat="1" applyFont="1" applyFill="1" applyBorder="1" applyAlignment="1">
      <alignment horizontal="center"/>
    </xf>
    <xf numFmtId="0" fontId="2" fillId="0" borderId="12" xfId="0" applyFont="1" applyBorder="1" applyAlignment="1">
      <alignment horizontal="center" vertical="center"/>
    </xf>
    <xf numFmtId="0" fontId="5" fillId="8" borderId="7" xfId="0" applyFont="1" applyFill="1" applyBorder="1" applyAlignment="1">
      <alignment horizontal="left" vertical="center"/>
    </xf>
    <xf numFmtId="0" fontId="5" fillId="8" borderId="5" xfId="0" applyFont="1" applyFill="1" applyBorder="1" applyAlignment="1">
      <alignment vertical="center"/>
    </xf>
    <xf numFmtId="0" fontId="2" fillId="8" borderId="11" xfId="0" applyFont="1" applyFill="1" applyBorder="1" applyAlignment="1">
      <alignment horizontal="justify" vertical="center"/>
    </xf>
    <xf numFmtId="0" fontId="5" fillId="6" borderId="7" xfId="0" applyFont="1" applyFill="1" applyBorder="1" applyAlignment="1">
      <alignment horizontal="left" vertical="center"/>
    </xf>
    <xf numFmtId="0" fontId="5" fillId="6" borderId="8" xfId="0" applyFont="1" applyFill="1" applyBorder="1" applyAlignment="1">
      <alignment horizontal="left" vertical="center"/>
    </xf>
    <xf numFmtId="0" fontId="5" fillId="6" borderId="0" xfId="0" applyFont="1" applyFill="1" applyBorder="1" applyAlignment="1">
      <alignment horizontal="center" vertical="center"/>
    </xf>
    <xf numFmtId="0" fontId="2" fillId="6" borderId="0" xfId="0" applyFont="1" applyFill="1" applyAlignment="1">
      <alignment horizontal="center" vertical="center" wrapText="1"/>
    </xf>
    <xf numFmtId="0" fontId="2" fillId="6" borderId="0" xfId="0" applyFont="1" applyFill="1" applyAlignment="1">
      <alignment horizontal="center" vertical="center"/>
    </xf>
    <xf numFmtId="0" fontId="2" fillId="6" borderId="0" xfId="0" applyFont="1" applyFill="1" applyAlignment="1">
      <alignment horizontal="justify" vertical="center"/>
    </xf>
    <xf numFmtId="164" fontId="2" fillId="6" borderId="0" xfId="0" applyNumberFormat="1" applyFont="1" applyFill="1" applyAlignment="1">
      <alignment horizontal="center" vertical="center"/>
    </xf>
    <xf numFmtId="165" fontId="2" fillId="6" borderId="0" xfId="0" applyNumberFormat="1" applyFont="1" applyFill="1" applyAlignment="1">
      <alignment vertical="center"/>
    </xf>
    <xf numFmtId="165" fontId="2" fillId="6" borderId="0" xfId="0" applyNumberFormat="1" applyFont="1" applyFill="1" applyAlignment="1">
      <alignment horizontal="center" vertical="center"/>
    </xf>
    <xf numFmtId="1" fontId="2" fillId="6" borderId="0" xfId="0" applyNumberFormat="1" applyFont="1" applyFill="1" applyAlignment="1">
      <alignment horizontal="center" vertical="center"/>
    </xf>
    <xf numFmtId="167" fontId="2" fillId="6" borderId="0" xfId="0" applyNumberFormat="1" applyFont="1" applyFill="1" applyAlignment="1">
      <alignment horizontal="center" vertical="center"/>
    </xf>
    <xf numFmtId="0" fontId="2" fillId="6" borderId="1" xfId="0" applyFont="1" applyFill="1" applyBorder="1" applyAlignment="1">
      <alignment horizontal="justify" vertical="center"/>
    </xf>
    <xf numFmtId="1" fontId="3" fillId="0" borderId="17"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vertical="center" wrapText="1"/>
    </xf>
    <xf numFmtId="0" fontId="3" fillId="0" borderId="7" xfId="0" applyFont="1" applyFill="1" applyBorder="1" applyAlignment="1">
      <alignment vertical="center" wrapText="1"/>
    </xf>
    <xf numFmtId="0" fontId="9" fillId="0" borderId="12" xfId="0" applyFont="1" applyFill="1" applyBorder="1" applyAlignment="1">
      <alignment horizontal="center" vertical="center"/>
    </xf>
    <xf numFmtId="9" fontId="3" fillId="0" borderId="2" xfId="1" applyFont="1" applyFill="1" applyBorder="1" applyAlignment="1">
      <alignment horizontal="center" vertical="center" wrapText="1"/>
    </xf>
    <xf numFmtId="0" fontId="13" fillId="0" borderId="8" xfId="0" applyFont="1" applyFill="1" applyBorder="1" applyAlignment="1">
      <alignment horizontal="left" vertical="center" wrapText="1"/>
    </xf>
    <xf numFmtId="43" fontId="9" fillId="0" borderId="10" xfId="4" applyNumberFormat="1" applyFont="1" applyBorder="1" applyAlignment="1">
      <alignment horizontal="right" vertical="center" wrapText="1"/>
    </xf>
    <xf numFmtId="43" fontId="9" fillId="0" borderId="9" xfId="4" applyNumberFormat="1" applyFont="1" applyBorder="1" applyAlignment="1">
      <alignment horizontal="right" vertical="center" wrapText="1"/>
    </xf>
    <xf numFmtId="0" fontId="13" fillId="0" borderId="8" xfId="0" applyFont="1" applyFill="1" applyBorder="1" applyAlignment="1">
      <alignment vertical="center" wrapText="1"/>
    </xf>
    <xf numFmtId="0" fontId="3" fillId="0" borderId="0" xfId="0" applyFont="1" applyFill="1" applyAlignment="1">
      <alignment vertical="center" wrapText="1"/>
    </xf>
    <xf numFmtId="0" fontId="3" fillId="0" borderId="1" xfId="0" applyFont="1" applyFill="1" applyBorder="1" applyAlignment="1">
      <alignment vertical="center" wrapText="1"/>
    </xf>
    <xf numFmtId="0" fontId="13" fillId="0" borderId="2" xfId="0" applyFont="1" applyFill="1" applyBorder="1" applyAlignment="1">
      <alignment vertical="center" wrapText="1"/>
    </xf>
    <xf numFmtId="43" fontId="9" fillId="0" borderId="10" xfId="4" applyNumberFormat="1" applyFont="1" applyFill="1" applyBorder="1" applyAlignment="1">
      <alignment horizontal="right" vertical="center" wrapText="1"/>
    </xf>
    <xf numFmtId="43" fontId="9" fillId="0" borderId="2" xfId="4" applyNumberFormat="1" applyFont="1" applyFill="1" applyBorder="1" applyAlignment="1">
      <alignment horizontal="right" vertical="center" wrapText="1"/>
    </xf>
    <xf numFmtId="0" fontId="13" fillId="0" borderId="18" xfId="0" applyFont="1" applyFill="1" applyBorder="1" applyAlignment="1">
      <alignment vertical="center" wrapText="1"/>
    </xf>
    <xf numFmtId="0" fontId="3" fillId="2" borderId="0" xfId="0" applyFont="1" applyFill="1" applyAlignment="1">
      <alignment vertical="center" wrapText="1"/>
    </xf>
    <xf numFmtId="0" fontId="3" fillId="2" borderId="1" xfId="0" applyFont="1" applyFill="1" applyBorder="1" applyAlignment="1">
      <alignment vertical="center" wrapText="1"/>
    </xf>
    <xf numFmtId="0" fontId="9" fillId="0" borderId="12" xfId="7" applyNumberFormat="1" applyFont="1" applyFill="1" applyBorder="1">
      <alignment horizontal="center" vertical="center" wrapText="1"/>
    </xf>
    <xf numFmtId="0" fontId="9" fillId="0" borderId="12" xfId="0" applyFont="1" applyBorder="1" applyAlignment="1">
      <alignment horizontal="justify" vertical="center" wrapText="1"/>
    </xf>
    <xf numFmtId="43" fontId="9" fillId="0" borderId="2" xfId="6" applyNumberFormat="1" applyFont="1" applyFill="1" applyBorder="1" applyAlignment="1">
      <alignment vertical="center"/>
    </xf>
    <xf numFmtId="43" fontId="9" fillId="0" borderId="17" xfId="4" applyNumberFormat="1" applyFont="1" applyFill="1" applyBorder="1" applyAlignment="1">
      <alignment horizontal="right" vertical="center" wrapText="1"/>
    </xf>
    <xf numFmtId="43" fontId="9" fillId="0" borderId="6" xfId="4" applyNumberFormat="1" applyFont="1" applyFill="1" applyBorder="1" applyAlignment="1">
      <alignment horizontal="right" vertical="center" wrapText="1"/>
    </xf>
    <xf numFmtId="0" fontId="9" fillId="0" borderId="7" xfId="7" applyNumberFormat="1" applyFont="1" applyFill="1" applyBorder="1">
      <alignment horizontal="center" vertical="center" wrapText="1"/>
    </xf>
    <xf numFmtId="43" fontId="9" fillId="2" borderId="2" xfId="0" applyNumberFormat="1" applyFont="1" applyFill="1" applyBorder="1" applyAlignment="1">
      <alignment vertical="center"/>
    </xf>
    <xf numFmtId="3" fontId="3" fillId="0" borderId="9" xfId="0" applyNumberFormat="1" applyFont="1" applyBorder="1" applyAlignment="1">
      <alignment horizontal="center" vertical="center"/>
    </xf>
    <xf numFmtId="0" fontId="3" fillId="0" borderId="9" xfId="0" applyFont="1" applyBorder="1" applyAlignment="1">
      <alignment horizontal="center" vertical="center"/>
    </xf>
    <xf numFmtId="43" fontId="3" fillId="0" borderId="9" xfId="0" applyNumberFormat="1" applyFont="1" applyBorder="1" applyAlignment="1">
      <alignment horizontal="center" vertical="center"/>
    </xf>
    <xf numFmtId="9" fontId="3" fillId="0" borderId="9" xfId="1" applyFont="1" applyBorder="1" applyAlignment="1">
      <alignment horizontal="center" vertical="center"/>
    </xf>
    <xf numFmtId="0" fontId="3" fillId="0" borderId="9" xfId="0" applyFont="1" applyBorder="1" applyAlignment="1">
      <alignment horizontal="center" vertical="center" wrapText="1"/>
    </xf>
    <xf numFmtId="0" fontId="5" fillId="6" borderId="0" xfId="0" applyFont="1" applyFill="1" applyAlignment="1">
      <alignment horizontal="center" vertical="center"/>
    </xf>
    <xf numFmtId="0" fontId="2" fillId="6" borderId="0" xfId="0" applyFont="1" applyFill="1" applyAlignment="1">
      <alignment horizontal="justify" vertical="center" wrapText="1"/>
    </xf>
    <xf numFmtId="3" fontId="2" fillId="6" borderId="11" xfId="0" applyNumberFormat="1" applyFont="1" applyFill="1" applyBorder="1" applyAlignment="1">
      <alignment horizontal="center" vertical="center"/>
    </xf>
    <xf numFmtId="0" fontId="3" fillId="0" borderId="5" xfId="0" applyFont="1" applyBorder="1" applyAlignment="1">
      <alignment vertical="center" wrapText="1"/>
    </xf>
    <xf numFmtId="0" fontId="3" fillId="0" borderId="7" xfId="0" applyFont="1" applyBorder="1" applyAlignment="1">
      <alignment vertical="center" wrapText="1"/>
    </xf>
    <xf numFmtId="43" fontId="3" fillId="0" borderId="8" xfId="0" applyNumberFormat="1" applyFont="1" applyBorder="1" applyAlignment="1">
      <alignment horizontal="center" vertical="center"/>
    </xf>
    <xf numFmtId="9" fontId="3" fillId="0" borderId="8" xfId="1" applyFont="1" applyBorder="1" applyAlignment="1">
      <alignment horizontal="center" vertical="center"/>
    </xf>
    <xf numFmtId="0" fontId="9" fillId="0" borderId="2" xfId="0" applyFont="1" applyBorder="1" applyAlignment="1">
      <alignment horizontal="center" vertical="center"/>
    </xf>
    <xf numFmtId="43" fontId="9" fillId="0" borderId="16" xfId="0" applyNumberFormat="1" applyFont="1" applyBorder="1" applyAlignment="1">
      <alignment vertical="center"/>
    </xf>
    <xf numFmtId="165" fontId="3" fillId="0" borderId="0" xfId="0" applyNumberFormat="1" applyFont="1" applyAlignment="1">
      <alignment vertical="center"/>
    </xf>
    <xf numFmtId="165" fontId="3" fillId="0" borderId="0" xfId="0" applyNumberFormat="1" applyFont="1" applyAlignment="1">
      <alignment horizontal="center" vertical="center"/>
    </xf>
    <xf numFmtId="174" fontId="0" fillId="0" borderId="0" xfId="0" applyNumberFormat="1"/>
    <xf numFmtId="0" fontId="13" fillId="2" borderId="0" xfId="0" applyFont="1" applyFill="1" applyAlignment="1">
      <alignment horizontal="center" vertical="center" wrapText="1"/>
    </xf>
    <xf numFmtId="0" fontId="2" fillId="3" borderId="9" xfId="0" applyFont="1" applyFill="1" applyBorder="1" applyAlignment="1">
      <alignment horizontal="center" vertical="center" textRotation="90" wrapText="1"/>
    </xf>
    <xf numFmtId="0" fontId="2" fillId="3" borderId="8" xfId="0" applyFont="1" applyFill="1" applyBorder="1" applyAlignment="1">
      <alignment horizontal="center" vertical="center" textRotation="90" wrapText="1"/>
    </xf>
    <xf numFmtId="167" fontId="2" fillId="3" borderId="2"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49" fontId="2" fillId="3" borderId="9" xfId="0" applyNumberFormat="1" applyFont="1" applyFill="1" applyBorder="1" applyAlignment="1">
      <alignment horizontal="center" vertical="center" textRotation="90" wrapText="1"/>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3" fillId="0" borderId="0" xfId="0" applyFont="1" applyAlignment="1">
      <alignment horizontal="center"/>
    </xf>
    <xf numFmtId="0" fontId="9" fillId="0" borderId="7" xfId="7" applyNumberFormat="1" applyFont="1" applyFill="1" applyBorder="1">
      <alignment horizontal="center" vertical="center" wrapText="1"/>
    </xf>
    <xf numFmtId="0" fontId="12" fillId="0" borderId="2" xfId="0" applyFont="1" applyFill="1" applyBorder="1" applyAlignment="1">
      <alignment horizontal="left" vertical="center"/>
    </xf>
    <xf numFmtId="0" fontId="5" fillId="8" borderId="8" xfId="0" applyNumberFormat="1" applyFont="1" applyFill="1" applyBorder="1" applyAlignment="1">
      <alignment horizontal="left" vertical="center" wrapText="1"/>
    </xf>
    <xf numFmtId="0" fontId="5" fillId="8" borderId="8" xfId="0" applyNumberFormat="1" applyFont="1" applyFill="1" applyBorder="1" applyAlignment="1">
      <alignment horizontal="left" vertical="center"/>
    </xf>
    <xf numFmtId="167" fontId="2" fillId="8" borderId="2" xfId="0" applyNumberFormat="1" applyFont="1" applyFill="1" applyBorder="1" applyAlignment="1">
      <alignment vertical="center"/>
    </xf>
    <xf numFmtId="167" fontId="2" fillId="6" borderId="2" xfId="0" applyNumberFormat="1" applyFont="1" applyFill="1" applyBorder="1" applyAlignment="1">
      <alignment vertical="center"/>
    </xf>
    <xf numFmtId="1" fontId="3" fillId="2" borderId="17" xfId="0" applyNumberFormat="1" applyFont="1" applyFill="1" applyBorder="1" applyAlignment="1">
      <alignment vertical="center" wrapText="1"/>
    </xf>
    <xf numFmtId="1" fontId="3" fillId="2" borderId="0" xfId="0" applyNumberFormat="1" applyFont="1" applyFill="1" applyBorder="1" applyAlignment="1">
      <alignment vertical="center" wrapText="1"/>
    </xf>
    <xf numFmtId="1" fontId="3" fillId="2" borderId="9" xfId="0" applyNumberFormat="1" applyFont="1" applyFill="1" applyBorder="1" applyAlignment="1">
      <alignment vertical="center" wrapText="1"/>
    </xf>
    <xf numFmtId="1" fontId="3" fillId="2" borderId="5" xfId="0" applyNumberFormat="1" applyFont="1" applyFill="1" applyBorder="1" applyAlignment="1">
      <alignment vertical="center" wrapText="1"/>
    </xf>
    <xf numFmtId="1" fontId="3" fillId="2" borderId="7" xfId="0" applyNumberFormat="1" applyFont="1" applyFill="1" applyBorder="1" applyAlignment="1">
      <alignment vertical="center" wrapText="1"/>
    </xf>
    <xf numFmtId="0" fontId="13" fillId="0" borderId="2" xfId="0" applyFont="1" applyBorder="1" applyAlignment="1">
      <alignment horizontal="center" vertical="center" wrapText="1"/>
    </xf>
    <xf numFmtId="0" fontId="3" fillId="2" borderId="2" xfId="0" applyFont="1" applyFill="1" applyBorder="1" applyAlignment="1">
      <alignment horizontal="left" vertical="center" wrapText="1"/>
    </xf>
    <xf numFmtId="1" fontId="3" fillId="2" borderId="1" xfId="0" applyNumberFormat="1" applyFont="1" applyFill="1" applyBorder="1" applyAlignment="1">
      <alignment vertical="center" wrapText="1"/>
    </xf>
    <xf numFmtId="173" fontId="13" fillId="0" borderId="2" xfId="10" applyFont="1" applyFill="1" applyBorder="1" applyAlignment="1">
      <alignment horizontal="center" vertical="center" wrapText="1"/>
    </xf>
    <xf numFmtId="44" fontId="13" fillId="0" borderId="2" xfId="11" applyFont="1" applyFill="1" applyBorder="1" applyAlignment="1">
      <alignment vertical="center" wrapText="1"/>
    </xf>
    <xf numFmtId="0" fontId="20" fillId="0" borderId="8" xfId="0" applyFont="1" applyFill="1" applyBorder="1" applyAlignment="1">
      <alignment horizontal="center" vertical="center"/>
    </xf>
    <xf numFmtId="0" fontId="13" fillId="0" borderId="2" xfId="0" applyFont="1" applyBorder="1" applyAlignment="1">
      <alignment horizontal="justify" vertical="center" wrapText="1"/>
    </xf>
    <xf numFmtId="0" fontId="13" fillId="0" borderId="2" xfId="0" applyFont="1" applyBorder="1" applyAlignment="1">
      <alignment horizontal="left" vertical="center" wrapText="1"/>
    </xf>
    <xf numFmtId="0" fontId="20" fillId="0" borderId="16" xfId="0" applyFont="1" applyFill="1" applyBorder="1" applyAlignment="1">
      <alignment horizontal="center" vertical="center" wrapText="1"/>
    </xf>
    <xf numFmtId="1" fontId="3" fillId="2" borderId="6" xfId="0" applyNumberFormat="1" applyFont="1" applyFill="1" applyBorder="1" applyAlignment="1">
      <alignment vertical="center" wrapText="1"/>
    </xf>
    <xf numFmtId="1" fontId="3" fillId="2" borderId="3" xfId="0" applyNumberFormat="1" applyFont="1" applyFill="1" applyBorder="1" applyAlignment="1">
      <alignment vertical="center" wrapText="1"/>
    </xf>
    <xf numFmtId="1" fontId="3" fillId="2" borderId="4" xfId="0" applyNumberFormat="1" applyFont="1" applyFill="1" applyBorder="1" applyAlignment="1">
      <alignment vertical="center" wrapText="1"/>
    </xf>
    <xf numFmtId="0" fontId="20" fillId="0" borderId="18" xfId="0" applyFont="1" applyFill="1" applyBorder="1" applyAlignment="1">
      <alignment horizontal="center" vertical="center"/>
    </xf>
    <xf numFmtId="173" fontId="13" fillId="0" borderId="2" xfId="10" applyFont="1" applyBorder="1" applyAlignment="1">
      <alignment horizontal="center" vertical="center"/>
    </xf>
    <xf numFmtId="0" fontId="13" fillId="0" borderId="2" xfId="12" applyFont="1" applyBorder="1" applyAlignment="1">
      <alignment horizontal="center" vertical="center"/>
    </xf>
    <xf numFmtId="0" fontId="13" fillId="0" borderId="2" xfId="12" applyFont="1" applyBorder="1" applyAlignment="1">
      <alignment horizontal="left" vertical="center" wrapText="1"/>
    </xf>
    <xf numFmtId="0" fontId="2" fillId="6" borderId="1" xfId="0" applyFont="1" applyFill="1" applyBorder="1" applyAlignment="1">
      <alignment horizontal="left" vertical="center"/>
    </xf>
    <xf numFmtId="0" fontId="3" fillId="6" borderId="2" xfId="0" applyFont="1" applyFill="1" applyBorder="1" applyAlignment="1">
      <alignment horizontal="left" vertical="center" wrapText="1"/>
    </xf>
    <xf numFmtId="1" fontId="3" fillId="0" borderId="17" xfId="0" applyNumberFormat="1" applyFont="1" applyBorder="1" applyAlignment="1"/>
    <xf numFmtId="1" fontId="3" fillId="0" borderId="0" xfId="0" applyNumberFormat="1" applyFont="1" applyBorder="1" applyAlignment="1"/>
    <xf numFmtId="1" fontId="3" fillId="0" borderId="9" xfId="0" applyNumberFormat="1" applyFont="1" applyBorder="1" applyAlignment="1"/>
    <xf numFmtId="1" fontId="3" fillId="0" borderId="5" xfId="0" applyNumberFormat="1" applyFont="1" applyBorder="1" applyAlignment="1"/>
    <xf numFmtId="1" fontId="3" fillId="0" borderId="7" xfId="0" applyNumberFormat="1" applyFont="1" applyBorder="1" applyAlignment="1"/>
    <xf numFmtId="43" fontId="3" fillId="0" borderId="2" xfId="10" applyNumberFormat="1" applyFont="1" applyBorder="1" applyAlignment="1">
      <alignment vertical="center" wrapText="1"/>
    </xf>
    <xf numFmtId="0" fontId="13" fillId="2" borderId="2" xfId="0" applyFont="1" applyFill="1" applyBorder="1" applyAlignment="1">
      <alignment horizontal="justify" vertical="center" wrapText="1"/>
    </xf>
    <xf numFmtId="43" fontId="9" fillId="0" borderId="2" xfId="10" applyNumberFormat="1" applyFont="1" applyFill="1" applyBorder="1" applyAlignment="1">
      <alignment vertical="center" wrapText="1"/>
    </xf>
    <xf numFmtId="0" fontId="3" fillId="2" borderId="2" xfId="0" applyFont="1" applyFill="1" applyBorder="1" applyAlignment="1">
      <alignment vertical="center"/>
    </xf>
    <xf numFmtId="167" fontId="3" fillId="2" borderId="2" xfId="0" applyNumberFormat="1" applyFont="1" applyFill="1" applyBorder="1" applyAlignment="1">
      <alignment horizontal="center" vertical="center" wrapText="1"/>
    </xf>
    <xf numFmtId="167" fontId="3" fillId="0" borderId="2" xfId="0" applyNumberFormat="1" applyFont="1" applyFill="1" applyBorder="1" applyAlignment="1">
      <alignment horizontal="right" vertical="center"/>
    </xf>
    <xf numFmtId="43" fontId="3" fillId="2" borderId="0" xfId="0" applyNumberFormat="1" applyFont="1" applyFill="1" applyAlignment="1">
      <alignment vertical="center"/>
    </xf>
    <xf numFmtId="0" fontId="3" fillId="0" borderId="0" xfId="0" applyFont="1" applyAlignment="1">
      <alignment horizontal="center" vertical="center"/>
    </xf>
    <xf numFmtId="167" fontId="3" fillId="0" borderId="0" xfId="0" applyNumberFormat="1" applyFont="1" applyFill="1" applyAlignment="1">
      <alignment horizontal="right" vertical="center"/>
    </xf>
    <xf numFmtId="167" fontId="13" fillId="0" borderId="0" xfId="0" applyNumberFormat="1" applyFont="1" applyFill="1" applyAlignment="1">
      <alignment horizontal="right" vertical="center"/>
    </xf>
    <xf numFmtId="0" fontId="2" fillId="8" borderId="5" xfId="0" applyFont="1" applyFill="1" applyBorder="1" applyAlignment="1">
      <alignment vertical="center"/>
    </xf>
    <xf numFmtId="0" fontId="2" fillId="8" borderId="5" xfId="0" applyFont="1" applyFill="1" applyBorder="1" applyAlignment="1">
      <alignment horizontal="left" vertical="center"/>
    </xf>
    <xf numFmtId="0" fontId="2" fillId="8" borderId="7" xfId="0" applyFont="1" applyFill="1" applyBorder="1" applyAlignment="1">
      <alignment horizontal="center" vertical="center"/>
    </xf>
    <xf numFmtId="0" fontId="5" fillId="6" borderId="12" xfId="0" applyNumberFormat="1" applyFont="1" applyFill="1" applyBorder="1" applyAlignment="1">
      <alignment horizontal="left" vertical="center"/>
    </xf>
    <xf numFmtId="0" fontId="2" fillId="6" borderId="11" xfId="0" applyFont="1" applyFill="1" applyBorder="1" applyAlignment="1">
      <alignment horizontal="left" vertical="center"/>
    </xf>
    <xf numFmtId="0" fontId="2" fillId="6" borderId="12" xfId="0" applyFont="1" applyFill="1" applyBorder="1" applyAlignment="1">
      <alignment horizontal="center" vertical="center"/>
    </xf>
    <xf numFmtId="0" fontId="3" fillId="2" borderId="5" xfId="0" applyFont="1" applyFill="1" applyBorder="1"/>
    <xf numFmtId="0" fontId="3" fillId="2" borderId="2" xfId="0" applyFont="1" applyFill="1" applyBorder="1" applyAlignment="1">
      <alignment horizontal="right" vertical="center"/>
    </xf>
    <xf numFmtId="43" fontId="9" fillId="0" borderId="16" xfId="0" applyNumberFormat="1" applyFont="1" applyFill="1" applyBorder="1" applyAlignment="1">
      <alignment vertical="center"/>
    </xf>
    <xf numFmtId="0" fontId="9" fillId="0" borderId="2"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9" fillId="0" borderId="2" xfId="4" applyNumberFormat="1" applyFont="1" applyFill="1" applyBorder="1" applyAlignment="1">
      <alignment horizontal="justify" vertical="center" wrapText="1"/>
    </xf>
    <xf numFmtId="43" fontId="3" fillId="0" borderId="2" xfId="0" applyNumberFormat="1" applyFont="1" applyBorder="1" applyAlignment="1">
      <alignment horizontal="center" vertical="center"/>
    </xf>
    <xf numFmtId="10" fontId="3" fillId="0" borderId="8" xfId="1" applyNumberFormat="1" applyFont="1" applyFill="1" applyBorder="1" applyAlignment="1">
      <alignment vertical="center"/>
    </xf>
    <xf numFmtId="10" fontId="3" fillId="0" borderId="18" xfId="1" applyNumberFormat="1" applyFont="1" applyFill="1" applyBorder="1" applyAlignment="1">
      <alignment vertical="center"/>
    </xf>
    <xf numFmtId="0" fontId="2" fillId="6" borderId="12" xfId="0" applyFont="1" applyFill="1" applyBorder="1" applyAlignment="1">
      <alignment horizontal="center" vertical="center" wrapText="1"/>
    </xf>
    <xf numFmtId="165" fontId="3" fillId="2" borderId="2" xfId="0" applyNumberFormat="1" applyFont="1" applyFill="1" applyBorder="1" applyAlignment="1">
      <alignment vertical="center"/>
    </xf>
    <xf numFmtId="1" fontId="9" fillId="0" borderId="2" xfId="0" applyNumberFormat="1" applyFont="1" applyFill="1" applyBorder="1" applyAlignment="1">
      <alignment horizontal="center" vertical="center" wrapText="1"/>
    </xf>
    <xf numFmtId="0" fontId="3" fillId="0" borderId="2" xfId="0" applyNumberFormat="1" applyFont="1" applyBorder="1" applyAlignment="1">
      <alignment horizontal="center" vertical="center" wrapText="1"/>
    </xf>
    <xf numFmtId="1" fontId="13" fillId="0" borderId="6" xfId="0" applyNumberFormat="1" applyFont="1" applyBorder="1"/>
    <xf numFmtId="0" fontId="13" fillId="0" borderId="4" xfId="0" applyFont="1" applyBorder="1"/>
    <xf numFmtId="0" fontId="13" fillId="0" borderId="11" xfId="0" applyFont="1" applyBorder="1"/>
    <xf numFmtId="0" fontId="13" fillId="0" borderId="12" xfId="0" applyFont="1" applyBorder="1"/>
    <xf numFmtId="0" fontId="13" fillId="2" borderId="2" xfId="0" applyFont="1" applyFill="1" applyBorder="1" applyAlignment="1">
      <alignment horizontal="justify" vertical="center"/>
    </xf>
    <xf numFmtId="0" fontId="13" fillId="2" borderId="2" xfId="0" applyFont="1" applyFill="1" applyBorder="1"/>
    <xf numFmtId="0" fontId="3" fillId="2" borderId="2" xfId="0" applyFont="1" applyFill="1" applyBorder="1" applyAlignment="1">
      <alignment horizontal="left" vertical="center"/>
    </xf>
    <xf numFmtId="0" fontId="13" fillId="2" borderId="2" xfId="0" applyFont="1" applyFill="1" applyBorder="1" applyAlignment="1">
      <alignment horizontal="center"/>
    </xf>
    <xf numFmtId="164" fontId="13" fillId="2" borderId="2" xfId="0" applyNumberFormat="1" applyFont="1" applyFill="1" applyBorder="1" applyAlignment="1">
      <alignment horizontal="center" vertical="center"/>
    </xf>
    <xf numFmtId="0" fontId="13" fillId="0" borderId="2" xfId="0" applyFont="1" applyFill="1" applyBorder="1" applyAlignment="1">
      <alignment horizontal="justify" vertical="center" wrapText="1"/>
    </xf>
    <xf numFmtId="1" fontId="13" fillId="0" borderId="2" xfId="0" applyNumberFormat="1" applyFont="1" applyFill="1" applyBorder="1" applyAlignment="1">
      <alignment horizontal="center" vertical="center"/>
    </xf>
    <xf numFmtId="0" fontId="13" fillId="0" borderId="2" xfId="0" applyFont="1" applyFill="1" applyBorder="1" applyAlignment="1">
      <alignment horizontal="center" vertical="center"/>
    </xf>
    <xf numFmtId="0" fontId="13" fillId="0" borderId="2" xfId="0" applyFont="1" applyFill="1" applyBorder="1" applyAlignment="1">
      <alignment horizontal="center"/>
    </xf>
    <xf numFmtId="0" fontId="13" fillId="0" borderId="2" xfId="0" applyFont="1" applyBorder="1" applyAlignment="1">
      <alignment horizontal="center"/>
    </xf>
    <xf numFmtId="9" fontId="5" fillId="0" borderId="2" xfId="1" applyFont="1" applyFill="1" applyBorder="1" applyAlignment="1">
      <alignment horizontal="center" vertical="center"/>
    </xf>
    <xf numFmtId="167" fontId="13" fillId="0" borderId="2" xfId="0" applyNumberFormat="1" applyFont="1" applyFill="1" applyBorder="1" applyAlignment="1">
      <alignment horizontal="center" vertical="center"/>
    </xf>
    <xf numFmtId="167" fontId="13" fillId="0" borderId="2" xfId="0" applyNumberFormat="1" applyFont="1" applyBorder="1" applyAlignment="1">
      <alignment horizontal="center"/>
    </xf>
    <xf numFmtId="0" fontId="13" fillId="0" borderId="2" xfId="0" applyFont="1" applyBorder="1" applyAlignment="1">
      <alignment horizontal="justify" vertical="center"/>
    </xf>
    <xf numFmtId="0" fontId="3" fillId="2" borderId="0" xfId="0" applyFont="1" applyFill="1" applyAlignment="1">
      <alignment horizontal="left" vertical="center"/>
    </xf>
    <xf numFmtId="0" fontId="5" fillId="8" borderId="10" xfId="0" applyFont="1" applyFill="1" applyBorder="1" applyAlignment="1">
      <alignment horizontal="left" vertical="center" wrapText="1"/>
    </xf>
    <xf numFmtId="0" fontId="5" fillId="8" borderId="12" xfId="0" applyFont="1" applyFill="1" applyBorder="1" applyAlignment="1">
      <alignment horizontal="center" vertical="center"/>
    </xf>
    <xf numFmtId="0" fontId="9" fillId="8" borderId="11" xfId="0" applyFont="1" applyFill="1" applyBorder="1" applyAlignment="1">
      <alignment horizontal="center" vertical="center"/>
    </xf>
    <xf numFmtId="0" fontId="9" fillId="8" borderId="11" xfId="0" applyFont="1" applyFill="1" applyBorder="1" applyAlignment="1">
      <alignment horizontal="justify" vertical="center"/>
    </xf>
    <xf numFmtId="0" fontId="9" fillId="8" borderId="11" xfId="0" applyFont="1" applyFill="1" applyBorder="1" applyAlignment="1">
      <alignment horizontal="center" vertical="center" wrapText="1"/>
    </xf>
    <xf numFmtId="9" fontId="9" fillId="8" borderId="11" xfId="1" applyFont="1" applyFill="1" applyBorder="1" applyAlignment="1">
      <alignment horizontal="center" vertical="center"/>
    </xf>
    <xf numFmtId="0" fontId="9" fillId="8" borderId="11" xfId="0" applyFont="1" applyFill="1" applyBorder="1" applyAlignment="1">
      <alignment horizontal="justify" vertical="center" wrapText="1"/>
    </xf>
    <xf numFmtId="0" fontId="5" fillId="0" borderId="0" xfId="0" applyFont="1" applyBorder="1" applyAlignment="1">
      <alignment horizontal="left" vertical="center" wrapText="1"/>
    </xf>
    <xf numFmtId="0" fontId="5" fillId="6" borderId="11" xfId="0" applyFont="1" applyFill="1" applyBorder="1" applyAlignment="1">
      <alignment horizontal="justify" vertical="center"/>
    </xf>
    <xf numFmtId="43" fontId="5" fillId="6" borderId="11" xfId="14" applyFont="1" applyFill="1" applyBorder="1" applyAlignment="1">
      <alignment horizontal="justify" vertical="center"/>
    </xf>
    <xf numFmtId="9" fontId="5" fillId="6" borderId="11" xfId="1" applyFont="1" applyFill="1" applyBorder="1" applyAlignment="1">
      <alignment horizontal="center" vertical="center"/>
    </xf>
    <xf numFmtId="43" fontId="5" fillId="6" borderId="11" xfId="14" applyFont="1" applyFill="1" applyBorder="1" applyAlignment="1">
      <alignment horizontal="center" vertical="center"/>
    </xf>
    <xf numFmtId="43" fontId="5" fillId="6" borderId="11" xfId="14" applyFont="1" applyFill="1" applyBorder="1" applyAlignment="1">
      <alignment horizontal="justify" vertical="center" wrapText="1"/>
    </xf>
    <xf numFmtId="0" fontId="3" fillId="0" borderId="1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43" fontId="3" fillId="2" borderId="2" xfId="14" applyFont="1" applyFill="1" applyBorder="1" applyAlignment="1">
      <alignment horizontal="justify" vertical="center" wrapText="1"/>
    </xf>
    <xf numFmtId="43" fontId="3" fillId="2" borderId="8" xfId="14" applyFont="1" applyFill="1" applyBorder="1" applyAlignment="1">
      <alignment horizontal="justify" vertical="center" wrapText="1"/>
    </xf>
    <xf numFmtId="176" fontId="3" fillId="2" borderId="8" xfId="16" applyNumberFormat="1" applyFont="1" applyFill="1" applyBorder="1" applyAlignment="1">
      <alignment horizontal="center" vertical="center"/>
    </xf>
    <xf numFmtId="0" fontId="9" fillId="2" borderId="8" xfId="0" applyNumberFormat="1" applyFont="1" applyFill="1" applyBorder="1" applyAlignment="1">
      <alignment horizontal="center" vertical="center" wrapText="1"/>
    </xf>
    <xf numFmtId="43" fontId="3" fillId="2" borderId="16" xfId="14" applyFont="1" applyFill="1" applyBorder="1" applyAlignment="1">
      <alignment horizontal="justify" vertical="center" wrapText="1"/>
    </xf>
    <xf numFmtId="176" fontId="3" fillId="2" borderId="18" xfId="16" applyNumberFormat="1" applyFont="1" applyFill="1" applyBorder="1" applyAlignment="1">
      <alignment horizontal="center" vertical="center"/>
    </xf>
    <xf numFmtId="0" fontId="9" fillId="6" borderId="2" xfId="0" applyNumberFormat="1"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horizontal="justify" vertical="center" wrapText="1"/>
    </xf>
    <xf numFmtId="9" fontId="3" fillId="6" borderId="11" xfId="1" applyFont="1" applyFill="1" applyBorder="1" applyAlignment="1">
      <alignment horizontal="center" vertical="center" wrapText="1"/>
    </xf>
    <xf numFmtId="43" fontId="3" fillId="6" borderId="11" xfId="14" applyFont="1" applyFill="1" applyBorder="1" applyAlignment="1">
      <alignment vertical="center" wrapText="1"/>
    </xf>
    <xf numFmtId="0" fontId="3" fillId="6" borderId="11"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2" fillId="0" borderId="2" xfId="17" applyFont="1" applyFill="1" applyBorder="1" applyAlignment="1">
      <alignment horizontal="center" vertical="center" wrapText="1"/>
    </xf>
    <xf numFmtId="0" fontId="9" fillId="0" borderId="10" xfId="0" applyFont="1" applyFill="1" applyBorder="1" applyAlignment="1">
      <alignment horizontal="justify" vertical="center" wrapText="1"/>
    </xf>
    <xf numFmtId="43" fontId="9" fillId="0" borderId="16" xfId="14" applyFont="1" applyFill="1" applyBorder="1" applyAlignment="1">
      <alignment horizontal="center" vertical="center" wrapText="1"/>
    </xf>
    <xf numFmtId="43" fontId="9" fillId="2" borderId="16" xfId="14" applyFont="1" applyFill="1" applyBorder="1" applyAlignment="1">
      <alignment horizontal="justify" vertical="center" wrapText="1"/>
    </xf>
    <xf numFmtId="43" fontId="9" fillId="0" borderId="16" xfId="14" applyFont="1" applyFill="1" applyBorder="1" applyAlignment="1">
      <alignment horizontal="justify" vertical="center" wrapText="1"/>
    </xf>
    <xf numFmtId="14" fontId="9" fillId="0" borderId="2" xfId="0" applyNumberFormat="1" applyFont="1" applyFill="1" applyBorder="1" applyAlignment="1">
      <alignment horizontal="center" vertical="center" wrapText="1"/>
    </xf>
    <xf numFmtId="43" fontId="5" fillId="6" borderId="11" xfId="14" applyFont="1" applyFill="1" applyBorder="1" applyAlignment="1">
      <alignment horizontal="left" vertical="center"/>
    </xf>
    <xf numFmtId="43" fontId="5" fillId="6" borderId="3" xfId="14" applyFont="1" applyFill="1" applyBorder="1" applyAlignment="1">
      <alignment horizontal="left" vertical="center"/>
    </xf>
    <xf numFmtId="43" fontId="5" fillId="6" borderId="3" xfId="14" applyFont="1" applyFill="1" applyBorder="1" applyAlignment="1">
      <alignment horizontal="center" vertical="center"/>
    </xf>
    <xf numFmtId="43" fontId="5" fillId="6" borderId="3" xfId="14" applyFont="1" applyFill="1" applyBorder="1" applyAlignment="1">
      <alignment horizontal="justify" vertical="center" wrapText="1"/>
    </xf>
    <xf numFmtId="14" fontId="9" fillId="2" borderId="8" xfId="0" applyNumberFormat="1" applyFont="1" applyFill="1" applyBorder="1" applyAlignment="1">
      <alignment horizontal="center" vertical="center" wrapText="1"/>
    </xf>
    <xf numFmtId="14" fontId="9" fillId="2" borderId="16" xfId="0" applyNumberFormat="1" applyFont="1" applyFill="1" applyBorder="1" applyAlignment="1">
      <alignment horizontal="center" vertical="center" wrapText="1"/>
    </xf>
    <xf numFmtId="0" fontId="9" fillId="2" borderId="18" xfId="0" applyFont="1" applyFill="1" applyBorder="1" applyAlignment="1">
      <alignment horizontal="center" vertical="center" wrapText="1"/>
    </xf>
    <xf numFmtId="14" fontId="9" fillId="2" borderId="18"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0" fontId="9" fillId="2" borderId="10" xfId="0" applyFont="1" applyFill="1" applyBorder="1" applyAlignment="1">
      <alignment horizontal="justify" vertical="center" wrapText="1"/>
    </xf>
    <xf numFmtId="43" fontId="9" fillId="2" borderId="2" xfId="14" applyFont="1" applyFill="1" applyBorder="1" applyAlignment="1">
      <alignment horizontal="center" vertical="center" wrapText="1"/>
    </xf>
    <xf numFmtId="43" fontId="3" fillId="2" borderId="2" xfId="14" applyFont="1" applyFill="1" applyBorder="1" applyAlignment="1">
      <alignment horizontal="center" vertical="center" wrapText="1"/>
    </xf>
    <xf numFmtId="0" fontId="9" fillId="2" borderId="10" xfId="0" applyFont="1" applyFill="1" applyBorder="1" applyAlignment="1">
      <alignment horizontal="center" vertical="center" wrapText="1"/>
    </xf>
    <xf numFmtId="43" fontId="9" fillId="2" borderId="2" xfId="0" applyNumberFormat="1" applyFont="1" applyFill="1" applyBorder="1" applyAlignment="1">
      <alignment horizontal="center" vertical="center" wrapText="1"/>
    </xf>
    <xf numFmtId="9" fontId="9" fillId="2" borderId="2" xfId="1" applyFont="1" applyFill="1" applyBorder="1" applyAlignment="1">
      <alignment horizontal="center" vertical="center" wrapText="1"/>
    </xf>
    <xf numFmtId="14" fontId="9" fillId="2" borderId="10" xfId="0" applyNumberFormat="1" applyFont="1" applyFill="1" applyBorder="1" applyAlignment="1">
      <alignment horizontal="center" vertical="center" wrapText="1"/>
    </xf>
    <xf numFmtId="1" fontId="3" fillId="0" borderId="0" xfId="0" applyNumberFormat="1" applyFont="1" applyFill="1" applyBorder="1"/>
    <xf numFmtId="0" fontId="9" fillId="2" borderId="9" xfId="0" applyFont="1" applyFill="1" applyBorder="1" applyAlignment="1">
      <alignment horizontal="justify" vertical="center" wrapText="1"/>
    </xf>
    <xf numFmtId="43" fontId="9" fillId="2" borderId="8" xfId="14" applyFont="1" applyFill="1" applyBorder="1" applyAlignment="1">
      <alignment horizontal="center" vertical="center" wrapText="1"/>
    </xf>
    <xf numFmtId="43" fontId="3" fillId="2" borderId="2" xfId="14" applyFont="1" applyFill="1" applyBorder="1" applyAlignment="1">
      <alignment horizontal="justify" vertical="center"/>
    </xf>
    <xf numFmtId="43" fontId="3" fillId="2" borderId="2" xfId="14" applyFont="1" applyFill="1" applyBorder="1" applyAlignment="1">
      <alignment horizontal="center" vertical="center"/>
    </xf>
    <xf numFmtId="0" fontId="9" fillId="2" borderId="9" xfId="0" applyFont="1" applyFill="1" applyBorder="1" applyAlignment="1">
      <alignment horizontal="center" vertical="center" wrapText="1"/>
    </xf>
    <xf numFmtId="0" fontId="9" fillId="2" borderId="5" xfId="0" applyFont="1" applyFill="1" applyBorder="1" applyAlignment="1">
      <alignment horizontal="justify" vertical="center" wrapText="1"/>
    </xf>
    <xf numFmtId="43" fontId="9" fillId="2" borderId="2" xfId="14" applyFont="1" applyFill="1" applyBorder="1" applyAlignment="1">
      <alignment horizontal="justify" vertical="center" wrapText="1"/>
    </xf>
    <xf numFmtId="14" fontId="9" fillId="2" borderId="2" xfId="0" applyNumberFormat="1" applyFont="1" applyFill="1" applyBorder="1" applyAlignment="1">
      <alignment horizontal="center" vertical="center" wrapText="1"/>
    </xf>
    <xf numFmtId="1" fontId="3" fillId="0" borderId="0" xfId="0" applyNumberFormat="1" applyFont="1" applyFill="1"/>
    <xf numFmtId="0" fontId="9" fillId="2" borderId="9" xfId="0" applyFont="1" applyFill="1" applyBorder="1" applyAlignment="1" applyProtection="1">
      <alignment horizontal="justify" vertical="center" wrapText="1"/>
      <protection locked="0"/>
    </xf>
    <xf numFmtId="0" fontId="9" fillId="2" borderId="16" xfId="14" applyNumberFormat="1" applyFont="1" applyFill="1" applyBorder="1" applyAlignment="1">
      <alignment horizontal="center" vertical="center" wrapText="1"/>
    </xf>
    <xf numFmtId="176" fontId="3" fillId="2" borderId="10" xfId="16" applyNumberFormat="1" applyFont="1" applyFill="1" applyBorder="1" applyAlignment="1">
      <alignment vertical="center"/>
    </xf>
    <xf numFmtId="176" fontId="3" fillId="2" borderId="2" xfId="16" applyNumberFormat="1" applyFont="1" applyFill="1" applyBorder="1" applyAlignment="1">
      <alignment vertical="center"/>
    </xf>
    <xf numFmtId="176" fontId="3" fillId="2" borderId="2" xfId="0" applyNumberFormat="1" applyFont="1" applyFill="1" applyBorder="1" applyAlignment="1">
      <alignment horizontal="center" vertical="center"/>
    </xf>
    <xf numFmtId="176" fontId="3" fillId="2" borderId="9" xfId="0" applyNumberFormat="1" applyFont="1" applyFill="1" applyBorder="1" applyAlignment="1">
      <alignment horizontal="center" vertical="center"/>
    </xf>
    <xf numFmtId="14" fontId="9" fillId="2" borderId="9" xfId="0" applyNumberFormat="1" applyFont="1" applyFill="1" applyBorder="1" applyAlignment="1" applyProtection="1">
      <alignment horizontal="center" vertical="center" wrapText="1"/>
      <protection locked="0"/>
    </xf>
    <xf numFmtId="0" fontId="9" fillId="2" borderId="8" xfId="0" applyFont="1" applyFill="1" applyBorder="1" applyAlignment="1">
      <alignment vertical="center" wrapText="1"/>
    </xf>
    <xf numFmtId="0" fontId="9" fillId="2" borderId="9" xfId="0" applyFont="1" applyFill="1" applyBorder="1" applyAlignment="1" applyProtection="1">
      <alignment vertical="center" wrapText="1"/>
      <protection locked="0"/>
    </xf>
    <xf numFmtId="43" fontId="9" fillId="2" borderId="8" xfId="14" applyFont="1" applyFill="1" applyBorder="1" applyAlignment="1">
      <alignment vertical="center" wrapText="1"/>
    </xf>
    <xf numFmtId="43" fontId="9" fillId="2" borderId="18" xfId="14" applyFont="1" applyFill="1" applyBorder="1" applyAlignment="1">
      <alignment vertical="center" wrapText="1"/>
    </xf>
    <xf numFmtId="43" fontId="9" fillId="2" borderId="2" xfId="14" applyFont="1" applyFill="1" applyBorder="1" applyAlignment="1">
      <alignment vertical="center" wrapText="1"/>
    </xf>
    <xf numFmtId="176" fontId="3" fillId="2" borderId="6" xfId="16" applyNumberFormat="1" applyFont="1" applyFill="1" applyBorder="1" applyAlignment="1">
      <alignment horizontal="center" vertical="center"/>
    </xf>
    <xf numFmtId="14" fontId="9" fillId="2" borderId="8" xfId="0" applyNumberFormat="1" applyFont="1" applyFill="1" applyBorder="1" applyAlignment="1" applyProtection="1">
      <alignment vertical="center" wrapText="1"/>
      <protection locked="0"/>
    </xf>
    <xf numFmtId="176" fontId="3" fillId="2" borderId="8" xfId="16" applyNumberFormat="1" applyFont="1" applyFill="1" applyBorder="1" applyAlignment="1">
      <alignment vertical="center"/>
    </xf>
    <xf numFmtId="14" fontId="9" fillId="2" borderId="9" xfId="0" applyNumberFormat="1" applyFont="1" applyFill="1" applyBorder="1" applyAlignment="1" applyProtection="1">
      <alignment vertical="center" wrapText="1"/>
      <protection locked="0"/>
    </xf>
    <xf numFmtId="0" fontId="9" fillId="2" borderId="2" xfId="0" applyFont="1" applyFill="1" applyBorder="1" applyAlignment="1" applyProtection="1">
      <alignment vertical="center" wrapText="1"/>
      <protection locked="0"/>
    </xf>
    <xf numFmtId="0" fontId="3" fillId="0" borderId="6" xfId="0" applyFont="1" applyFill="1" applyBorder="1"/>
    <xf numFmtId="0" fontId="9" fillId="2" borderId="8" xfId="0" applyFont="1" applyFill="1" applyBorder="1" applyAlignment="1" applyProtection="1">
      <alignment horizontal="justify" vertical="center" wrapText="1"/>
      <protection locked="0"/>
    </xf>
    <xf numFmtId="9" fontId="3" fillId="2" borderId="8" xfId="1" applyFont="1" applyFill="1" applyBorder="1" applyAlignment="1">
      <alignment horizontal="center" vertical="center"/>
    </xf>
    <xf numFmtId="43" fontId="3" fillId="2" borderId="8" xfId="14" applyFont="1" applyFill="1" applyBorder="1" applyAlignment="1">
      <alignment horizontal="center" vertical="center"/>
    </xf>
    <xf numFmtId="3" fontId="3" fillId="2" borderId="2" xfId="0" applyNumberFormat="1" applyFont="1" applyFill="1" applyBorder="1" applyAlignment="1">
      <alignment horizontal="center" vertical="center"/>
    </xf>
    <xf numFmtId="3" fontId="3" fillId="2" borderId="9" xfId="0" applyNumberFormat="1" applyFont="1" applyFill="1" applyBorder="1" applyAlignment="1">
      <alignment horizontal="center" vertical="center"/>
    </xf>
    <xf numFmtId="0" fontId="5" fillId="6" borderId="10" xfId="0" applyFont="1" applyFill="1" applyBorder="1" applyAlignment="1">
      <alignment horizontal="left" vertical="center"/>
    </xf>
    <xf numFmtId="0" fontId="3" fillId="6" borderId="11" xfId="0" applyFont="1" applyFill="1" applyBorder="1"/>
    <xf numFmtId="0" fontId="3" fillId="6" borderId="11" xfId="0" applyFont="1" applyFill="1" applyBorder="1" applyAlignment="1">
      <alignment horizontal="center" vertical="center"/>
    </xf>
    <xf numFmtId="0" fontId="3" fillId="6" borderId="11" xfId="0" applyFont="1" applyFill="1" applyBorder="1" applyAlignment="1">
      <alignment horizontal="center"/>
    </xf>
    <xf numFmtId="9" fontId="3" fillId="6" borderId="11" xfId="1" applyFont="1" applyFill="1" applyBorder="1" applyAlignment="1">
      <alignment horizontal="center" vertical="center"/>
    </xf>
    <xf numFmtId="43" fontId="3" fillId="6" borderId="11" xfId="14" applyFont="1" applyFill="1" applyBorder="1" applyAlignment="1">
      <alignment horizontal="center"/>
    </xf>
    <xf numFmtId="43" fontId="3" fillId="6" borderId="11" xfId="14" applyFont="1" applyFill="1" applyBorder="1" applyAlignment="1">
      <alignment horizontal="justify" vertical="center"/>
    </xf>
    <xf numFmtId="43" fontId="3" fillId="6" borderId="11" xfId="14" applyFont="1" applyFill="1" applyBorder="1" applyAlignment="1">
      <alignment horizontal="center" vertical="center"/>
    </xf>
    <xf numFmtId="43" fontId="3" fillId="6" borderId="11" xfId="14" applyFont="1" applyFill="1" applyBorder="1" applyAlignment="1">
      <alignment horizontal="justify" vertical="center" wrapText="1"/>
    </xf>
    <xf numFmtId="0" fontId="9" fillId="2" borderId="2" xfId="7" applyNumberFormat="1" applyFont="1" applyFill="1" applyBorder="1" applyAlignment="1">
      <alignment horizontal="center" vertical="center" wrapText="1"/>
    </xf>
    <xf numFmtId="43" fontId="9" fillId="2" borderId="16" xfId="14" applyFont="1" applyFill="1" applyBorder="1" applyAlignment="1">
      <alignment horizontal="center" vertical="center" wrapText="1"/>
    </xf>
    <xf numFmtId="0" fontId="3" fillId="0" borderId="16" xfId="0" applyFont="1" applyFill="1" applyBorder="1"/>
    <xf numFmtId="0" fontId="3" fillId="2" borderId="2" xfId="14" applyNumberFormat="1" applyFont="1" applyFill="1" applyBorder="1" applyAlignment="1">
      <alignment horizontal="center" vertical="center" wrapText="1"/>
    </xf>
    <xf numFmtId="0" fontId="9" fillId="2" borderId="2" xfId="0" applyFont="1" applyFill="1" applyBorder="1" applyAlignment="1" applyProtection="1">
      <alignment horizontal="justify" vertical="center" wrapText="1"/>
      <protection locked="0"/>
    </xf>
    <xf numFmtId="9" fontId="9" fillId="2" borderId="2" xfId="1" applyFont="1" applyFill="1" applyBorder="1" applyAlignment="1" applyProtection="1">
      <alignment horizontal="center" vertical="center" wrapText="1"/>
      <protection locked="0"/>
    </xf>
    <xf numFmtId="43" fontId="9" fillId="2" borderId="8" xfId="14" applyFont="1" applyFill="1" applyBorder="1" applyAlignment="1">
      <alignment horizontal="justify" vertical="center" wrapText="1"/>
    </xf>
    <xf numFmtId="0" fontId="9" fillId="2" borderId="2" xfId="14" applyNumberFormat="1" applyFont="1" applyFill="1" applyBorder="1" applyAlignment="1">
      <alignment horizontal="center" vertical="center" wrapText="1"/>
    </xf>
    <xf numFmtId="176" fontId="2" fillId="2" borderId="2" xfId="0" applyNumberFormat="1" applyFont="1" applyFill="1" applyBorder="1" applyAlignment="1">
      <alignment horizontal="center" vertical="center"/>
    </xf>
    <xf numFmtId="176" fontId="2" fillId="2" borderId="9" xfId="0" applyNumberFormat="1" applyFont="1" applyFill="1" applyBorder="1" applyAlignment="1">
      <alignment horizontal="center" vertical="center"/>
    </xf>
    <xf numFmtId="177" fontId="3" fillId="2" borderId="20" xfId="15" applyNumberFormat="1" applyFont="1" applyFill="1" applyBorder="1" applyAlignment="1">
      <alignment vertical="center"/>
    </xf>
    <xf numFmtId="177" fontId="3" fillId="2" borderId="17" xfId="15" applyNumberFormat="1" applyFont="1" applyFill="1" applyBorder="1" applyAlignment="1">
      <alignment vertical="center"/>
    </xf>
    <xf numFmtId="0" fontId="9" fillId="2" borderId="8" xfId="7" applyNumberFormat="1" applyFont="1" applyFill="1" applyBorder="1" applyAlignment="1">
      <alignment horizontal="center" vertical="center" wrapText="1"/>
    </xf>
    <xf numFmtId="0" fontId="9" fillId="2" borderId="18" xfId="0" applyFont="1" applyFill="1" applyBorder="1" applyAlignment="1">
      <alignment vertical="center" wrapText="1"/>
    </xf>
    <xf numFmtId="177" fontId="3" fillId="2" borderId="20" xfId="15" applyNumberFormat="1" applyFont="1" applyFill="1" applyBorder="1" applyAlignment="1">
      <alignment horizontal="center" vertical="center"/>
    </xf>
    <xf numFmtId="177" fontId="3" fillId="2" borderId="16" xfId="15" applyNumberFormat="1" applyFont="1" applyFill="1" applyBorder="1" applyAlignment="1">
      <alignment horizontal="center" vertical="center"/>
    </xf>
    <xf numFmtId="0" fontId="9" fillId="0" borderId="2" xfId="17" applyFont="1" applyFill="1" applyBorder="1" applyAlignment="1">
      <alignment horizontal="center" vertical="center" wrapText="1"/>
    </xf>
    <xf numFmtId="43" fontId="9" fillId="2" borderId="18" xfId="14" applyFont="1" applyFill="1" applyBorder="1" applyAlignment="1">
      <alignment horizontal="center" vertical="center" wrapText="1"/>
    </xf>
    <xf numFmtId="177" fontId="3" fillId="2" borderId="21" xfId="15" applyNumberFormat="1" applyFont="1" applyFill="1" applyBorder="1" applyAlignment="1">
      <alignment horizontal="center" vertical="center"/>
    </xf>
    <xf numFmtId="0" fontId="9" fillId="2" borderId="2" xfId="0" applyFont="1" applyFill="1" applyBorder="1" applyAlignment="1" applyProtection="1">
      <alignment horizontal="center" vertical="center" wrapText="1"/>
      <protection locked="0"/>
    </xf>
    <xf numFmtId="0" fontId="3" fillId="0" borderId="16" xfId="0" applyFont="1" applyBorder="1"/>
    <xf numFmtId="43" fontId="9" fillId="2" borderId="2" xfId="14" applyFont="1" applyFill="1" applyBorder="1" applyAlignment="1" applyProtection="1">
      <alignment horizontal="justify" vertical="center" wrapText="1"/>
      <protection locked="0"/>
    </xf>
    <xf numFmtId="43" fontId="9" fillId="2" borderId="18" xfId="14" applyFont="1" applyFill="1" applyBorder="1" applyAlignment="1" applyProtection="1">
      <alignment horizontal="justify" vertical="center" wrapText="1"/>
      <protection locked="0"/>
    </xf>
    <xf numFmtId="0" fontId="3" fillId="0" borderId="18" xfId="0" applyFont="1" applyBorder="1"/>
    <xf numFmtId="0" fontId="9" fillId="2" borderId="22" xfId="0" applyFont="1" applyFill="1" applyBorder="1" applyAlignment="1" applyProtection="1">
      <alignment horizontal="center" vertical="center" wrapText="1"/>
      <protection locked="0"/>
    </xf>
    <xf numFmtId="43" fontId="9" fillId="2" borderId="8" xfId="14" applyFont="1" applyFill="1" applyBorder="1" applyAlignment="1" applyProtection="1">
      <alignment horizontal="justify" vertical="center" wrapText="1"/>
      <protection locked="0"/>
    </xf>
    <xf numFmtId="9" fontId="9" fillId="6" borderId="2" xfId="1" applyFont="1" applyFill="1" applyBorder="1" applyAlignment="1">
      <alignment horizontal="center" vertical="center" wrapText="1"/>
    </xf>
    <xf numFmtId="43" fontId="9" fillId="0" borderId="18" xfId="14" applyFont="1" applyFill="1" applyBorder="1" applyAlignment="1">
      <alignment horizontal="center" vertical="center" wrapText="1"/>
    </xf>
    <xf numFmtId="43" fontId="9" fillId="0" borderId="2" xfId="14" applyFont="1" applyFill="1" applyBorder="1" applyAlignment="1">
      <alignment horizontal="justify" vertical="center" wrapText="1"/>
    </xf>
    <xf numFmtId="43" fontId="3" fillId="0" borderId="2" xfId="14" applyFont="1" applyFill="1" applyBorder="1" applyAlignment="1">
      <alignment horizontal="center" vertical="center" wrapText="1"/>
    </xf>
    <xf numFmtId="43" fontId="3" fillId="0" borderId="2" xfId="14" applyFont="1" applyFill="1" applyBorder="1" applyAlignment="1">
      <alignment horizontal="justify" vertical="center" wrapText="1"/>
    </xf>
    <xf numFmtId="3" fontId="3" fillId="0" borderId="2" xfId="0" applyNumberFormat="1" applyFont="1" applyFill="1" applyBorder="1" applyAlignment="1">
      <alignment horizontal="center" vertical="center"/>
    </xf>
    <xf numFmtId="9" fontId="9" fillId="0" borderId="2" xfId="1" applyFont="1" applyFill="1" applyBorder="1" applyAlignment="1">
      <alignment horizontal="center" vertical="center" wrapText="1"/>
    </xf>
    <xf numFmtId="43" fontId="9" fillId="0" borderId="8" xfId="14" applyFont="1" applyFill="1" applyBorder="1" applyAlignment="1">
      <alignment horizontal="center" vertical="center" wrapText="1"/>
    </xf>
    <xf numFmtId="43" fontId="9" fillId="0" borderId="8" xfId="14" applyFont="1" applyFill="1" applyBorder="1" applyAlignment="1">
      <alignment horizontal="justify" vertical="center" wrapText="1"/>
    </xf>
    <xf numFmtId="9" fontId="5" fillId="8" borderId="11" xfId="1" applyFont="1" applyFill="1" applyBorder="1" applyAlignment="1">
      <alignment horizontal="center" vertical="center"/>
    </xf>
    <xf numFmtId="43" fontId="5" fillId="8" borderId="11" xfId="14" applyFont="1" applyFill="1" applyBorder="1" applyAlignment="1">
      <alignment horizontal="justify" vertical="center"/>
    </xf>
    <xf numFmtId="43" fontId="5" fillId="8" borderId="11" xfId="14" applyFont="1" applyFill="1" applyBorder="1" applyAlignment="1">
      <alignment horizontal="center" vertical="center"/>
    </xf>
    <xf numFmtId="43" fontId="5" fillId="8" borderId="11" xfId="14" applyFont="1" applyFill="1" applyBorder="1" applyAlignment="1">
      <alignment horizontal="justify" vertical="center" wrapText="1"/>
    </xf>
    <xf numFmtId="164" fontId="3" fillId="6" borderId="11" xfId="0" applyNumberFormat="1" applyFont="1" applyFill="1" applyBorder="1" applyAlignment="1">
      <alignment horizontal="justify" vertical="center" wrapText="1"/>
    </xf>
    <xf numFmtId="43" fontId="3" fillId="6" borderId="11" xfId="14" applyFont="1" applyFill="1" applyBorder="1"/>
    <xf numFmtId="164" fontId="3" fillId="6" borderId="11" xfId="0" applyNumberFormat="1" applyFont="1" applyFill="1" applyBorder="1" applyAlignment="1">
      <alignment horizontal="center" vertical="center"/>
    </xf>
    <xf numFmtId="0" fontId="3" fillId="0" borderId="2" xfId="7" applyNumberFormat="1" applyFont="1" applyFill="1" applyBorder="1" applyAlignment="1">
      <alignment horizontal="center" vertical="center" wrapText="1"/>
    </xf>
    <xf numFmtId="0" fontId="9" fillId="0" borderId="8" xfId="0" applyFont="1" applyFill="1" applyBorder="1" applyAlignment="1" applyProtection="1">
      <alignment horizontal="justify" vertical="center" wrapText="1"/>
      <protection locked="0"/>
    </xf>
    <xf numFmtId="0" fontId="9" fillId="0" borderId="8" xfId="0" applyFont="1" applyFill="1" applyBorder="1" applyAlignment="1" applyProtection="1">
      <alignment vertical="center" wrapText="1"/>
      <protection locked="0"/>
    </xf>
    <xf numFmtId="0" fontId="3" fillId="0" borderId="8" xfId="0" applyFont="1" applyFill="1" applyBorder="1" applyAlignment="1">
      <alignment vertical="center" wrapText="1"/>
    </xf>
    <xf numFmtId="43" fontId="3" fillId="0" borderId="16" xfId="14" applyFont="1" applyFill="1" applyBorder="1" applyAlignment="1">
      <alignment horizontal="justify" vertical="center" wrapText="1"/>
    </xf>
    <xf numFmtId="176" fontId="3" fillId="0" borderId="10" xfId="16" applyNumberFormat="1" applyFont="1" applyFill="1" applyBorder="1" applyAlignment="1">
      <alignment vertical="center"/>
    </xf>
    <xf numFmtId="176" fontId="3" fillId="0" borderId="2" xfId="16" applyNumberFormat="1" applyFont="1" applyFill="1" applyBorder="1" applyAlignment="1">
      <alignment vertical="center"/>
    </xf>
    <xf numFmtId="176" fontId="3" fillId="0" borderId="2"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4" fontId="9" fillId="0" borderId="9" xfId="0" applyNumberFormat="1" applyFont="1" applyFill="1" applyBorder="1" applyAlignment="1" applyProtection="1">
      <alignment horizontal="center" vertical="center" wrapText="1"/>
      <protection locked="0"/>
    </xf>
    <xf numFmtId="0" fontId="5" fillId="8" borderId="9" xfId="0" applyFont="1" applyFill="1" applyBorder="1" applyAlignment="1">
      <alignment horizontal="left" vertical="center" wrapText="1"/>
    </xf>
    <xf numFmtId="1" fontId="3" fillId="0" borderId="9" xfId="0" applyNumberFormat="1" applyFont="1" applyBorder="1"/>
    <xf numFmtId="0" fontId="3" fillId="0" borderId="2" xfId="0" applyFont="1" applyFill="1" applyBorder="1" applyAlignment="1">
      <alignment horizontal="justify"/>
    </xf>
    <xf numFmtId="0" fontId="3" fillId="2" borderId="0" xfId="0" applyFont="1" applyFill="1" applyAlignment="1">
      <alignment horizontal="justify"/>
    </xf>
    <xf numFmtId="9" fontId="3" fillId="2" borderId="0" xfId="1" applyFont="1" applyFill="1" applyAlignment="1">
      <alignment horizontal="center" vertical="center"/>
    </xf>
    <xf numFmtId="167" fontId="3" fillId="0" borderId="0" xfId="0" applyNumberFormat="1" applyFont="1" applyFill="1" applyAlignment="1">
      <alignment horizontal="center" vertical="center"/>
    </xf>
    <xf numFmtId="0" fontId="13" fillId="2" borderId="0" xfId="0" applyFont="1" applyFill="1" applyAlignment="1">
      <alignment horizontal="justify"/>
    </xf>
    <xf numFmtId="9" fontId="13" fillId="2" borderId="0" xfId="1" applyFont="1" applyFill="1" applyAlignment="1">
      <alignment horizontal="center" vertical="center"/>
    </xf>
    <xf numFmtId="178" fontId="13" fillId="2" borderId="0" xfId="0" applyNumberFormat="1" applyFont="1" applyFill="1" applyAlignment="1">
      <alignment horizontal="justify" vertical="center"/>
    </xf>
    <xf numFmtId="167" fontId="2" fillId="8" borderId="11" xfId="0" applyNumberFormat="1" applyFont="1" applyFill="1" applyBorder="1" applyAlignment="1">
      <alignment vertical="center"/>
    </xf>
    <xf numFmtId="0" fontId="2" fillId="6" borderId="0" xfId="0" applyFont="1" applyFill="1" applyBorder="1" applyAlignment="1">
      <alignment horizontal="center" vertical="center"/>
    </xf>
    <xf numFmtId="165" fontId="2" fillId="6" borderId="0" xfId="0" applyNumberFormat="1" applyFont="1" applyFill="1" applyBorder="1" applyAlignment="1">
      <alignment vertical="center"/>
    </xf>
    <xf numFmtId="0" fontId="2" fillId="6" borderId="0" xfId="0" applyFont="1" applyFill="1" applyBorder="1" applyAlignment="1">
      <alignment horizontal="justify" vertical="center"/>
    </xf>
    <xf numFmtId="165" fontId="2" fillId="6" borderId="0" xfId="0" applyNumberFormat="1" applyFont="1" applyFill="1" applyBorder="1" applyAlignment="1">
      <alignment horizontal="center" vertical="center"/>
    </xf>
    <xf numFmtId="1" fontId="2" fillId="6" borderId="0" xfId="0" applyNumberFormat="1" applyFont="1" applyFill="1" applyBorder="1" applyAlignment="1">
      <alignment horizontal="center" vertical="center"/>
    </xf>
    <xf numFmtId="0" fontId="2" fillId="6" borderId="0" xfId="0" applyFont="1" applyFill="1" applyBorder="1" applyAlignment="1">
      <alignment vertical="center"/>
    </xf>
    <xf numFmtId="167" fontId="2" fillId="6" borderId="0" xfId="0" applyNumberFormat="1" applyFont="1" applyFill="1" applyBorder="1" applyAlignment="1">
      <alignment vertical="center"/>
    </xf>
    <xf numFmtId="0" fontId="3" fillId="2" borderId="2" xfId="5" applyNumberFormat="1" applyFont="1" applyFill="1" applyBorder="1" applyAlignment="1">
      <alignment horizontal="center" vertical="center" wrapText="1"/>
    </xf>
    <xf numFmtId="168" fontId="3" fillId="2" borderId="2" xfId="5" applyFont="1" applyFill="1" applyBorder="1" applyAlignment="1">
      <alignment vertical="center" wrapText="1"/>
    </xf>
    <xf numFmtId="10" fontId="3" fillId="2" borderId="18" xfId="1" applyNumberFormat="1" applyFont="1" applyFill="1" applyBorder="1" applyAlignment="1">
      <alignment horizontal="center" vertical="center" wrapText="1"/>
    </xf>
    <xf numFmtId="170" fontId="3" fillId="2" borderId="0" xfId="0" applyNumberFormat="1" applyFont="1" applyFill="1" applyBorder="1" applyAlignment="1">
      <alignment vertical="center" wrapText="1"/>
    </xf>
    <xf numFmtId="0" fontId="3" fillId="2" borderId="2" xfId="5" applyNumberFormat="1" applyFont="1" applyFill="1" applyBorder="1" applyAlignment="1">
      <alignment horizontal="center" vertical="center"/>
    </xf>
    <xf numFmtId="168" fontId="3" fillId="2" borderId="18" xfId="5" applyFont="1" applyFill="1" applyBorder="1"/>
    <xf numFmtId="1" fontId="3" fillId="2" borderId="6" xfId="0" applyNumberFormat="1" applyFont="1" applyFill="1" applyBorder="1" applyAlignment="1">
      <alignment horizontal="center" vertical="center" wrapText="1"/>
    </xf>
    <xf numFmtId="0" fontId="9" fillId="0" borderId="2" xfId="0" applyFont="1" applyFill="1" applyBorder="1" applyAlignment="1">
      <alignment horizontal="center" vertical="center"/>
    </xf>
    <xf numFmtId="0" fontId="3" fillId="2" borderId="2" xfId="0" applyNumberFormat="1" applyFont="1" applyFill="1" applyBorder="1" applyAlignment="1">
      <alignment horizontal="center" vertical="center"/>
    </xf>
    <xf numFmtId="0" fontId="2" fillId="8" borderId="12"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3" fontId="23" fillId="0" borderId="2" xfId="0" applyNumberFormat="1" applyFont="1" applyBorder="1" applyAlignment="1">
      <alignment horizontal="justify" vertical="center" wrapText="1"/>
    </xf>
    <xf numFmtId="0" fontId="5" fillId="6" borderId="2" xfId="0" applyNumberFormat="1" applyFont="1" applyFill="1" applyBorder="1" applyAlignment="1">
      <alignment horizontal="left" vertical="center"/>
    </xf>
    <xf numFmtId="3" fontId="23" fillId="0" borderId="2" xfId="0" applyNumberFormat="1" applyFont="1" applyFill="1" applyBorder="1" applyAlignment="1">
      <alignment horizontal="justify" vertical="center" wrapText="1"/>
    </xf>
    <xf numFmtId="164" fontId="3" fillId="2" borderId="17" xfId="0" applyNumberFormat="1" applyFont="1" applyFill="1" applyBorder="1" applyAlignment="1">
      <alignment horizontal="center" vertical="center"/>
    </xf>
    <xf numFmtId="0" fontId="3" fillId="2" borderId="1" xfId="0" applyFont="1" applyFill="1" applyBorder="1" applyAlignment="1">
      <alignment horizontal="justify" vertical="center"/>
    </xf>
    <xf numFmtId="0" fontId="3" fillId="0" borderId="2" xfId="0" applyFont="1" applyBorder="1"/>
    <xf numFmtId="0" fontId="24" fillId="0" borderId="0" xfId="0" applyFont="1" applyBorder="1" applyAlignment="1">
      <alignment horizontal="justify" vertical="center" wrapText="1"/>
    </xf>
    <xf numFmtId="0" fontId="9" fillId="8" borderId="11" xfId="0" applyFont="1" applyFill="1" applyBorder="1" applyAlignment="1">
      <alignment vertical="center"/>
    </xf>
    <xf numFmtId="1" fontId="9" fillId="8" borderId="11" xfId="0" applyNumberFormat="1" applyFont="1" applyFill="1" applyBorder="1" applyAlignment="1">
      <alignment horizontal="center" vertical="center"/>
    </xf>
    <xf numFmtId="0" fontId="5" fillId="0" borderId="9" xfId="0"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6" borderId="11" xfId="0" applyFont="1" applyFill="1" applyBorder="1" applyAlignment="1">
      <alignment vertical="center" wrapText="1"/>
    </xf>
    <xf numFmtId="1" fontId="5" fillId="6" borderId="11" xfId="0" applyNumberFormat="1" applyFont="1" applyFill="1" applyBorder="1" applyAlignment="1">
      <alignment horizontal="center" vertical="center" wrapText="1"/>
    </xf>
    <xf numFmtId="43" fontId="5" fillId="6" borderId="11" xfId="4" applyFont="1" applyFill="1" applyBorder="1" applyAlignment="1">
      <alignment horizontal="justify" vertical="center"/>
    </xf>
    <xf numFmtId="43" fontId="5" fillId="6" borderId="11" xfId="4" applyFont="1" applyFill="1" applyBorder="1" applyAlignment="1">
      <alignment horizontal="center" vertical="center"/>
    </xf>
    <xf numFmtId="43" fontId="5" fillId="6" borderId="11" xfId="4" applyFont="1" applyFill="1" applyBorder="1" applyAlignment="1">
      <alignment horizontal="justify" vertical="center" wrapText="1"/>
    </xf>
    <xf numFmtId="43" fontId="5" fillId="6" borderId="11" xfId="4" applyFont="1" applyFill="1" applyBorder="1" applyAlignment="1">
      <alignment horizontal="center" vertical="center" wrapText="1"/>
    </xf>
    <xf numFmtId="43" fontId="9" fillId="6" borderId="11" xfId="4" applyFont="1" applyFill="1" applyBorder="1" applyAlignment="1">
      <alignment horizontal="justify" vertical="center"/>
    </xf>
    <xf numFmtId="0" fontId="3" fillId="0" borderId="9" xfId="0" applyFont="1" applyBorder="1"/>
    <xf numFmtId="0" fontId="9" fillId="10" borderId="2" xfId="0" applyFont="1" applyFill="1" applyBorder="1" applyAlignment="1">
      <alignment horizontal="justify" vertical="center" wrapText="1"/>
    </xf>
    <xf numFmtId="1" fontId="23" fillId="0" borderId="2" xfId="0" applyNumberFormat="1" applyFont="1" applyBorder="1" applyAlignment="1">
      <alignment horizontal="center" vertical="center"/>
    </xf>
    <xf numFmtId="9" fontId="3" fillId="2" borderId="2" xfId="1" applyNumberFormat="1" applyFont="1" applyFill="1" applyBorder="1" applyAlignment="1">
      <alignment horizontal="center" vertical="center"/>
    </xf>
    <xf numFmtId="43" fontId="3" fillId="2" borderId="2" xfId="4" applyFont="1" applyFill="1" applyBorder="1" applyAlignment="1">
      <alignment horizontal="center" vertical="center"/>
    </xf>
    <xf numFmtId="176" fontId="9" fillId="0" borderId="2" xfId="9" applyNumberFormat="1" applyFont="1" applyFill="1" applyBorder="1" applyAlignment="1" applyProtection="1">
      <alignment horizontal="right" vertical="center"/>
      <protection locked="0"/>
    </xf>
    <xf numFmtId="43" fontId="3" fillId="0" borderId="2" xfId="4" applyFont="1" applyFill="1" applyBorder="1" applyAlignment="1">
      <alignment horizontal="justify" vertical="center" wrapText="1"/>
    </xf>
    <xf numFmtId="43" fontId="9" fillId="0" borderId="2" xfId="9" applyFont="1" applyFill="1" applyBorder="1" applyAlignment="1">
      <alignment horizontal="center" vertical="center" wrapText="1"/>
    </xf>
    <xf numFmtId="1" fontId="23" fillId="0" borderId="2" xfId="0" applyNumberFormat="1" applyFont="1" applyFill="1" applyBorder="1" applyAlignment="1">
      <alignment horizontal="center" vertical="center"/>
    </xf>
    <xf numFmtId="43" fontId="9" fillId="2" borderId="2" xfId="4" applyFont="1" applyFill="1" applyBorder="1" applyAlignment="1">
      <alignment horizontal="center" vertical="center"/>
    </xf>
    <xf numFmtId="43" fontId="3" fillId="2" borderId="2" xfId="4" applyFont="1" applyFill="1" applyBorder="1" applyAlignment="1">
      <alignment vertical="center"/>
    </xf>
    <xf numFmtId="9" fontId="3" fillId="0" borderId="9" xfId="0" applyNumberFormat="1" applyFont="1" applyBorder="1" applyAlignment="1">
      <alignment horizontal="center" vertical="center"/>
    </xf>
    <xf numFmtId="3" fontId="3" fillId="0" borderId="9" xfId="0" applyNumberFormat="1" applyFont="1" applyBorder="1" applyAlignment="1">
      <alignment horizontal="center" vertical="center" wrapText="1"/>
    </xf>
    <xf numFmtId="14" fontId="3" fillId="0" borderId="9" xfId="0" applyNumberFormat="1" applyFont="1" applyBorder="1" applyAlignment="1">
      <alignment horizontal="center" vertical="center"/>
    </xf>
    <xf numFmtId="14" fontId="3" fillId="0" borderId="9" xfId="0" applyNumberFormat="1" applyFont="1" applyBorder="1" applyAlignment="1">
      <alignment vertical="center"/>
    </xf>
    <xf numFmtId="0" fontId="3" fillId="0" borderId="23" xfId="0" applyFont="1" applyBorder="1" applyAlignment="1">
      <alignment horizontal="center" vertical="center" wrapText="1"/>
    </xf>
    <xf numFmtId="14" fontId="3" fillId="0" borderId="2" xfId="0" applyNumberFormat="1" applyFont="1" applyBorder="1" applyAlignment="1">
      <alignment horizontal="center" vertical="center"/>
    </xf>
    <xf numFmtId="0" fontId="5" fillId="0" borderId="17" xfId="0" applyFont="1" applyBorder="1" applyAlignment="1">
      <alignment horizontal="left" vertical="center" wrapText="1"/>
    </xf>
    <xf numFmtId="0" fontId="5" fillId="0" borderId="1" xfId="0" applyFont="1" applyBorder="1" applyAlignment="1">
      <alignment horizontal="left" vertical="center" wrapText="1"/>
    </xf>
    <xf numFmtId="0" fontId="5" fillId="6" borderId="0" xfId="0" applyFont="1" applyFill="1" applyBorder="1" applyAlignment="1">
      <alignment horizontal="left" vertical="center" wrapText="1"/>
    </xf>
    <xf numFmtId="0" fontId="5" fillId="6" borderId="0" xfId="0" applyFont="1" applyFill="1" applyBorder="1" applyAlignment="1">
      <alignment horizontal="left" vertical="center"/>
    </xf>
    <xf numFmtId="0" fontId="5" fillId="6" borderId="0" xfId="0" applyFont="1" applyFill="1" applyBorder="1" applyAlignment="1">
      <alignment horizontal="justify" vertical="center" wrapText="1"/>
    </xf>
    <xf numFmtId="49" fontId="5" fillId="6" borderId="11" xfId="4" applyNumberFormat="1" applyFont="1" applyFill="1" applyBorder="1" applyAlignment="1">
      <alignment horizontal="center" vertical="center"/>
    </xf>
    <xf numFmtId="43" fontId="9" fillId="6" borderId="11" xfId="4" applyFont="1" applyFill="1" applyBorder="1" applyAlignment="1">
      <alignment horizontal="justify" vertical="center" wrapText="1"/>
    </xf>
    <xf numFmtId="43" fontId="5" fillId="6" borderId="0" xfId="4" applyFont="1" applyFill="1" applyBorder="1" applyAlignment="1">
      <alignment horizontal="center" vertical="center"/>
    </xf>
    <xf numFmtId="14" fontId="3" fillId="6" borderId="0" xfId="0" applyNumberFormat="1" applyFont="1" applyFill="1" applyBorder="1" applyAlignment="1">
      <alignment vertical="center"/>
    </xf>
    <xf numFmtId="43" fontId="9" fillId="0" borderId="2" xfId="4" applyFont="1" applyFill="1" applyBorder="1" applyAlignment="1">
      <alignment horizontal="center" vertical="center"/>
    </xf>
    <xf numFmtId="176" fontId="9" fillId="0" borderId="2" xfId="3" applyNumberFormat="1" applyFont="1" applyBorder="1" applyAlignment="1" applyProtection="1">
      <alignment horizontal="right" vertical="center"/>
      <protection locked="0"/>
    </xf>
    <xf numFmtId="0" fontId="3" fillId="0" borderId="10" xfId="0" applyFont="1" applyBorder="1"/>
    <xf numFmtId="0" fontId="3" fillId="2" borderId="2" xfId="0" applyFont="1" applyFill="1" applyBorder="1" applyAlignment="1">
      <alignment horizontal="justify"/>
    </xf>
    <xf numFmtId="0" fontId="3" fillId="2" borderId="0" xfId="0" applyFont="1" applyFill="1" applyAlignment="1">
      <alignment vertical="center"/>
    </xf>
    <xf numFmtId="0" fontId="3" fillId="2" borderId="3" xfId="0" applyFont="1" applyFill="1" applyBorder="1" applyAlignment="1">
      <alignment vertical="center"/>
    </xf>
    <xf numFmtId="1" fontId="2" fillId="0" borderId="0" xfId="0" applyNumberFormat="1" applyFont="1" applyBorder="1"/>
    <xf numFmtId="0" fontId="2" fillId="2" borderId="0" xfId="0" applyFont="1" applyFill="1" applyBorder="1" applyAlignment="1">
      <alignment horizontal="center"/>
    </xf>
    <xf numFmtId="1" fontId="2" fillId="0" borderId="0" xfId="0" applyNumberFormat="1" applyFont="1"/>
    <xf numFmtId="0" fontId="13" fillId="2" borderId="0" xfId="0" applyFont="1" applyFill="1" applyAlignment="1">
      <alignment vertical="center"/>
    </xf>
    <xf numFmtId="0" fontId="2" fillId="3" borderId="2"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3" xfId="0" applyFont="1" applyBorder="1" applyAlignment="1">
      <alignment horizontal="center" vertical="center"/>
    </xf>
    <xf numFmtId="167" fontId="2" fillId="3" borderId="2" xfId="0" applyNumberFormat="1"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8" xfId="0" applyFont="1" applyFill="1" applyBorder="1" applyAlignment="1">
      <alignment horizontal="justify" vertical="center" wrapText="1"/>
    </xf>
    <xf numFmtId="0" fontId="3" fillId="0" borderId="8" xfId="0" applyFont="1" applyFill="1" applyBorder="1" applyAlignment="1">
      <alignment horizontal="justify" vertical="center" wrapText="1"/>
    </xf>
    <xf numFmtId="167" fontId="3" fillId="0" borderId="8" xfId="0" applyNumberFormat="1" applyFont="1" applyFill="1" applyBorder="1" applyAlignment="1">
      <alignment horizontal="center" vertical="center"/>
    </xf>
    <xf numFmtId="0" fontId="5" fillId="6" borderId="2" xfId="0" applyFont="1" applyFill="1" applyBorder="1" applyAlignment="1">
      <alignment horizontal="left" vertical="center" wrapText="1"/>
    </xf>
    <xf numFmtId="1" fontId="3" fillId="2" borderId="8" xfId="0" applyNumberFormat="1" applyFont="1" applyFill="1" applyBorder="1" applyAlignment="1">
      <alignment horizontal="center" vertical="center"/>
    </xf>
    <xf numFmtId="1" fontId="3" fillId="2" borderId="8" xfId="0" applyNumberFormat="1" applyFont="1" applyFill="1" applyBorder="1" applyAlignment="1">
      <alignment horizontal="justify" vertical="center" wrapText="1"/>
    </xf>
    <xf numFmtId="0" fontId="9" fillId="2" borderId="8" xfId="0" applyFont="1" applyFill="1" applyBorder="1" applyAlignment="1">
      <alignment horizontal="center" vertical="center" wrapText="1"/>
    </xf>
    <xf numFmtId="0" fontId="9" fillId="2" borderId="8" xfId="0" applyFont="1" applyFill="1" applyBorder="1" applyAlignment="1">
      <alignment horizontal="justify" vertical="center" wrapText="1"/>
    </xf>
    <xf numFmtId="43" fontId="3" fillId="2" borderId="8" xfId="0" applyNumberFormat="1" applyFont="1" applyFill="1" applyBorder="1" applyAlignment="1">
      <alignment horizontal="center" vertical="center"/>
    </xf>
    <xf numFmtId="43" fontId="3" fillId="2" borderId="18"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justify"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justify" vertical="center" wrapText="1"/>
    </xf>
    <xf numFmtId="43" fontId="3" fillId="2" borderId="2" xfId="0" applyNumberFormat="1" applyFont="1" applyFill="1" applyBorder="1" applyAlignment="1">
      <alignment horizontal="center" vertical="center"/>
    </xf>
    <xf numFmtId="0" fontId="3" fillId="0" borderId="2" xfId="0" applyFont="1" applyFill="1" applyBorder="1" applyAlignment="1">
      <alignment horizontal="justify" vertical="center" wrapText="1"/>
    </xf>
    <xf numFmtId="0" fontId="3" fillId="0" borderId="2" xfId="0" applyFont="1" applyBorder="1" applyAlignment="1">
      <alignment horizontal="center" vertical="center"/>
    </xf>
    <xf numFmtId="0" fontId="12" fillId="0" borderId="2" xfId="0" applyFont="1" applyFill="1" applyBorder="1" applyAlignment="1">
      <alignment horizontal="justify" vertical="center"/>
    </xf>
    <xf numFmtId="0" fontId="12" fillId="0" borderId="2" xfId="0" applyFont="1" applyFill="1" applyBorder="1" applyAlignment="1">
      <alignment horizontal="justify" vertical="center" wrapText="1"/>
    </xf>
    <xf numFmtId="3" fontId="14" fillId="0" borderId="2" xfId="0" applyNumberFormat="1" applyFont="1" applyFill="1" applyBorder="1" applyAlignment="1">
      <alignment horizontal="justify" vertical="center" wrapText="1"/>
    </xf>
    <xf numFmtId="0" fontId="9" fillId="8" borderId="12" xfId="0" applyFont="1" applyFill="1" applyBorder="1" applyAlignment="1">
      <alignment horizontal="justify" vertical="center"/>
    </xf>
    <xf numFmtId="0" fontId="9" fillId="6" borderId="5" xfId="0" applyFont="1" applyFill="1" applyBorder="1" applyAlignment="1">
      <alignment horizontal="center" vertical="center"/>
    </xf>
    <xf numFmtId="43" fontId="5" fillId="6" borderId="12" xfId="4" applyFont="1" applyFill="1" applyBorder="1" applyAlignment="1">
      <alignment horizontal="justify" vertical="center"/>
    </xf>
    <xf numFmtId="0" fontId="3" fillId="0" borderId="12" xfId="0" applyFont="1" applyBorder="1" applyAlignment="1">
      <alignment horizontal="justify" vertical="center" wrapText="1"/>
    </xf>
    <xf numFmtId="2" fontId="3" fillId="2" borderId="2" xfId="0" applyNumberFormat="1" applyFont="1" applyFill="1" applyBorder="1" applyAlignment="1">
      <alignment horizontal="center" vertical="center"/>
    </xf>
    <xf numFmtId="171" fontId="9" fillId="0" borderId="10" xfId="7" applyFont="1" applyFill="1" applyBorder="1" applyAlignment="1">
      <alignment horizontal="justify" vertical="center" wrapText="1"/>
    </xf>
    <xf numFmtId="43" fontId="9" fillId="0" borderId="2" xfId="4" applyFont="1" applyBorder="1" applyAlignment="1">
      <alignment vertical="center"/>
    </xf>
    <xf numFmtId="179" fontId="3" fillId="0" borderId="2" xfId="18" applyFont="1" applyBorder="1" applyAlignment="1">
      <alignment vertical="center"/>
    </xf>
    <xf numFmtId="0" fontId="3" fillId="2" borderId="12" xfId="0" applyFont="1" applyFill="1" applyBorder="1" applyAlignment="1">
      <alignment vertical="center"/>
    </xf>
    <xf numFmtId="9" fontId="3" fillId="2" borderId="2" xfId="0" applyNumberFormat="1" applyFont="1" applyFill="1" applyBorder="1"/>
    <xf numFmtId="1" fontId="3" fillId="0" borderId="0" xfId="0" applyNumberFormat="1" applyFont="1" applyBorder="1"/>
    <xf numFmtId="0" fontId="3" fillId="2" borderId="0" xfId="0" applyFont="1" applyFill="1" applyBorder="1" applyAlignment="1">
      <alignment vertical="center"/>
    </xf>
    <xf numFmtId="0" fontId="3" fillId="2" borderId="0" xfId="0" applyFont="1" applyFill="1" applyBorder="1" applyAlignment="1">
      <alignment horizontal="justify"/>
    </xf>
    <xf numFmtId="9" fontId="3" fillId="2" borderId="0" xfId="1" applyFont="1" applyFill="1" applyBorder="1" applyAlignment="1">
      <alignment horizontal="center" vertical="center"/>
    </xf>
    <xf numFmtId="43" fontId="2" fillId="0" borderId="0" xfId="0" applyNumberFormat="1" applyFont="1" applyFill="1" applyBorder="1" applyAlignment="1">
      <alignment horizontal="center" vertical="center"/>
    </xf>
    <xf numFmtId="1" fontId="3" fillId="2" borderId="0" xfId="0" applyNumberFormat="1" applyFont="1" applyFill="1" applyBorder="1" applyAlignment="1">
      <alignment horizontal="center" vertical="center"/>
    </xf>
    <xf numFmtId="167" fontId="3" fillId="0" borderId="0" xfId="0" applyNumberFormat="1" applyFont="1" applyFill="1" applyBorder="1" applyAlignment="1">
      <alignment horizontal="right" vertical="center"/>
    </xf>
    <xf numFmtId="167" fontId="3" fillId="0" borderId="0" xfId="0" applyNumberFormat="1" applyFont="1" applyBorder="1" applyAlignment="1">
      <alignment horizontal="center"/>
    </xf>
    <xf numFmtId="0" fontId="3" fillId="0" borderId="0" xfId="0" applyFont="1" applyBorder="1" applyAlignment="1">
      <alignment horizontal="justify" vertical="center"/>
    </xf>
    <xf numFmtId="0" fontId="2" fillId="0" borderId="0" xfId="0" applyFont="1" applyBorder="1" applyAlignment="1"/>
    <xf numFmtId="0" fontId="2" fillId="0" borderId="0" xfId="0" applyFont="1" applyBorder="1" applyAlignment="1">
      <alignment horizontal="center"/>
    </xf>
    <xf numFmtId="0" fontId="2" fillId="0" borderId="0" xfId="0" applyFont="1" applyAlignment="1">
      <alignment horizontal="center"/>
    </xf>
    <xf numFmtId="0" fontId="25" fillId="0" borderId="0" xfId="0" applyFont="1" applyAlignment="1">
      <alignment horizontal="center"/>
    </xf>
    <xf numFmtId="1" fontId="2" fillId="0" borderId="0" xfId="0" applyNumberFormat="1" applyFont="1" applyAlignment="1"/>
    <xf numFmtId="0" fontId="26" fillId="0" borderId="0" xfId="0" applyFont="1" applyAlignment="1">
      <alignment horizontal="center"/>
    </xf>
    <xf numFmtId="1" fontId="12" fillId="0" borderId="0" xfId="0" applyNumberFormat="1" applyFont="1"/>
    <xf numFmtId="0" fontId="12" fillId="0" borderId="0" xfId="0" applyFont="1"/>
    <xf numFmtId="167" fontId="2" fillId="3" borderId="2" xfId="0" applyNumberFormat="1" applyFont="1" applyFill="1" applyBorder="1" applyAlignment="1">
      <alignment horizontal="center" vertical="center" wrapText="1"/>
    </xf>
    <xf numFmtId="0" fontId="3" fillId="0" borderId="8" xfId="0" applyFont="1" applyFill="1" applyBorder="1" applyAlignment="1">
      <alignment horizontal="justify" vertical="center" wrapText="1"/>
    </xf>
    <xf numFmtId="0" fontId="2" fillId="3" borderId="2"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5" fillId="6" borderId="8" xfId="0" applyFont="1" applyFill="1" applyBorder="1" applyAlignment="1">
      <alignment horizontal="left" vertical="center" wrapText="1"/>
    </xf>
    <xf numFmtId="0" fontId="5" fillId="6"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3" fillId="0" borderId="2" xfId="0" applyFont="1" applyFill="1" applyBorder="1" applyAlignment="1">
      <alignment horizontal="justify" vertical="center" wrapText="1"/>
    </xf>
    <xf numFmtId="0" fontId="2" fillId="8" borderId="2" xfId="0" applyFont="1" applyFill="1" applyBorder="1" applyAlignment="1">
      <alignment horizontal="center" vertical="center" wrapText="1"/>
    </xf>
    <xf numFmtId="0" fontId="2" fillId="6" borderId="2" xfId="0" applyFont="1" applyFill="1" applyBorder="1" applyAlignment="1">
      <alignment horizontal="justify" vertical="center" wrapText="1"/>
    </xf>
    <xf numFmtId="0" fontId="9" fillId="2" borderId="12" xfId="7" applyNumberFormat="1" applyFont="1" applyFill="1" applyBorder="1" applyAlignment="1">
      <alignment horizontal="center" vertical="center" wrapText="1"/>
    </xf>
    <xf numFmtId="43" fontId="3" fillId="0" borderId="2" xfId="0" applyNumberFormat="1" applyFont="1" applyFill="1" applyBorder="1" applyAlignment="1">
      <alignment horizontal="center" vertical="center" wrapText="1"/>
    </xf>
    <xf numFmtId="0" fontId="9" fillId="2" borderId="12" xfId="7" applyNumberFormat="1" applyFont="1" applyFill="1" applyBorder="1" applyAlignment="1">
      <alignment horizontal="center" vertical="center"/>
    </xf>
    <xf numFmtId="43" fontId="9" fillId="2" borderId="2" xfId="20" applyNumberFormat="1" applyFont="1" applyFill="1" applyBorder="1" applyAlignment="1">
      <alignment horizontal="center" vertical="center" wrapText="1"/>
    </xf>
    <xf numFmtId="0" fontId="3" fillId="0" borderId="0" xfId="0" applyFont="1" applyAlignment="1">
      <alignment horizontal="justify" vertical="center" wrapText="1"/>
    </xf>
    <xf numFmtId="43" fontId="3" fillId="0" borderId="2" xfId="0" applyNumberFormat="1" applyFont="1" applyFill="1" applyBorder="1" applyAlignment="1">
      <alignment horizontal="center" vertical="center"/>
    </xf>
    <xf numFmtId="43" fontId="3" fillId="2" borderId="16" xfId="0" applyNumberFormat="1" applyFont="1" applyFill="1" applyBorder="1" applyAlignment="1">
      <alignment horizontal="center" vertical="center"/>
    </xf>
    <xf numFmtId="0" fontId="5" fillId="6" borderId="16" xfId="0" applyFont="1" applyFill="1" applyBorder="1" applyAlignment="1">
      <alignment horizontal="left" vertical="center"/>
    </xf>
    <xf numFmtId="0" fontId="3" fillId="6" borderId="2" xfId="0" applyFont="1" applyFill="1" applyBorder="1" applyAlignment="1">
      <alignment horizontal="center" vertical="center"/>
    </xf>
    <xf numFmtId="9" fontId="3" fillId="6" borderId="2" xfId="1" applyFont="1" applyFill="1" applyBorder="1" applyAlignment="1">
      <alignment horizontal="center" vertical="center"/>
    </xf>
    <xf numFmtId="1" fontId="3" fillId="2" borderId="10" xfId="0" applyNumberFormat="1" applyFont="1" applyFill="1" applyBorder="1" applyAlignment="1">
      <alignment vertical="center" wrapText="1"/>
    </xf>
    <xf numFmtId="1" fontId="3" fillId="2" borderId="11" xfId="0" applyNumberFormat="1" applyFont="1" applyFill="1" applyBorder="1" applyAlignment="1">
      <alignment vertical="center" wrapText="1"/>
    </xf>
    <xf numFmtId="1" fontId="3" fillId="2" borderId="12" xfId="0" applyNumberFormat="1" applyFont="1" applyFill="1" applyBorder="1" applyAlignment="1">
      <alignment vertical="center" wrapText="1"/>
    </xf>
    <xf numFmtId="0" fontId="5" fillId="6" borderId="16" xfId="0" applyFont="1" applyFill="1" applyBorder="1" applyAlignment="1">
      <alignment horizontal="left" vertical="center" wrapText="1"/>
    </xf>
    <xf numFmtId="0" fontId="3" fillId="6" borderId="2" xfId="0" applyFont="1" applyFill="1" applyBorder="1" applyAlignment="1">
      <alignment vertical="center"/>
    </xf>
    <xf numFmtId="43" fontId="3" fillId="0" borderId="2" xfId="0" applyNumberFormat="1" applyFont="1" applyFill="1" applyBorder="1" applyAlignment="1">
      <alignment vertical="center"/>
    </xf>
    <xf numFmtId="43" fontId="3" fillId="6" borderId="2" xfId="0" applyNumberFormat="1" applyFont="1" applyFill="1" applyBorder="1" applyAlignment="1">
      <alignment horizontal="justify" vertical="center" wrapText="1"/>
    </xf>
    <xf numFmtId="1" fontId="3" fillId="0" borderId="8" xfId="0" applyNumberFormat="1" applyFont="1" applyFill="1" applyBorder="1" applyAlignment="1">
      <alignment vertical="center"/>
    </xf>
    <xf numFmtId="1" fontId="3" fillId="0" borderId="8" xfId="0" applyNumberFormat="1" applyFont="1" applyFill="1" applyBorder="1" applyAlignment="1">
      <alignment horizontal="center" vertical="center"/>
    </xf>
    <xf numFmtId="0" fontId="5" fillId="6" borderId="16" xfId="0" applyFont="1" applyFill="1" applyBorder="1" applyAlignment="1">
      <alignment horizontal="center" vertical="center"/>
    </xf>
    <xf numFmtId="1" fontId="2" fillId="8" borderId="16" xfId="0" applyNumberFormat="1" applyFont="1" applyFill="1" applyBorder="1" applyAlignment="1">
      <alignment horizontal="left" vertical="center"/>
    </xf>
    <xf numFmtId="0" fontId="5" fillId="8" borderId="16" xfId="0" applyNumberFormat="1" applyFont="1" applyFill="1" applyBorder="1" applyAlignment="1">
      <alignment horizontal="left" vertical="center"/>
    </xf>
    <xf numFmtId="0" fontId="3" fillId="8" borderId="16" xfId="0" applyFont="1" applyFill="1" applyBorder="1"/>
    <xf numFmtId="0" fontId="3" fillId="8" borderId="18" xfId="0" applyFont="1" applyFill="1" applyBorder="1"/>
    <xf numFmtId="0" fontId="3" fillId="8" borderId="2" xfId="0" applyFont="1" applyFill="1" applyBorder="1"/>
    <xf numFmtId="0" fontId="3" fillId="8" borderId="2" xfId="0" applyFont="1" applyFill="1" applyBorder="1" applyAlignment="1">
      <alignment horizontal="justify" vertical="center" wrapText="1"/>
    </xf>
    <xf numFmtId="0" fontId="3" fillId="8" borderId="2" xfId="0" applyFont="1" applyFill="1" applyBorder="1" applyAlignment="1">
      <alignment horizontal="center" vertical="center" wrapText="1"/>
    </xf>
    <xf numFmtId="0" fontId="3" fillId="8" borderId="2" xfId="0" applyFont="1" applyFill="1" applyBorder="1" applyAlignment="1">
      <alignment horizontal="center" vertical="center"/>
    </xf>
    <xf numFmtId="9" fontId="3" fillId="8" borderId="2" xfId="1" applyFont="1" applyFill="1" applyBorder="1" applyAlignment="1">
      <alignment horizontal="center" vertical="center"/>
    </xf>
    <xf numFmtId="43" fontId="3" fillId="8" borderId="2" xfId="0" applyNumberFormat="1" applyFont="1" applyFill="1" applyBorder="1" applyAlignment="1">
      <alignment vertical="center"/>
    </xf>
    <xf numFmtId="43" fontId="3" fillId="8" borderId="2" xfId="0" applyNumberFormat="1" applyFont="1" applyFill="1" applyBorder="1" applyAlignment="1">
      <alignment horizontal="center" vertical="center"/>
    </xf>
    <xf numFmtId="1" fontId="3" fillId="8" borderId="2" xfId="0" applyNumberFormat="1" applyFont="1" applyFill="1" applyBorder="1" applyAlignment="1">
      <alignment horizontal="center" vertical="center"/>
    </xf>
    <xf numFmtId="167" fontId="3" fillId="8" borderId="2" xfId="0" applyNumberFormat="1" applyFont="1" applyFill="1" applyBorder="1" applyAlignment="1">
      <alignment horizontal="center" vertical="center"/>
    </xf>
    <xf numFmtId="167" fontId="3" fillId="8" borderId="2" xfId="0" applyNumberFormat="1" applyFont="1" applyFill="1" applyBorder="1" applyAlignment="1">
      <alignment horizontal="center"/>
    </xf>
    <xf numFmtId="0" fontId="2" fillId="6" borderId="7" xfId="0" applyFont="1" applyFill="1" applyBorder="1" applyAlignment="1">
      <alignment horizontal="left" vertical="center"/>
    </xf>
    <xf numFmtId="0" fontId="3" fillId="6" borderId="8" xfId="0" applyFont="1" applyFill="1" applyBorder="1"/>
    <xf numFmtId="181" fontId="9" fillId="6" borderId="2" xfId="0" applyNumberFormat="1" applyFont="1" applyFill="1" applyBorder="1" applyAlignment="1">
      <alignment horizontal="center" vertical="center" wrapText="1"/>
    </xf>
    <xf numFmtId="9" fontId="2" fillId="0" borderId="2" xfId="1" applyFont="1" applyFill="1" applyBorder="1" applyAlignment="1">
      <alignment horizontal="center" vertical="center"/>
    </xf>
    <xf numFmtId="43" fontId="3" fillId="2" borderId="0" xfId="0" applyNumberFormat="1" applyFont="1" applyFill="1" applyAlignment="1">
      <alignment horizontal="center" vertical="center"/>
    </xf>
    <xf numFmtId="43" fontId="13" fillId="2" borderId="0" xfId="0" applyNumberFormat="1" applyFont="1" applyFill="1" applyAlignment="1">
      <alignment vertical="center"/>
    </xf>
    <xf numFmtId="0" fontId="0" fillId="2" borderId="0" xfId="0" applyFill="1"/>
    <xf numFmtId="44" fontId="0" fillId="2" borderId="0" xfId="19" applyFont="1" applyFill="1"/>
    <xf numFmtId="0" fontId="2" fillId="3" borderId="2"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167" fontId="2" fillId="3" borderId="2" xfId="0" applyNumberFormat="1" applyFont="1" applyFill="1" applyBorder="1" applyAlignment="1">
      <alignment horizontal="center" vertical="center" wrapText="1"/>
    </xf>
    <xf numFmtId="3" fontId="2" fillId="3" borderId="16" xfId="0" applyNumberFormat="1" applyFont="1" applyFill="1" applyBorder="1" applyAlignment="1">
      <alignment horizontal="center" vertical="center" wrapText="1"/>
    </xf>
    <xf numFmtId="3" fontId="2" fillId="3" borderId="18" xfId="0" applyNumberFormat="1"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9" fillId="0" borderId="8" xfId="0" applyFont="1" applyBorder="1" applyAlignment="1">
      <alignment horizontal="justify" vertical="center" wrapText="1"/>
    </xf>
    <xf numFmtId="0" fontId="9" fillId="0" borderId="16" xfId="0" applyFont="1" applyBorder="1" applyAlignment="1">
      <alignment horizontal="justify"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8" xfId="0" applyFont="1" applyFill="1" applyBorder="1" applyAlignment="1">
      <alignment horizontal="justify" vertical="center" wrapText="1"/>
    </xf>
    <xf numFmtId="0" fontId="9" fillId="0" borderId="8"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justify"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justify" vertical="center" wrapText="1"/>
    </xf>
    <xf numFmtId="167" fontId="3" fillId="0" borderId="2" xfId="0" applyNumberFormat="1" applyFont="1" applyFill="1" applyBorder="1" applyAlignment="1">
      <alignment horizontal="center" vertical="center"/>
    </xf>
    <xf numFmtId="0" fontId="3" fillId="2" borderId="2" xfId="0" applyFont="1" applyFill="1" applyBorder="1" applyAlignment="1">
      <alignment horizontal="justify" vertical="center" wrapText="1"/>
    </xf>
    <xf numFmtId="0" fontId="3" fillId="2" borderId="2" xfId="0" applyFont="1" applyFill="1" applyBorder="1" applyAlignment="1">
      <alignment horizontal="center" vertical="center" wrapText="1"/>
    </xf>
    <xf numFmtId="0" fontId="3" fillId="0" borderId="2" xfId="0" applyFont="1" applyFill="1" applyBorder="1" applyAlignment="1">
      <alignment horizontal="justify" vertical="center" wrapText="1"/>
    </xf>
    <xf numFmtId="1" fontId="9" fillId="0" borderId="8" xfId="0" applyNumberFormat="1" applyFont="1" applyBorder="1" applyAlignment="1">
      <alignment horizontal="center" vertical="center" wrapText="1"/>
    </xf>
    <xf numFmtId="0" fontId="3" fillId="0" borderId="0" xfId="0" applyFont="1" applyFill="1" applyBorder="1" applyAlignment="1">
      <alignment horizontal="center" vertical="center" wrapText="1"/>
    </xf>
    <xf numFmtId="0" fontId="9" fillId="0" borderId="2" xfId="0" applyFont="1" applyBorder="1" applyAlignment="1">
      <alignment horizontal="center" vertical="center"/>
    </xf>
    <xf numFmtId="0" fontId="9" fillId="0" borderId="2" xfId="0" applyFont="1" applyBorder="1" applyAlignment="1">
      <alignment horizontal="justify" vertical="center" wrapText="1"/>
    </xf>
    <xf numFmtId="0" fontId="9" fillId="0" borderId="2" xfId="0" applyFont="1" applyBorder="1" applyAlignment="1">
      <alignment horizontal="center" vertical="center" wrapText="1"/>
    </xf>
    <xf numFmtId="1" fontId="9" fillId="0" borderId="2" xfId="0" applyNumberFormat="1" applyFont="1" applyBorder="1" applyAlignment="1">
      <alignment horizontal="center" vertical="center" wrapText="1"/>
    </xf>
    <xf numFmtId="9" fontId="9" fillId="0" borderId="2" xfId="1" applyFont="1" applyBorder="1" applyAlignment="1">
      <alignment horizontal="center" vertical="center" wrapText="1"/>
    </xf>
    <xf numFmtId="0" fontId="3" fillId="2" borderId="9" xfId="0" applyFont="1" applyFill="1" applyBorder="1" applyAlignment="1">
      <alignment horizontal="center" vertical="center" wrapText="1"/>
    </xf>
    <xf numFmtId="0" fontId="9" fillId="0" borderId="12" xfId="0" applyFont="1" applyBorder="1" applyAlignment="1">
      <alignment horizontal="center" vertical="center" wrapText="1"/>
    </xf>
    <xf numFmtId="0" fontId="12" fillId="0" borderId="2" xfId="0" applyFont="1" applyBorder="1" applyAlignment="1">
      <alignment horizontal="left" vertical="center"/>
    </xf>
    <xf numFmtId="0" fontId="9" fillId="6" borderId="11" xfId="0" applyFont="1" applyFill="1" applyBorder="1" applyAlignment="1">
      <alignment horizontal="justify" vertical="center" wrapText="1"/>
    </xf>
    <xf numFmtId="0" fontId="5" fillId="0" borderId="1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6" fillId="0" borderId="2" xfId="0" applyFont="1" applyFill="1" applyBorder="1" applyAlignment="1">
      <alignment horizontal="center"/>
    </xf>
    <xf numFmtId="0" fontId="5" fillId="0" borderId="2" xfId="0" applyFont="1" applyFill="1" applyBorder="1" applyAlignment="1">
      <alignment horizontal="left" vertical="center" wrapText="1"/>
    </xf>
    <xf numFmtId="0" fontId="20" fillId="0" borderId="2" xfId="0" applyFont="1" applyFill="1" applyBorder="1" applyAlignment="1">
      <alignment horizontal="center" vertical="center" wrapText="1"/>
    </xf>
    <xf numFmtId="171" fontId="22" fillId="0" borderId="10" xfId="7" applyFont="1" applyFill="1" applyBorder="1" applyAlignment="1">
      <alignment horizontal="justify" vertical="center" wrapText="1"/>
    </xf>
    <xf numFmtId="0" fontId="22" fillId="0" borderId="2" xfId="7" applyNumberFormat="1" applyFont="1" applyFill="1" applyBorder="1" applyAlignment="1">
      <alignment horizontal="justify" vertical="center" wrapText="1"/>
    </xf>
    <xf numFmtId="0" fontId="24" fillId="0" borderId="8" xfId="0" applyFont="1" applyFill="1" applyBorder="1" applyAlignment="1">
      <alignment vertical="center" wrapText="1"/>
    </xf>
    <xf numFmtId="9" fontId="9" fillId="0" borderId="2" xfId="1" applyFont="1" applyFill="1" applyBorder="1" applyAlignment="1">
      <alignment horizontal="center" vertical="center"/>
    </xf>
    <xf numFmtId="43" fontId="3" fillId="0" borderId="18" xfId="4" applyFont="1" applyFill="1" applyBorder="1" applyAlignment="1">
      <alignment vertical="center"/>
    </xf>
    <xf numFmtId="171" fontId="22" fillId="0" borderId="12" xfId="7" applyFont="1" applyFill="1" applyBorder="1" applyAlignment="1">
      <alignment horizontal="justify" vertical="center" wrapText="1"/>
    </xf>
    <xf numFmtId="182" fontId="9" fillId="0" borderId="2" xfId="15" applyNumberFormat="1" applyFont="1" applyFill="1" applyBorder="1" applyAlignment="1">
      <alignment vertical="center"/>
    </xf>
    <xf numFmtId="1" fontId="3" fillId="0" borderId="10" xfId="0" applyNumberFormat="1" applyFont="1" applyFill="1" applyBorder="1" applyAlignment="1">
      <alignment horizontal="center" vertical="center"/>
    </xf>
    <xf numFmtId="9" fontId="9" fillId="0" borderId="2" xfId="1" applyFont="1" applyFill="1" applyBorder="1" applyAlignment="1">
      <alignment horizontal="center" vertical="center" wrapText="1"/>
    </xf>
    <xf numFmtId="0" fontId="9" fillId="6" borderId="5" xfId="0" applyFont="1" applyFill="1" applyBorder="1" applyAlignment="1">
      <alignment horizontal="center" vertical="center" wrapText="1"/>
    </xf>
    <xf numFmtId="0" fontId="5" fillId="6" borderId="5" xfId="0" applyFont="1" applyFill="1" applyBorder="1" applyAlignment="1">
      <alignment horizontal="justify" vertical="center"/>
    </xf>
    <xf numFmtId="0" fontId="5" fillId="6" borderId="5" xfId="0" applyFont="1" applyFill="1" applyBorder="1" applyAlignment="1">
      <alignment horizontal="center" vertical="center"/>
    </xf>
    <xf numFmtId="0" fontId="9" fillId="6" borderId="0" xfId="0" applyFont="1" applyFill="1" applyAlignment="1">
      <alignment horizontal="justify" vertical="center" wrapText="1"/>
    </xf>
    <xf numFmtId="43" fontId="5" fillId="6" borderId="5" xfId="4" applyFont="1" applyFill="1" applyBorder="1" applyAlignment="1">
      <alignment horizontal="center" vertical="center" wrapText="1"/>
    </xf>
    <xf numFmtId="1" fontId="9" fillId="6" borderId="5" xfId="4" applyNumberFormat="1" applyFont="1" applyFill="1" applyBorder="1" applyAlignment="1">
      <alignment horizontal="center" vertical="center"/>
    </xf>
    <xf numFmtId="43" fontId="9" fillId="6" borderId="2" xfId="4" applyFont="1" applyFill="1" applyBorder="1" applyAlignment="1">
      <alignment horizontal="justify" vertical="center"/>
    </xf>
    <xf numFmtId="0" fontId="9"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1" fontId="9" fillId="0" borderId="10" xfId="4" applyNumberFormat="1" applyFont="1" applyFill="1" applyBorder="1" applyAlignment="1">
      <alignment horizontal="center" vertical="center"/>
    </xf>
    <xf numFmtId="0" fontId="5" fillId="8" borderId="2" xfId="0" applyFont="1" applyFill="1" applyBorder="1" applyAlignment="1">
      <alignment horizontal="left" vertical="center"/>
    </xf>
    <xf numFmtId="0" fontId="5" fillId="8" borderId="0" xfId="0" applyFont="1" applyFill="1" applyAlignment="1">
      <alignment horizontal="center" vertical="center" wrapText="1"/>
    </xf>
    <xf numFmtId="0" fontId="5" fillId="8" borderId="18" xfId="0" applyFont="1" applyFill="1" applyBorder="1" applyAlignment="1">
      <alignment horizontal="center" vertical="center" wrapText="1"/>
    </xf>
    <xf numFmtId="0" fontId="5" fillId="8" borderId="18" xfId="0" applyFont="1" applyFill="1" applyBorder="1" applyAlignment="1">
      <alignment horizontal="justify" vertical="center" wrapText="1"/>
    </xf>
    <xf numFmtId="0" fontId="5" fillId="8" borderId="0" xfId="0" applyFont="1" applyFill="1" applyAlignment="1">
      <alignment horizontal="justify" vertical="center" wrapText="1"/>
    </xf>
    <xf numFmtId="0" fontId="9" fillId="8" borderId="18" xfId="0" applyFont="1" applyFill="1" applyBorder="1" applyAlignment="1">
      <alignment horizontal="justify" vertical="center" wrapText="1"/>
    </xf>
    <xf numFmtId="0" fontId="9" fillId="8" borderId="3" xfId="0" applyFont="1" applyFill="1" applyBorder="1" applyAlignment="1">
      <alignment horizontal="justify" vertical="center"/>
    </xf>
    <xf numFmtId="0" fontId="9" fillId="8" borderId="3" xfId="0" applyFont="1" applyFill="1" applyBorder="1" applyAlignment="1">
      <alignment horizontal="center" vertical="center"/>
    </xf>
    <xf numFmtId="1" fontId="9" fillId="8" borderId="3" xfId="0" applyNumberFormat="1" applyFont="1" applyFill="1" applyBorder="1" applyAlignment="1">
      <alignment horizontal="center" vertical="center"/>
    </xf>
    <xf numFmtId="0" fontId="9" fillId="8" borderId="2" xfId="0" applyFont="1" applyFill="1" applyBorder="1" applyAlignment="1">
      <alignment horizontal="justify" vertical="center"/>
    </xf>
    <xf numFmtId="0" fontId="9" fillId="6" borderId="11" xfId="0" applyFont="1" applyFill="1" applyBorder="1" applyAlignment="1">
      <alignment horizontal="center" vertical="center" wrapText="1"/>
    </xf>
    <xf numFmtId="1" fontId="9" fillId="6" borderId="11" xfId="4" applyNumberFormat="1" applyFont="1" applyFill="1" applyBorder="1" applyAlignment="1">
      <alignment horizontal="center" vertical="center"/>
    </xf>
    <xf numFmtId="43" fontId="3" fillId="0" borderId="2" xfId="4" applyFont="1" applyFill="1" applyBorder="1" applyAlignment="1">
      <alignment vertical="center"/>
    </xf>
    <xf numFmtId="171" fontId="22" fillId="0" borderId="8" xfId="7" applyFont="1" applyFill="1" applyBorder="1" applyAlignment="1">
      <alignment horizontal="justify" vertical="center" wrapText="1"/>
    </xf>
    <xf numFmtId="0" fontId="5" fillId="0" borderId="16" xfId="0" applyFont="1" applyFill="1" applyBorder="1" applyAlignment="1">
      <alignment horizontal="left" vertical="center" wrapText="1"/>
    </xf>
    <xf numFmtId="0" fontId="22" fillId="0" borderId="2" xfId="0" applyFont="1" applyFill="1" applyBorder="1" applyAlignment="1">
      <alignment horizontal="center" vertical="center" wrapText="1"/>
    </xf>
    <xf numFmtId="0" fontId="22" fillId="0" borderId="2" xfId="0" applyFont="1" applyFill="1" applyBorder="1" applyAlignment="1">
      <alignment horizontal="justify" vertical="center" wrapText="1"/>
    </xf>
    <xf numFmtId="0" fontId="9" fillId="0" borderId="2" xfId="6" applyNumberFormat="1" applyFont="1" applyFill="1" applyBorder="1" applyAlignment="1">
      <alignment horizontal="center" vertical="center" wrapText="1"/>
    </xf>
    <xf numFmtId="0" fontId="5" fillId="0" borderId="2" xfId="0" applyFont="1" applyFill="1" applyBorder="1" applyAlignment="1">
      <alignment horizontal="center" vertical="center"/>
    </xf>
    <xf numFmtId="1" fontId="3" fillId="0" borderId="16" xfId="0" applyNumberFormat="1" applyFont="1" applyFill="1" applyBorder="1"/>
    <xf numFmtId="1" fontId="9" fillId="0" borderId="10" xfId="0" applyNumberFormat="1" applyFont="1" applyFill="1" applyBorder="1" applyAlignment="1">
      <alignment horizontal="center" vertical="center" wrapText="1"/>
    </xf>
    <xf numFmtId="0" fontId="9" fillId="0" borderId="2" xfId="0" applyFont="1" applyFill="1" applyBorder="1" applyAlignment="1">
      <alignment vertical="center" wrapText="1"/>
    </xf>
    <xf numFmtId="1" fontId="3" fillId="0" borderId="18" xfId="0" applyNumberFormat="1" applyFont="1" applyFill="1" applyBorder="1"/>
    <xf numFmtId="1" fontId="9" fillId="0" borderId="10" xfId="0" applyNumberFormat="1" applyFont="1" applyFill="1" applyBorder="1" applyAlignment="1" applyProtection="1">
      <alignment horizontal="center" vertical="center" wrapText="1"/>
      <protection locked="0"/>
    </xf>
    <xf numFmtId="0" fontId="5" fillId="8" borderId="9" xfId="0" applyFont="1" applyFill="1" applyBorder="1" applyAlignment="1">
      <alignment horizontal="left" vertical="center"/>
    </xf>
    <xf numFmtId="0" fontId="5" fillId="8" borderId="5" xfId="0" applyFont="1" applyFill="1" applyBorder="1" applyAlignment="1">
      <alignment vertical="center" wrapText="1"/>
    </xf>
    <xf numFmtId="0" fontId="5" fillId="8" borderId="7" xfId="0" applyFont="1" applyFill="1" applyBorder="1" applyAlignment="1">
      <alignment vertical="center" wrapText="1"/>
    </xf>
    <xf numFmtId="0" fontId="5" fillId="8" borderId="0" xfId="0" applyFont="1" applyFill="1" applyAlignment="1">
      <alignment vertical="center" wrapText="1"/>
    </xf>
    <xf numFmtId="0" fontId="9" fillId="8" borderId="0" xfId="0" applyFont="1" applyFill="1" applyBorder="1" applyAlignment="1">
      <alignment horizontal="justify" vertical="center"/>
    </xf>
    <xf numFmtId="0" fontId="9" fillId="8" borderId="0" xfId="0" applyFont="1" applyFill="1" applyBorder="1" applyAlignment="1">
      <alignment horizontal="center" vertical="center"/>
    </xf>
    <xf numFmtId="1" fontId="9" fillId="8" borderId="0" xfId="0" applyNumberFormat="1" applyFont="1" applyFill="1" applyBorder="1" applyAlignment="1">
      <alignment horizontal="center" vertical="center"/>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6" borderId="2" xfId="0" applyFont="1" applyFill="1" applyBorder="1" applyAlignment="1">
      <alignment vertical="center" wrapText="1"/>
    </xf>
    <xf numFmtId="0" fontId="5" fillId="6" borderId="2" xfId="0" applyFont="1" applyFill="1" applyBorder="1" applyAlignment="1">
      <alignment horizontal="justify" vertical="center"/>
    </xf>
    <xf numFmtId="0" fontId="5" fillId="6" borderId="2" xfId="0" applyFont="1" applyFill="1" applyBorder="1" applyAlignment="1">
      <alignment horizontal="center" vertical="center"/>
    </xf>
    <xf numFmtId="0" fontId="5" fillId="6" borderId="2" xfId="0" applyFont="1" applyFill="1" applyBorder="1" applyAlignment="1">
      <alignment horizontal="justify" vertical="center" wrapText="1"/>
    </xf>
    <xf numFmtId="43" fontId="5" fillId="6" borderId="2" xfId="4" applyFont="1" applyFill="1" applyBorder="1" applyAlignment="1">
      <alignment horizontal="center" vertical="center" wrapText="1"/>
    </xf>
    <xf numFmtId="1" fontId="9" fillId="6" borderId="10" xfId="4" applyNumberFormat="1" applyFont="1" applyFill="1" applyBorder="1" applyAlignment="1">
      <alignment horizontal="center" vertical="center"/>
    </xf>
    <xf numFmtId="1" fontId="3" fillId="0" borderId="10" xfId="0" applyNumberFormat="1" applyFont="1" applyFill="1" applyBorder="1"/>
    <xf numFmtId="171" fontId="22" fillId="0" borderId="2" xfId="7" applyFont="1" applyFill="1" applyBorder="1" applyAlignment="1">
      <alignment horizontal="justify" vertical="center" wrapText="1"/>
    </xf>
    <xf numFmtId="0" fontId="20" fillId="0" borderId="2" xfId="0" applyFont="1" applyFill="1" applyBorder="1" applyAlignment="1">
      <alignment horizontal="justify" vertical="center"/>
    </xf>
    <xf numFmtId="0" fontId="9" fillId="0" borderId="10" xfId="7" applyNumberFormat="1" applyFont="1" applyFill="1" applyBorder="1" applyAlignment="1">
      <alignment horizontal="center" vertical="center" wrapText="1"/>
    </xf>
    <xf numFmtId="1" fontId="2" fillId="0" borderId="10" xfId="0" applyNumberFormat="1" applyFont="1" applyBorder="1"/>
    <xf numFmtId="0" fontId="2" fillId="0" borderId="11" xfId="0" applyFont="1" applyBorder="1"/>
    <xf numFmtId="0" fontId="2" fillId="0" borderId="12" xfId="0" applyFont="1" applyBorder="1"/>
    <xf numFmtId="0" fontId="2" fillId="0" borderId="2" xfId="0" applyFont="1" applyBorder="1"/>
    <xf numFmtId="0" fontId="2" fillId="2" borderId="2" xfId="0" applyFont="1" applyFill="1" applyBorder="1" applyAlignment="1">
      <alignment vertical="center"/>
    </xf>
    <xf numFmtId="0" fontId="2" fillId="2" borderId="2" xfId="0" applyFont="1" applyFill="1" applyBorder="1" applyAlignment="1">
      <alignment horizontal="justify"/>
    </xf>
    <xf numFmtId="0" fontId="2" fillId="2" borderId="2" xfId="0" applyFont="1" applyFill="1" applyBorder="1"/>
    <xf numFmtId="0" fontId="2" fillId="2" borderId="2" xfId="0" applyFont="1" applyFill="1" applyBorder="1" applyAlignment="1">
      <alignment horizontal="justify" vertical="center" wrapText="1"/>
    </xf>
    <xf numFmtId="9" fontId="2" fillId="2" borderId="2" xfId="1" applyFont="1" applyFill="1" applyBorder="1" applyAlignment="1">
      <alignment horizontal="center" vertical="center"/>
    </xf>
    <xf numFmtId="165" fontId="2" fillId="2" borderId="2" xfId="0" applyNumberFormat="1" applyFont="1" applyFill="1" applyBorder="1" applyAlignment="1">
      <alignment horizontal="center" vertical="center"/>
    </xf>
    <xf numFmtId="0" fontId="2" fillId="2" borderId="2" xfId="0" applyFont="1" applyFill="1" applyBorder="1" applyAlignment="1">
      <alignment horizontal="justify" vertical="center"/>
    </xf>
    <xf numFmtId="183" fontId="2" fillId="2" borderId="2" xfId="0" applyNumberFormat="1" applyFont="1" applyFill="1" applyBorder="1" applyAlignment="1">
      <alignment horizontal="right" vertical="center"/>
    </xf>
    <xf numFmtId="1" fontId="2" fillId="2" borderId="2" xfId="0" applyNumberFormat="1" applyFont="1" applyFill="1" applyBorder="1" applyAlignment="1">
      <alignment horizontal="center" vertical="center"/>
    </xf>
    <xf numFmtId="167" fontId="2" fillId="0" borderId="2" xfId="0" applyNumberFormat="1" applyFont="1" applyBorder="1" applyAlignment="1">
      <alignment horizontal="right" vertical="center"/>
    </xf>
    <xf numFmtId="167" fontId="2" fillId="0" borderId="2" xfId="0" applyNumberFormat="1" applyFont="1" applyBorder="1" applyAlignment="1">
      <alignment horizontal="center"/>
    </xf>
    <xf numFmtId="0" fontId="2" fillId="0" borderId="2" xfId="0" applyFont="1" applyBorder="1" applyAlignment="1">
      <alignment horizontal="justify" vertical="center"/>
    </xf>
    <xf numFmtId="167" fontId="3" fillId="0" borderId="0" xfId="0" applyNumberFormat="1" applyFont="1" applyAlignment="1">
      <alignment horizontal="right" vertical="center"/>
    </xf>
    <xf numFmtId="0" fontId="2" fillId="0" borderId="0" xfId="0" applyFont="1" applyAlignment="1">
      <alignment horizontal="center" vertical="center"/>
    </xf>
    <xf numFmtId="167" fontId="13" fillId="0" borderId="0" xfId="0" applyNumberFormat="1" applyFont="1" applyAlignment="1">
      <alignment horizontal="right" vertical="center"/>
    </xf>
    <xf numFmtId="0" fontId="2" fillId="0" borderId="2" xfId="0" applyFont="1" applyBorder="1" applyAlignment="1">
      <alignment horizontal="justify" vertical="center" wrapText="1"/>
    </xf>
    <xf numFmtId="0" fontId="2" fillId="0" borderId="2" xfId="0" applyFont="1" applyBorder="1" applyAlignment="1">
      <alignment horizontal="center" vertical="center" wrapText="1"/>
    </xf>
    <xf numFmtId="49" fontId="9" fillId="8" borderId="11" xfId="0" applyNumberFormat="1" applyFont="1" applyFill="1" applyBorder="1" applyAlignment="1">
      <alignment horizontal="center" vertical="center" wrapText="1"/>
    </xf>
    <xf numFmtId="0" fontId="9" fillId="8" borderId="12" xfId="0" applyFont="1" applyFill="1" applyBorder="1" applyAlignment="1">
      <alignment horizontal="center" vertical="center"/>
    </xf>
    <xf numFmtId="0" fontId="5" fillId="6" borderId="5" xfId="0" applyFont="1" applyFill="1" applyBorder="1" applyAlignment="1">
      <alignment horizontal="left" vertical="center" wrapText="1"/>
    </xf>
    <xf numFmtId="0" fontId="9" fillId="6" borderId="11" xfId="0" applyFont="1" applyFill="1" applyBorder="1" applyAlignment="1">
      <alignment horizontal="justify" vertical="center"/>
    </xf>
    <xf numFmtId="49" fontId="5" fillId="6" borderId="11" xfId="4" applyNumberFormat="1" applyFont="1" applyFill="1" applyBorder="1" applyAlignment="1">
      <alignment horizontal="center" vertical="center" wrapText="1"/>
    </xf>
    <xf numFmtId="43" fontId="5" fillId="6" borderId="12" xfId="4" applyFont="1" applyFill="1" applyBorder="1" applyAlignment="1">
      <alignment horizontal="center" vertical="center"/>
    </xf>
    <xf numFmtId="43" fontId="9" fillId="0" borderId="2" xfId="0" applyNumberFormat="1" applyFont="1" applyBorder="1" applyAlignment="1">
      <alignment horizontal="justify" vertical="center"/>
    </xf>
    <xf numFmtId="43" fontId="9" fillId="0" borderId="2" xfId="9" applyFont="1" applyFill="1" applyBorder="1" applyAlignment="1">
      <alignment horizontal="justify" vertical="center"/>
    </xf>
    <xf numFmtId="49" fontId="3" fillId="0" borderId="2" xfId="21" applyNumberFormat="1" applyFont="1" applyFill="1" applyBorder="1" applyAlignment="1">
      <alignment horizontal="center" vertical="center" wrapText="1"/>
    </xf>
    <xf numFmtId="0" fontId="21" fillId="0" borderId="0" xfId="0" applyFont="1" applyAlignment="1">
      <alignment horizontal="justify" vertical="center" wrapText="1"/>
    </xf>
    <xf numFmtId="0" fontId="9" fillId="2" borderId="2" xfId="0" applyFont="1" applyFill="1" applyBorder="1" applyAlignment="1">
      <alignment horizontal="center" vertical="center"/>
    </xf>
    <xf numFmtId="2" fontId="9" fillId="0" borderId="2" xfId="0" applyNumberFormat="1" applyFont="1" applyBorder="1" applyAlignment="1">
      <alignment horizontal="center" vertical="center"/>
    </xf>
    <xf numFmtId="9" fontId="9" fillId="0" borderId="2" xfId="1" applyFont="1" applyBorder="1" applyAlignment="1">
      <alignment horizontal="center" vertical="center"/>
    </xf>
    <xf numFmtId="43" fontId="9" fillId="0" borderId="2" xfId="21" applyFont="1" applyFill="1" applyBorder="1" applyAlignment="1">
      <alignment horizontal="center" vertical="center" wrapText="1"/>
    </xf>
    <xf numFmtId="43" fontId="9" fillId="0" borderId="2" xfId="0" applyNumberFormat="1" applyFont="1" applyBorder="1" applyAlignment="1">
      <alignment horizontal="justify" vertical="center" wrapText="1"/>
    </xf>
    <xf numFmtId="0" fontId="3" fillId="0" borderId="11" xfId="12" applyFont="1" applyFill="1" applyBorder="1" applyAlignment="1">
      <alignment horizontal="justify" vertical="center" wrapText="1"/>
    </xf>
    <xf numFmtId="176" fontId="9" fillId="0" borderId="2" xfId="9" applyNumberFormat="1" applyFont="1" applyFill="1" applyBorder="1" applyAlignment="1">
      <alignment horizontal="justify" vertical="center" wrapText="1"/>
    </xf>
    <xf numFmtId="43" fontId="9" fillId="0" borderId="2" xfId="0" applyNumberFormat="1" applyFont="1" applyBorder="1" applyAlignment="1">
      <alignment horizontal="center" vertical="center" wrapText="1"/>
    </xf>
    <xf numFmtId="9" fontId="9" fillId="0" borderId="2" xfId="1" applyNumberFormat="1" applyFont="1" applyBorder="1" applyAlignment="1">
      <alignment horizontal="center" vertical="center" wrapText="1"/>
    </xf>
    <xf numFmtId="43" fontId="9" fillId="0" borderId="2" xfId="4" applyFont="1" applyFill="1" applyBorder="1" applyAlignment="1">
      <alignment vertical="center" wrapText="1"/>
    </xf>
    <xf numFmtId="43" fontId="9" fillId="0" borderId="8" xfId="4" applyFont="1" applyFill="1" applyBorder="1" applyAlignment="1">
      <alignment vertical="center" wrapText="1"/>
    </xf>
    <xf numFmtId="4" fontId="9" fillId="0" borderId="2" xfId="0" applyNumberFormat="1" applyFont="1" applyFill="1" applyBorder="1" applyAlignment="1">
      <alignment vertical="center"/>
    </xf>
    <xf numFmtId="9" fontId="5" fillId="6" borderId="11" xfId="1" applyFont="1" applyFill="1" applyBorder="1" applyAlignment="1">
      <alignment horizontal="center" vertical="center" wrapText="1"/>
    </xf>
    <xf numFmtId="43" fontId="9" fillId="0" borderId="8" xfId="9" applyFont="1" applyFill="1" applyBorder="1" applyAlignment="1">
      <alignment horizontal="justify" vertical="center"/>
    </xf>
    <xf numFmtId="43" fontId="9" fillId="0" borderId="2" xfId="9" applyFont="1" applyFill="1" applyBorder="1" applyAlignment="1">
      <alignment horizontal="right" vertical="center"/>
    </xf>
    <xf numFmtId="0" fontId="9" fillId="0" borderId="12" xfId="0" applyFont="1" applyBorder="1" applyAlignment="1">
      <alignment horizontal="center" vertical="center"/>
    </xf>
    <xf numFmtId="43" fontId="9" fillId="0" borderId="2" xfId="0" applyNumberFormat="1" applyFont="1" applyFill="1" applyBorder="1" applyAlignment="1">
      <alignment horizontal="right" vertical="center" wrapText="1"/>
    </xf>
    <xf numFmtId="43" fontId="9" fillId="0" borderId="18" xfId="9" applyFont="1" applyFill="1" applyBorder="1" applyAlignment="1">
      <alignment horizontal="justify" vertical="center"/>
    </xf>
    <xf numFmtId="49" fontId="3" fillId="2" borderId="2" xfId="0" applyNumberFormat="1" applyFont="1" applyFill="1" applyBorder="1" applyAlignment="1">
      <alignment horizontal="center" vertical="center" wrapText="1"/>
    </xf>
    <xf numFmtId="49" fontId="9" fillId="0" borderId="2" xfId="9" applyNumberFormat="1" applyFont="1" applyFill="1" applyBorder="1" applyAlignment="1">
      <alignment horizontal="justify" vertical="center" wrapText="1"/>
    </xf>
    <xf numFmtId="43" fontId="3" fillId="0" borderId="2" xfId="21" applyFont="1" applyFill="1" applyBorder="1" applyAlignment="1">
      <alignment horizontal="center" vertical="center"/>
    </xf>
    <xf numFmtId="0" fontId="9" fillId="2" borderId="12" xfId="0" applyFont="1" applyFill="1" applyBorder="1" applyAlignment="1">
      <alignment horizontal="center" vertical="center" wrapText="1"/>
    </xf>
    <xf numFmtId="176" fontId="9" fillId="0" borderId="12" xfId="9" applyNumberFormat="1" applyFont="1" applyFill="1" applyBorder="1" applyAlignment="1">
      <alignment horizontal="justify" vertical="center" wrapText="1"/>
    </xf>
    <xf numFmtId="170" fontId="3" fillId="2" borderId="2" xfId="0" applyNumberFormat="1" applyFont="1" applyFill="1" applyBorder="1" applyAlignment="1">
      <alignment vertical="center" wrapText="1"/>
    </xf>
    <xf numFmtId="0" fontId="3" fillId="0" borderId="12" xfId="0" applyFont="1" applyBorder="1" applyAlignment="1">
      <alignment horizontal="center" vertical="center" wrapText="1"/>
    </xf>
    <xf numFmtId="2" fontId="9" fillId="0" borderId="8" xfId="0" applyNumberFormat="1" applyFont="1" applyBorder="1" applyAlignment="1">
      <alignment horizontal="center" vertical="center" wrapText="1"/>
    </xf>
    <xf numFmtId="9" fontId="9" fillId="0" borderId="8" xfId="1" applyFont="1" applyBorder="1" applyAlignment="1">
      <alignment horizontal="center" vertical="center" wrapText="1"/>
    </xf>
    <xf numFmtId="9" fontId="9" fillId="0" borderId="2" xfId="1" applyFont="1" applyFill="1" applyBorder="1" applyAlignment="1">
      <alignment vertical="center" wrapText="1"/>
    </xf>
    <xf numFmtId="43" fontId="9" fillId="0" borderId="2" xfId="0" applyNumberFormat="1" applyFont="1" applyFill="1" applyBorder="1" applyAlignment="1">
      <alignment horizontal="justify" vertical="center" wrapText="1"/>
    </xf>
    <xf numFmtId="179" fontId="9" fillId="0" borderId="2" xfId="0" applyNumberFormat="1" applyFont="1" applyBorder="1" applyAlignment="1">
      <alignment horizontal="justify" vertical="center" wrapText="1"/>
    </xf>
    <xf numFmtId="49" fontId="3" fillId="0" borderId="2" xfId="22" applyNumberFormat="1" applyFont="1" applyBorder="1" applyAlignment="1">
      <alignment horizontal="justify" vertical="center" wrapText="1"/>
    </xf>
    <xf numFmtId="49" fontId="3" fillId="0" borderId="2" xfId="0" applyNumberFormat="1" applyFont="1" applyFill="1" applyBorder="1" applyAlignment="1">
      <alignment horizontal="center" vertical="center" wrapText="1"/>
    </xf>
    <xf numFmtId="0" fontId="17" fillId="0" borderId="2" xfId="0" applyFont="1" applyFill="1" applyBorder="1" applyAlignment="1">
      <alignment horizontal="justify" vertical="center" wrapText="1"/>
    </xf>
    <xf numFmtId="2" fontId="9" fillId="0" borderId="8" xfId="0" applyNumberFormat="1" applyFont="1" applyFill="1" applyBorder="1" applyAlignment="1">
      <alignment horizontal="center" vertical="center" wrapText="1"/>
    </xf>
    <xf numFmtId="9" fontId="9" fillId="0" borderId="8" xfId="1"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6" borderId="5" xfId="0" applyFont="1" applyFill="1" applyBorder="1" applyAlignment="1">
      <alignment horizontal="center" vertical="center" wrapText="1"/>
    </xf>
    <xf numFmtId="43" fontId="5" fillId="6" borderId="5" xfId="4" applyFont="1" applyFill="1" applyBorder="1" applyAlignment="1">
      <alignment horizontal="justify" vertical="center" wrapText="1"/>
    </xf>
    <xf numFmtId="9" fontId="5" fillId="6" borderId="5" xfId="1" applyFont="1" applyFill="1" applyBorder="1" applyAlignment="1">
      <alignment horizontal="center" vertical="center" wrapText="1"/>
    </xf>
    <xf numFmtId="0" fontId="9" fillId="6" borderId="5" xfId="0" applyFont="1" applyFill="1" applyBorder="1" applyAlignment="1">
      <alignment horizontal="justify" vertical="center"/>
    </xf>
    <xf numFmtId="0" fontId="9" fillId="6" borderId="5" xfId="0" applyFont="1" applyFill="1" applyBorder="1" applyAlignment="1">
      <alignment horizontal="justify" vertical="center" wrapText="1"/>
    </xf>
    <xf numFmtId="49" fontId="5" fillId="6" borderId="5" xfId="4" applyNumberFormat="1" applyFont="1" applyFill="1" applyBorder="1" applyAlignment="1">
      <alignment horizontal="center" vertical="center" wrapText="1"/>
    </xf>
    <xf numFmtId="43" fontId="9" fillId="6" borderId="5" xfId="4" applyFont="1" applyFill="1" applyBorder="1" applyAlignment="1">
      <alignment horizontal="justify" vertical="center" wrapText="1"/>
    </xf>
    <xf numFmtId="0" fontId="9" fillId="6" borderId="8" xfId="0" applyFont="1" applyFill="1" applyBorder="1" applyAlignment="1">
      <alignment horizontal="justify" vertical="center" wrapText="1"/>
    </xf>
    <xf numFmtId="43" fontId="9" fillId="0" borderId="2" xfId="21" applyFont="1" applyFill="1" applyBorder="1" applyAlignment="1">
      <alignment horizontal="justify" vertical="center"/>
    </xf>
    <xf numFmtId="43" fontId="9" fillId="0" borderId="8" xfId="9" applyFont="1" applyFill="1" applyBorder="1" applyAlignment="1">
      <alignment horizontal="center" vertical="center"/>
    </xf>
    <xf numFmtId="43" fontId="9" fillId="0" borderId="18" xfId="9" applyFont="1" applyFill="1" applyBorder="1" applyAlignment="1">
      <alignment horizontal="center" vertical="center"/>
    </xf>
    <xf numFmtId="184" fontId="9" fillId="0" borderId="2" xfId="1" applyNumberFormat="1" applyFont="1" applyFill="1" applyBorder="1" applyAlignment="1">
      <alignment horizontal="center" vertical="center" wrapText="1"/>
    </xf>
    <xf numFmtId="0" fontId="17" fillId="0" borderId="0" xfId="0" applyFont="1" applyFill="1" applyAlignment="1">
      <alignment horizontal="justify" vertical="center" wrapText="1"/>
    </xf>
    <xf numFmtId="176" fontId="9" fillId="0" borderId="8" xfId="9" applyNumberFormat="1" applyFont="1" applyFill="1" applyBorder="1" applyAlignment="1">
      <alignment horizontal="justify" vertical="center" wrapText="1"/>
    </xf>
    <xf numFmtId="4" fontId="3" fillId="0" borderId="2" xfId="0" applyNumberFormat="1" applyFont="1" applyFill="1" applyBorder="1" applyAlignment="1">
      <alignment vertical="center"/>
    </xf>
    <xf numFmtId="4" fontId="3" fillId="0" borderId="2" xfId="0" applyNumberFormat="1" applyFont="1" applyFill="1" applyBorder="1"/>
    <xf numFmtId="43" fontId="2" fillId="2" borderId="2" xfId="21" applyFont="1" applyFill="1" applyBorder="1" applyAlignment="1">
      <alignment vertical="center"/>
    </xf>
    <xf numFmtId="49" fontId="2" fillId="2" borderId="2" xfId="0" applyNumberFormat="1" applyFont="1" applyFill="1" applyBorder="1" applyAlignment="1">
      <alignment horizontal="center" vertical="center" wrapText="1"/>
    </xf>
    <xf numFmtId="0" fontId="3" fillId="0" borderId="2" xfId="0" applyFont="1" applyBorder="1" applyAlignment="1">
      <alignment wrapText="1"/>
    </xf>
    <xf numFmtId="49" fontId="3" fillId="2" borderId="0" xfId="0" applyNumberFormat="1" applyFont="1" applyFill="1" applyAlignment="1">
      <alignment horizontal="center" vertical="center" wrapText="1"/>
    </xf>
    <xf numFmtId="0" fontId="3" fillId="0" borderId="0" xfId="0" applyFont="1" applyAlignment="1">
      <alignment wrapText="1"/>
    </xf>
    <xf numFmtId="49" fontId="13" fillId="2" borderId="0" xfId="0" applyNumberFormat="1" applyFont="1" applyFill="1" applyAlignment="1">
      <alignment horizontal="center" vertical="center" wrapText="1"/>
    </xf>
    <xf numFmtId="0" fontId="13" fillId="0" borderId="0" xfId="0" applyFont="1" applyAlignment="1">
      <alignment wrapText="1"/>
    </xf>
    <xf numFmtId="0" fontId="13" fillId="0" borderId="3" xfId="0" applyFont="1" applyBorder="1" applyAlignment="1">
      <alignment horizontal="center"/>
    </xf>
    <xf numFmtId="0" fontId="2" fillId="3" borderId="2"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4" xfId="0" applyFont="1" applyFill="1" applyBorder="1" applyAlignment="1">
      <alignment horizontal="center" vertical="center" wrapText="1"/>
    </xf>
    <xf numFmtId="164" fontId="2" fillId="3" borderId="2"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1" fontId="2" fillId="3" borderId="7" xfId="0" applyNumberFormat="1"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1" fontId="2" fillId="3" borderId="4" xfId="0" applyNumberFormat="1"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8" xfId="0" applyFont="1" applyFill="1" applyBorder="1" applyAlignment="1">
      <alignment horizontal="center" vertical="center" wrapText="1"/>
    </xf>
    <xf numFmtId="3" fontId="5" fillId="4" borderId="10" xfId="0" applyNumberFormat="1" applyFont="1" applyFill="1" applyBorder="1" applyAlignment="1">
      <alignment horizontal="center" vertical="center" wrapText="1"/>
    </xf>
    <xf numFmtId="3" fontId="5" fillId="4" borderId="11" xfId="0" applyNumberFormat="1" applyFont="1" applyFill="1" applyBorder="1" applyAlignment="1">
      <alignment horizontal="center" vertical="center" wrapText="1"/>
    </xf>
    <xf numFmtId="3" fontId="5" fillId="4" borderId="12" xfId="0" applyNumberFormat="1"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xf numFmtId="0" fontId="2" fillId="3" borderId="9" xfId="0" applyFont="1" applyFill="1" applyBorder="1" applyAlignment="1">
      <alignment horizontal="center" vertical="center" textRotation="90" wrapText="1"/>
    </xf>
    <xf numFmtId="0" fontId="2" fillId="3" borderId="7" xfId="0" applyFont="1" applyFill="1" applyBorder="1" applyAlignment="1">
      <alignment horizontal="center" vertical="center" textRotation="90" wrapText="1"/>
    </xf>
    <xf numFmtId="49" fontId="2" fillId="3" borderId="9" xfId="0" applyNumberFormat="1" applyFont="1" applyFill="1" applyBorder="1" applyAlignment="1">
      <alignment horizontal="center" vertical="center" textRotation="90" wrapText="1"/>
    </xf>
    <xf numFmtId="49" fontId="2" fillId="3" borderId="7" xfId="0" applyNumberFormat="1" applyFont="1" applyFill="1" applyBorder="1" applyAlignment="1">
      <alignment horizontal="center" vertical="center" textRotation="90" wrapText="1"/>
    </xf>
    <xf numFmtId="165" fontId="2" fillId="3" borderId="2" xfId="0" applyNumberFormat="1"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9" xfId="0" applyFont="1" applyFill="1" applyBorder="1" applyAlignment="1">
      <alignment horizontal="center" vertical="center" textRotation="90" wrapText="1"/>
    </xf>
    <xf numFmtId="0" fontId="5" fillId="4" borderId="7" xfId="0" applyFont="1" applyFill="1" applyBorder="1" applyAlignment="1">
      <alignment horizontal="center" vertical="center" textRotation="90" wrapText="1"/>
    </xf>
    <xf numFmtId="0" fontId="5" fillId="4" borderId="17" xfId="0" applyFont="1" applyFill="1" applyBorder="1" applyAlignment="1">
      <alignment horizontal="center" vertical="center" textRotation="90" wrapText="1"/>
    </xf>
    <xf numFmtId="0" fontId="5" fillId="4" borderId="1" xfId="0" applyFont="1" applyFill="1" applyBorder="1" applyAlignment="1">
      <alignment horizontal="center" vertical="center" textRotation="90" wrapText="1"/>
    </xf>
    <xf numFmtId="166" fontId="6" fillId="3" borderId="13" xfId="2" applyFont="1" applyFill="1" applyBorder="1" applyAlignment="1">
      <alignment horizontal="center" vertical="center"/>
    </xf>
    <xf numFmtId="166" fontId="6" fillId="3" borderId="14" xfId="2" applyFont="1" applyFill="1" applyBorder="1" applyAlignment="1">
      <alignment horizontal="center" vertical="center"/>
    </xf>
    <xf numFmtId="166" fontId="6" fillId="3" borderId="15" xfId="2" applyFont="1" applyFill="1" applyBorder="1" applyAlignment="1">
      <alignment horizontal="center" vertical="center"/>
    </xf>
    <xf numFmtId="1" fontId="2" fillId="3" borderId="2" xfId="0" applyNumberFormat="1" applyFont="1" applyFill="1" applyBorder="1" applyAlignment="1">
      <alignment horizontal="center" vertical="center" wrapText="1"/>
    </xf>
    <xf numFmtId="167" fontId="2" fillId="3" borderId="2" xfId="0" applyNumberFormat="1" applyFont="1" applyFill="1" applyBorder="1" applyAlignment="1">
      <alignment horizontal="center" vertical="center" wrapText="1"/>
    </xf>
    <xf numFmtId="167" fontId="2" fillId="3" borderId="9" xfId="0" applyNumberFormat="1" applyFont="1" applyFill="1" applyBorder="1" applyAlignment="1">
      <alignment horizontal="center" vertical="center" wrapText="1"/>
    </xf>
    <xf numFmtId="167" fontId="2" fillId="3" borderId="7" xfId="0" applyNumberFormat="1" applyFont="1" applyFill="1" applyBorder="1" applyAlignment="1">
      <alignment horizontal="center" vertical="center" wrapText="1"/>
    </xf>
    <xf numFmtId="167" fontId="2" fillId="3" borderId="17" xfId="0" applyNumberFormat="1" applyFont="1" applyFill="1" applyBorder="1" applyAlignment="1">
      <alignment horizontal="center" vertical="center" wrapText="1"/>
    </xf>
    <xf numFmtId="167" fontId="2" fillId="3" borderId="1" xfId="0" applyNumberFormat="1" applyFont="1" applyFill="1" applyBorder="1" applyAlignment="1">
      <alignment horizontal="center" vertical="center" wrapText="1"/>
    </xf>
    <xf numFmtId="3" fontId="2" fillId="3" borderId="8" xfId="0" applyNumberFormat="1" applyFont="1" applyFill="1" applyBorder="1" applyAlignment="1">
      <alignment horizontal="center" vertical="center" wrapText="1"/>
    </xf>
    <xf numFmtId="3" fontId="2" fillId="3" borderId="16" xfId="0" applyNumberFormat="1" applyFont="1" applyFill="1" applyBorder="1" applyAlignment="1">
      <alignment horizontal="center" vertical="center" wrapText="1"/>
    </xf>
    <xf numFmtId="3" fontId="2" fillId="3" borderId="18" xfId="0" applyNumberFormat="1" applyFont="1" applyFill="1" applyBorder="1" applyAlignment="1">
      <alignment horizontal="center" vertical="center" wrapText="1"/>
    </xf>
    <xf numFmtId="3" fontId="7" fillId="5" borderId="2" xfId="0" applyNumberFormat="1" applyFont="1" applyFill="1" applyBorder="1" applyAlignment="1">
      <alignment horizontal="center" vertical="center" wrapText="1"/>
    </xf>
    <xf numFmtId="0" fontId="7" fillId="5" borderId="2" xfId="0" applyFont="1" applyFill="1" applyBorder="1" applyAlignment="1">
      <alignment horizontal="center" vertical="center" wrapText="1"/>
    </xf>
    <xf numFmtId="9" fontId="7" fillId="5" borderId="2" xfId="3"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3" fillId="0" borderId="8" xfId="0" applyFont="1" applyBorder="1" applyAlignment="1">
      <alignment horizontal="justify" vertical="center" wrapText="1"/>
    </xf>
    <xf numFmtId="0" fontId="3" fillId="0" borderId="16" xfId="0" applyFont="1" applyBorder="1" applyAlignment="1">
      <alignment horizontal="justify" vertical="center" wrapText="1"/>
    </xf>
    <xf numFmtId="0" fontId="3" fillId="0" borderId="18" xfId="0" applyFont="1" applyBorder="1" applyAlignment="1">
      <alignment horizontal="justify" vertical="center" wrapText="1"/>
    </xf>
    <xf numFmtId="43" fontId="3" fillId="2" borderId="8" xfId="4" applyFont="1" applyFill="1" applyBorder="1" applyAlignment="1">
      <alignment horizontal="center" vertical="center" wrapText="1"/>
    </xf>
    <xf numFmtId="43" fontId="3" fillId="2" borderId="16" xfId="4" applyFont="1" applyFill="1" applyBorder="1" applyAlignment="1">
      <alignment horizontal="center" vertical="center" wrapText="1"/>
    </xf>
    <xf numFmtId="43" fontId="3" fillId="2" borderId="18" xfId="4" applyFont="1" applyFill="1" applyBorder="1" applyAlignment="1">
      <alignment horizontal="center" vertical="center" wrapText="1"/>
    </xf>
    <xf numFmtId="0" fontId="3" fillId="2" borderId="8" xfId="0" applyFont="1" applyFill="1" applyBorder="1" applyAlignment="1">
      <alignment horizontal="justify" vertical="center" wrapText="1"/>
    </xf>
    <xf numFmtId="0" fontId="3" fillId="2" borderId="16" xfId="0" applyFont="1" applyFill="1" applyBorder="1" applyAlignment="1">
      <alignment horizontal="justify" vertical="center" wrapText="1"/>
    </xf>
    <xf numFmtId="0" fontId="3" fillId="2" borderId="18" xfId="0" applyFont="1" applyFill="1" applyBorder="1" applyAlignment="1">
      <alignment horizontal="justify" vertical="center" wrapText="1"/>
    </xf>
    <xf numFmtId="0" fontId="3" fillId="0" borderId="8" xfId="0" applyFont="1" applyFill="1" applyBorder="1" applyAlignment="1">
      <alignment horizontal="justify" vertical="center" wrapText="1"/>
    </xf>
    <xf numFmtId="0" fontId="3" fillId="0" borderId="16" xfId="0" applyFont="1" applyFill="1" applyBorder="1" applyAlignment="1">
      <alignment horizontal="justify" vertical="center" wrapText="1"/>
    </xf>
    <xf numFmtId="0" fontId="3" fillId="0" borderId="18" xfId="0" applyFont="1" applyFill="1" applyBorder="1" applyAlignment="1">
      <alignment horizontal="justify" vertical="center" wrapText="1"/>
    </xf>
    <xf numFmtId="0" fontId="9" fillId="0" borderId="8" xfId="0" applyFont="1" applyBorder="1" applyAlignment="1">
      <alignment horizontal="justify" vertical="center" wrapText="1"/>
    </xf>
    <xf numFmtId="0" fontId="9" fillId="0" borderId="16" xfId="0" applyFont="1" applyBorder="1" applyAlignment="1">
      <alignment horizontal="justify" vertical="center" wrapText="1"/>
    </xf>
    <xf numFmtId="0" fontId="9" fillId="0" borderId="18" xfId="0" applyFont="1" applyBorder="1" applyAlignment="1">
      <alignment horizontal="justify" vertical="center" wrapText="1"/>
    </xf>
    <xf numFmtId="0" fontId="2" fillId="3" borderId="8" xfId="0" applyFont="1" applyFill="1" applyBorder="1" applyAlignment="1">
      <alignment horizontal="center" vertical="center" textRotation="90" wrapText="1"/>
    </xf>
    <xf numFmtId="1" fontId="3" fillId="2" borderId="8" xfId="0" applyNumberFormat="1" applyFont="1" applyFill="1" applyBorder="1" applyAlignment="1">
      <alignment horizontal="center" vertical="center" wrapText="1"/>
    </xf>
    <xf numFmtId="1" fontId="3" fillId="2" borderId="16" xfId="0" applyNumberFormat="1" applyFont="1" applyFill="1" applyBorder="1" applyAlignment="1">
      <alignment horizontal="center" vertical="center" wrapText="1"/>
    </xf>
    <xf numFmtId="1" fontId="3" fillId="2" borderId="18" xfId="0" applyNumberFormat="1" applyFont="1" applyFill="1" applyBorder="1" applyAlignment="1">
      <alignment horizontal="center" vertical="center" wrapText="1"/>
    </xf>
    <xf numFmtId="170" fontId="3" fillId="2" borderId="8" xfId="0" applyNumberFormat="1" applyFont="1" applyFill="1" applyBorder="1" applyAlignment="1">
      <alignment horizontal="center" vertical="center" wrapText="1"/>
    </xf>
    <xf numFmtId="170" fontId="3" fillId="2" borderId="16" xfId="0" applyNumberFormat="1" applyFont="1" applyFill="1" applyBorder="1" applyAlignment="1">
      <alignment horizontal="center" vertical="center" wrapText="1"/>
    </xf>
    <xf numFmtId="170" fontId="3" fillId="2" borderId="18" xfId="0" applyNumberFormat="1" applyFont="1" applyFill="1" applyBorder="1" applyAlignment="1">
      <alignment horizontal="center" vertical="center" wrapText="1"/>
    </xf>
    <xf numFmtId="169" fontId="3" fillId="2" borderId="8" xfId="5" applyNumberFormat="1" applyFont="1" applyFill="1" applyBorder="1" applyAlignment="1">
      <alignment horizontal="center" vertical="center" wrapText="1"/>
    </xf>
    <xf numFmtId="169" fontId="3" fillId="2" borderId="16" xfId="5" applyNumberFormat="1" applyFont="1" applyFill="1" applyBorder="1" applyAlignment="1">
      <alignment horizontal="center" vertical="center" wrapText="1"/>
    </xf>
    <xf numFmtId="169" fontId="3" fillId="2" borderId="18" xfId="5" applyNumberFormat="1" applyFont="1" applyFill="1" applyBorder="1" applyAlignment="1">
      <alignment horizontal="center" vertical="center" wrapText="1"/>
    </xf>
    <xf numFmtId="9" fontId="3" fillId="2" borderId="8" xfId="1" applyFont="1" applyFill="1" applyBorder="1" applyAlignment="1">
      <alignment horizontal="center" vertical="center" wrapText="1"/>
    </xf>
    <xf numFmtId="9" fontId="3" fillId="2" borderId="16" xfId="1" applyFont="1" applyFill="1" applyBorder="1" applyAlignment="1">
      <alignment horizontal="center" vertical="center" wrapText="1"/>
    </xf>
    <xf numFmtId="9" fontId="3" fillId="2" borderId="18" xfId="1" applyFont="1" applyFill="1" applyBorder="1" applyAlignment="1">
      <alignment horizontal="center" vertical="center" wrapText="1"/>
    </xf>
    <xf numFmtId="167" fontId="3" fillId="0" borderId="8" xfId="0" applyNumberFormat="1" applyFont="1" applyFill="1" applyBorder="1" applyAlignment="1">
      <alignment horizontal="center" vertical="center"/>
    </xf>
    <xf numFmtId="167" fontId="3" fillId="0" borderId="16" xfId="0" applyNumberFormat="1" applyFont="1" applyFill="1" applyBorder="1" applyAlignment="1">
      <alignment horizontal="center" vertical="center"/>
    </xf>
    <xf numFmtId="167" fontId="3" fillId="0" borderId="18" xfId="0" applyNumberFormat="1" applyFont="1" applyFill="1" applyBorder="1" applyAlignment="1">
      <alignment horizontal="center" vertical="center"/>
    </xf>
    <xf numFmtId="0" fontId="11" fillId="0" borderId="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3" borderId="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8" xfId="0" applyFont="1" applyFill="1" applyBorder="1" applyAlignment="1">
      <alignment horizontal="center" vertical="center" wrapText="1"/>
    </xf>
    <xf numFmtId="165" fontId="12" fillId="3" borderId="2" xfId="0" applyNumberFormat="1"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4" xfId="0" applyFont="1" applyFill="1" applyBorder="1" applyAlignment="1">
      <alignment horizontal="center" vertical="center" wrapText="1"/>
    </xf>
    <xf numFmtId="164" fontId="12" fillId="3" borderId="2" xfId="0" applyNumberFormat="1" applyFont="1" applyFill="1" applyBorder="1" applyAlignment="1">
      <alignment horizontal="center" vertical="center" wrapText="1"/>
    </xf>
    <xf numFmtId="1" fontId="12" fillId="3" borderId="2" xfId="0" applyNumberFormat="1" applyFont="1" applyFill="1" applyBorder="1" applyAlignment="1">
      <alignment horizontal="center" vertical="center" wrapText="1"/>
    </xf>
    <xf numFmtId="3" fontId="15" fillId="4" borderId="10" xfId="0" applyNumberFormat="1" applyFont="1" applyFill="1" applyBorder="1" applyAlignment="1">
      <alignment horizontal="center" vertical="center" wrapText="1"/>
    </xf>
    <xf numFmtId="3" fontId="15" fillId="4" borderId="11" xfId="0" applyNumberFormat="1" applyFont="1" applyFill="1" applyBorder="1" applyAlignment="1">
      <alignment horizontal="center" vertical="center" wrapText="1"/>
    </xf>
    <xf numFmtId="3" fontId="15" fillId="4" borderId="12" xfId="0" applyNumberFormat="1"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2" fillId="3" borderId="9" xfId="0" applyFont="1" applyFill="1" applyBorder="1" applyAlignment="1">
      <alignment horizontal="center" vertical="center" textRotation="90" wrapText="1"/>
    </xf>
    <xf numFmtId="0" fontId="12" fillId="3" borderId="7" xfId="0" applyFont="1" applyFill="1" applyBorder="1" applyAlignment="1">
      <alignment horizontal="center" vertical="center" textRotation="90" wrapText="1"/>
    </xf>
    <xf numFmtId="49" fontId="12" fillId="3" borderId="9" xfId="0" applyNumberFormat="1" applyFont="1" applyFill="1" applyBorder="1" applyAlignment="1">
      <alignment horizontal="center" vertical="center" textRotation="90" wrapText="1"/>
    </xf>
    <xf numFmtId="49" fontId="12" fillId="3" borderId="7" xfId="0" applyNumberFormat="1" applyFont="1" applyFill="1" applyBorder="1" applyAlignment="1">
      <alignment horizontal="center" vertical="center" textRotation="90" wrapText="1"/>
    </xf>
    <xf numFmtId="0" fontId="15" fillId="4" borderId="9" xfId="0" applyFont="1" applyFill="1" applyBorder="1" applyAlignment="1">
      <alignment horizontal="center" vertical="center" textRotation="90" wrapText="1"/>
    </xf>
    <xf numFmtId="0" fontId="15" fillId="4" borderId="7" xfId="0" applyFont="1" applyFill="1" applyBorder="1" applyAlignment="1">
      <alignment horizontal="center" vertical="center" textRotation="90" wrapText="1"/>
    </xf>
    <xf numFmtId="0" fontId="15" fillId="4" borderId="17" xfId="0" applyFont="1" applyFill="1" applyBorder="1" applyAlignment="1">
      <alignment horizontal="center" vertical="center" textRotation="90" wrapText="1"/>
    </xf>
    <xf numFmtId="0" fontId="15" fillId="4" borderId="1" xfId="0" applyFont="1" applyFill="1" applyBorder="1" applyAlignment="1">
      <alignment horizontal="center" vertical="center" textRotation="90" wrapText="1"/>
    </xf>
    <xf numFmtId="166" fontId="12" fillId="3" borderId="13" xfId="2" applyFont="1" applyFill="1" applyBorder="1" applyAlignment="1">
      <alignment horizontal="center" vertical="center"/>
    </xf>
    <xf numFmtId="166" fontId="12" fillId="3" borderId="14" xfId="2" applyFont="1" applyFill="1" applyBorder="1" applyAlignment="1">
      <alignment horizontal="center" vertical="center"/>
    </xf>
    <xf numFmtId="166" fontId="12" fillId="3" borderId="15" xfId="2" applyFont="1" applyFill="1" applyBorder="1" applyAlignment="1">
      <alignment horizontal="center" vertical="center"/>
    </xf>
    <xf numFmtId="167" fontId="12" fillId="3" borderId="2" xfId="0" applyNumberFormat="1" applyFont="1" applyFill="1" applyBorder="1" applyAlignment="1">
      <alignment horizontal="center" vertical="center" wrapText="1"/>
    </xf>
    <xf numFmtId="167" fontId="12" fillId="3" borderId="9" xfId="0" applyNumberFormat="1" applyFont="1" applyFill="1" applyBorder="1" applyAlignment="1">
      <alignment horizontal="center" vertical="center" wrapText="1"/>
    </xf>
    <xf numFmtId="167" fontId="12" fillId="3" borderId="7" xfId="0" applyNumberFormat="1" applyFont="1" applyFill="1" applyBorder="1" applyAlignment="1">
      <alignment horizontal="center" vertical="center" wrapText="1"/>
    </xf>
    <xf numFmtId="167" fontId="12" fillId="3" borderId="17" xfId="0" applyNumberFormat="1" applyFont="1" applyFill="1" applyBorder="1" applyAlignment="1">
      <alignment horizontal="center" vertical="center" wrapText="1"/>
    </xf>
    <xf numFmtId="167" fontId="12" fillId="3" borderId="1" xfId="0" applyNumberFormat="1" applyFont="1" applyFill="1" applyBorder="1" applyAlignment="1">
      <alignment horizontal="center" vertical="center" wrapText="1"/>
    </xf>
    <xf numFmtId="3" fontId="12" fillId="3" borderId="8" xfId="0" applyNumberFormat="1" applyFont="1" applyFill="1" applyBorder="1" applyAlignment="1">
      <alignment horizontal="center" vertical="center" wrapText="1"/>
    </xf>
    <xf numFmtId="3" fontId="12" fillId="3" borderId="16" xfId="0" applyNumberFormat="1" applyFont="1" applyFill="1" applyBorder="1" applyAlignment="1">
      <alignment horizontal="center" vertical="center" wrapText="1"/>
    </xf>
    <xf numFmtId="3" fontId="12" fillId="3" borderId="18" xfId="0" applyNumberFormat="1" applyFont="1" applyFill="1" applyBorder="1" applyAlignment="1">
      <alignment horizontal="center" vertical="center" wrapText="1"/>
    </xf>
    <xf numFmtId="3" fontId="14" fillId="5" borderId="2" xfId="0" applyNumberFormat="1" applyFont="1" applyFill="1" applyBorder="1" applyAlignment="1">
      <alignment horizontal="center" vertical="center" wrapText="1"/>
    </xf>
    <xf numFmtId="0" fontId="14" fillId="5" borderId="2" xfId="0" applyFont="1" applyFill="1" applyBorder="1" applyAlignment="1">
      <alignment horizontal="center" vertical="center" wrapText="1"/>
    </xf>
    <xf numFmtId="9" fontId="14" fillId="5" borderId="2" xfId="3"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10" xfId="0" applyFont="1" applyFill="1" applyBorder="1" applyAlignment="1">
      <alignment horizontal="center" vertical="center"/>
    </xf>
    <xf numFmtId="0" fontId="15" fillId="4" borderId="11" xfId="0" applyFont="1" applyFill="1" applyBorder="1" applyAlignment="1">
      <alignment horizontal="center" vertical="center"/>
    </xf>
    <xf numFmtId="0" fontId="15" fillId="4" borderId="12" xfId="0" applyFont="1" applyFill="1" applyBorder="1" applyAlignment="1">
      <alignment horizontal="center" vertical="center"/>
    </xf>
    <xf numFmtId="0" fontId="2" fillId="2" borderId="0" xfId="0" applyFont="1" applyFill="1" applyAlignment="1">
      <alignment horizontal="center"/>
    </xf>
    <xf numFmtId="0" fontId="2" fillId="2" borderId="0" xfId="0" applyFont="1" applyFill="1" applyAlignment="1">
      <alignment horizontal="center" wrapText="1"/>
    </xf>
    <xf numFmtId="0" fontId="14" fillId="5" borderId="8" xfId="0" applyFont="1" applyFill="1" applyBorder="1" applyAlignment="1">
      <alignment horizontal="center" vertical="center" wrapText="1"/>
    </xf>
    <xf numFmtId="0" fontId="14" fillId="5" borderId="1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6" borderId="8" xfId="0" applyFont="1" applyFill="1" applyBorder="1" applyAlignment="1">
      <alignment horizontal="left" vertical="center" wrapText="1"/>
    </xf>
    <xf numFmtId="0" fontId="5" fillId="6" borderId="2"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2" fillId="3" borderId="8" xfId="0" applyFont="1" applyFill="1" applyBorder="1" applyAlignment="1">
      <alignment horizontal="center" vertical="center" textRotation="90" wrapText="1"/>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9" xfId="0" applyFont="1" applyBorder="1" applyAlignment="1">
      <alignment horizontal="center"/>
    </xf>
    <xf numFmtId="0" fontId="3" fillId="0" borderId="5" xfId="0" applyFont="1" applyBorder="1" applyAlignment="1">
      <alignment horizontal="center"/>
    </xf>
    <xf numFmtId="0" fontId="3" fillId="0" borderId="7" xfId="0" applyFont="1" applyBorder="1" applyAlignment="1">
      <alignment horizontal="center"/>
    </xf>
    <xf numFmtId="0" fontId="3" fillId="0" borderId="9" xfId="0" applyFont="1" applyFill="1" applyBorder="1" applyAlignment="1">
      <alignment horizontal="center"/>
    </xf>
    <xf numFmtId="0" fontId="3" fillId="0" borderId="5" xfId="0" applyFont="1" applyFill="1" applyBorder="1" applyAlignment="1">
      <alignment horizontal="center"/>
    </xf>
    <xf numFmtId="0" fontId="3" fillId="0" borderId="7" xfId="0" applyFont="1" applyFill="1" applyBorder="1" applyAlignment="1">
      <alignment horizontal="center"/>
    </xf>
    <xf numFmtId="0" fontId="9" fillId="0" borderId="8" xfId="4" applyNumberFormat="1" applyFont="1" applyFill="1" applyBorder="1" applyAlignment="1">
      <alignment horizontal="center" vertical="center" wrapText="1"/>
    </xf>
    <xf numFmtId="0" fontId="9" fillId="0" borderId="18" xfId="4" applyNumberFormat="1" applyFont="1" applyFill="1" applyBorder="1" applyAlignment="1">
      <alignment horizontal="center" vertical="center" wrapText="1"/>
    </xf>
    <xf numFmtId="0" fontId="9" fillId="0" borderId="8" xfId="7" applyNumberFormat="1" applyFont="1" applyFill="1" applyBorder="1" applyAlignment="1">
      <alignment horizontal="justify" vertical="center" wrapText="1"/>
    </xf>
    <xf numFmtId="0" fontId="9" fillId="0" borderId="18" xfId="7" applyNumberFormat="1" applyFont="1" applyFill="1" applyBorder="1" applyAlignment="1">
      <alignment horizontal="justify" vertical="center" wrapText="1"/>
    </xf>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2" xfId="0" applyFont="1" applyFill="1" applyBorder="1" applyAlignment="1">
      <alignment horizontal="center"/>
    </xf>
    <xf numFmtId="10" fontId="3" fillId="0" borderId="8" xfId="1" applyNumberFormat="1" applyFont="1" applyFill="1" applyBorder="1" applyAlignment="1">
      <alignment horizontal="center" vertical="center"/>
    </xf>
    <xf numFmtId="10" fontId="3" fillId="0" borderId="18" xfId="1" applyNumberFormat="1" applyFont="1" applyFill="1" applyBorder="1" applyAlignment="1">
      <alignment horizontal="center" vertical="center"/>
    </xf>
    <xf numFmtId="43" fontId="9" fillId="0" borderId="8" xfId="0" applyNumberFormat="1" applyFont="1" applyFill="1" applyBorder="1" applyAlignment="1">
      <alignment horizontal="center" vertical="center"/>
    </xf>
    <xf numFmtId="43" fontId="9" fillId="0" borderId="18" xfId="0" applyNumberFormat="1" applyFont="1" applyFill="1" applyBorder="1" applyAlignment="1">
      <alignment horizontal="center" vertical="center"/>
    </xf>
    <xf numFmtId="1" fontId="3" fillId="0" borderId="8" xfId="0" applyNumberFormat="1" applyFont="1" applyFill="1" applyBorder="1" applyAlignment="1">
      <alignment horizontal="center" vertical="center" wrapText="1"/>
    </xf>
    <xf numFmtId="1" fontId="3" fillId="0" borderId="16"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6"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8" xfId="0" applyFont="1" applyFill="1" applyBorder="1" applyAlignment="1">
      <alignment horizontal="justify" vertical="center" wrapText="1"/>
    </xf>
    <xf numFmtId="0" fontId="9" fillId="0" borderId="16" xfId="0" applyFont="1" applyFill="1" applyBorder="1" applyAlignment="1">
      <alignment horizontal="justify" vertical="center" wrapText="1"/>
    </xf>
    <xf numFmtId="0" fontId="3" fillId="0" borderId="8"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xf>
    <xf numFmtId="43" fontId="3" fillId="0" borderId="8" xfId="0" applyNumberFormat="1" applyFont="1" applyFill="1" applyBorder="1" applyAlignment="1">
      <alignment horizontal="center" vertical="center"/>
    </xf>
    <xf numFmtId="0" fontId="9" fillId="0" borderId="18" xfId="0" applyFont="1" applyFill="1" applyBorder="1" applyAlignment="1">
      <alignment horizontal="justify" vertical="center" wrapText="1"/>
    </xf>
    <xf numFmtId="10" fontId="3" fillId="2" borderId="8" xfId="1" applyNumberFormat="1" applyFont="1" applyFill="1" applyBorder="1" applyAlignment="1">
      <alignment horizontal="center" vertical="center"/>
    </xf>
    <xf numFmtId="10" fontId="3" fillId="2" borderId="18" xfId="1" applyNumberFormat="1" applyFont="1" applyFill="1" applyBorder="1" applyAlignment="1">
      <alignment horizontal="center" vertical="center"/>
    </xf>
    <xf numFmtId="170" fontId="3" fillId="0" borderId="8" xfId="0" applyNumberFormat="1" applyFont="1" applyFill="1" applyBorder="1" applyAlignment="1">
      <alignment horizontal="center" vertical="center" wrapText="1"/>
    </xf>
    <xf numFmtId="170" fontId="3" fillId="0" borderId="16" xfId="0" applyNumberFormat="1" applyFont="1" applyFill="1" applyBorder="1" applyAlignment="1">
      <alignment horizontal="center" vertical="center" wrapText="1"/>
    </xf>
    <xf numFmtId="0" fontId="3" fillId="0" borderId="17" xfId="0" applyFont="1" applyFill="1" applyBorder="1" applyAlignment="1">
      <alignment horizontal="center"/>
    </xf>
    <xf numFmtId="0" fontId="3" fillId="0" borderId="0" xfId="0" applyFont="1" applyFill="1" applyBorder="1" applyAlignment="1">
      <alignment horizontal="center"/>
    </xf>
    <xf numFmtId="0" fontId="3" fillId="0" borderId="1" xfId="0" applyFont="1" applyFill="1" applyBorder="1" applyAlignment="1">
      <alignment horizontal="center"/>
    </xf>
    <xf numFmtId="0" fontId="9" fillId="0" borderId="8" xfId="7" applyNumberFormat="1" applyFont="1" applyFill="1" applyBorder="1" applyAlignment="1">
      <alignment horizontal="center" vertical="center" wrapText="1"/>
    </xf>
    <xf numFmtId="0" fontId="9" fillId="0" borderId="18" xfId="7" applyNumberFormat="1"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18" xfId="0" applyFont="1" applyFill="1" applyBorder="1" applyAlignment="1">
      <alignment horizontal="center" vertical="center"/>
    </xf>
    <xf numFmtId="0" fontId="9" fillId="0" borderId="18" xfId="0" applyFont="1" applyFill="1" applyBorder="1" applyAlignment="1">
      <alignment horizontal="center" vertical="center" wrapText="1"/>
    </xf>
    <xf numFmtId="9" fontId="3" fillId="0" borderId="8" xfId="1" applyFont="1" applyFill="1" applyBorder="1" applyAlignment="1">
      <alignment horizontal="center" vertical="center"/>
    </xf>
    <xf numFmtId="9" fontId="3" fillId="0" borderId="16" xfId="1" applyFont="1" applyFill="1" applyBorder="1" applyAlignment="1">
      <alignment horizontal="center" vertical="center"/>
    </xf>
    <xf numFmtId="0" fontId="3" fillId="0" borderId="8" xfId="0" applyNumberFormat="1" applyFont="1" applyFill="1" applyBorder="1" applyAlignment="1">
      <alignment horizontal="center" vertical="center" wrapText="1"/>
    </xf>
    <xf numFmtId="0" fontId="3" fillId="0" borderId="8" xfId="0" applyNumberFormat="1" applyFont="1" applyBorder="1" applyAlignment="1">
      <alignment horizontal="center" vertical="center"/>
    </xf>
    <xf numFmtId="0" fontId="3" fillId="0" borderId="18" xfId="0" applyNumberFormat="1" applyFont="1" applyBorder="1" applyAlignment="1">
      <alignment horizontal="center" vertical="center"/>
    </xf>
    <xf numFmtId="1" fontId="3" fillId="2" borderId="8" xfId="0" applyNumberFormat="1" applyFont="1" applyFill="1" applyBorder="1" applyAlignment="1">
      <alignment horizontal="center" vertical="center"/>
    </xf>
    <xf numFmtId="1" fontId="3" fillId="2" borderId="18" xfId="0" applyNumberFormat="1" applyFont="1" applyFill="1" applyBorder="1" applyAlignment="1">
      <alignment horizontal="center" vertical="center"/>
    </xf>
    <xf numFmtId="0" fontId="3" fillId="0" borderId="18"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17" fillId="0" borderId="8" xfId="0" applyFont="1" applyBorder="1" applyAlignment="1">
      <alignment horizontal="justify" vertical="center" wrapText="1"/>
    </xf>
    <xf numFmtId="0" fontId="17" fillId="0" borderId="16" xfId="0" applyFont="1" applyBorder="1" applyAlignment="1">
      <alignment horizontal="justify" vertical="center" wrapText="1"/>
    </xf>
    <xf numFmtId="0" fontId="17" fillId="0" borderId="18" xfId="0" applyFont="1" applyBorder="1" applyAlignment="1">
      <alignment horizontal="justify" vertical="center" wrapText="1"/>
    </xf>
    <xf numFmtId="0" fontId="11" fillId="0" borderId="0" xfId="0" applyFont="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2" borderId="17" xfId="0" applyFont="1" applyFill="1" applyBorder="1" applyAlignment="1">
      <alignment horizontal="center" vertical="center" wrapText="1"/>
    </xf>
    <xf numFmtId="0" fontId="9" fillId="0" borderId="8"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8" xfId="0" applyFont="1" applyBorder="1" applyAlignment="1">
      <alignment horizontal="center" vertical="center" wrapText="1"/>
    </xf>
    <xf numFmtId="43" fontId="9" fillId="0" borderId="8" xfId="0" applyNumberFormat="1" applyFont="1" applyBorder="1" applyAlignment="1">
      <alignment horizontal="center" vertical="center"/>
    </xf>
    <xf numFmtId="43" fontId="9" fillId="0" borderId="16" xfId="0" applyNumberFormat="1" applyFont="1" applyBorder="1" applyAlignment="1">
      <alignment horizontal="center" vertical="center"/>
    </xf>
    <xf numFmtId="43" fontId="9" fillId="0" borderId="18" xfId="0" applyNumberFormat="1" applyFont="1" applyBorder="1" applyAlignment="1">
      <alignment horizontal="center" vertical="center"/>
    </xf>
    <xf numFmtId="3" fontId="3" fillId="2" borderId="8" xfId="0" applyNumberFormat="1" applyFont="1" applyFill="1" applyBorder="1" applyAlignment="1">
      <alignment horizontal="justify" vertical="center" wrapText="1"/>
    </xf>
    <xf numFmtId="3" fontId="3" fillId="2" borderId="16" xfId="0" applyNumberFormat="1" applyFont="1" applyFill="1" applyBorder="1" applyAlignment="1">
      <alignment horizontal="justify" vertical="center" wrapText="1"/>
    </xf>
    <xf numFmtId="3" fontId="3" fillId="2" borderId="18" xfId="0" applyNumberFormat="1" applyFont="1" applyFill="1" applyBorder="1" applyAlignment="1">
      <alignment horizontal="justify" vertical="center" wrapText="1"/>
    </xf>
    <xf numFmtId="1" fontId="3" fillId="2" borderId="8" xfId="0" applyNumberFormat="1" applyFont="1" applyFill="1" applyBorder="1" applyAlignment="1">
      <alignment horizontal="justify" vertical="center" wrapText="1"/>
    </xf>
    <xf numFmtId="1" fontId="3" fillId="2" borderId="16" xfId="0" applyNumberFormat="1" applyFont="1" applyFill="1" applyBorder="1" applyAlignment="1">
      <alignment horizontal="justify" vertical="center" wrapText="1"/>
    </xf>
    <xf numFmtId="1" fontId="3" fillId="2" borderId="18" xfId="0" applyNumberFormat="1" applyFont="1" applyFill="1" applyBorder="1" applyAlignment="1">
      <alignment horizontal="justify" vertical="center" wrapText="1"/>
    </xf>
    <xf numFmtId="0" fontId="3" fillId="0" borderId="17" xfId="0" applyFont="1" applyBorder="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1" fontId="3" fillId="0" borderId="8" xfId="5" applyNumberFormat="1" applyFont="1" applyFill="1" applyBorder="1" applyAlignment="1">
      <alignment horizontal="center" vertical="center" wrapText="1"/>
    </xf>
    <xf numFmtId="1" fontId="3" fillId="0" borderId="18" xfId="5" applyNumberFormat="1" applyFont="1" applyFill="1" applyBorder="1" applyAlignment="1">
      <alignment horizontal="center" vertical="center" wrapText="1"/>
    </xf>
    <xf numFmtId="3" fontId="3" fillId="0" borderId="8" xfId="0" applyNumberFormat="1" applyFont="1" applyFill="1" applyBorder="1" applyAlignment="1">
      <alignment horizontal="justify" vertical="center" wrapText="1"/>
    </xf>
    <xf numFmtId="3" fontId="3" fillId="0" borderId="18" xfId="0" applyNumberFormat="1" applyFont="1" applyFill="1" applyBorder="1" applyAlignment="1">
      <alignment horizontal="justify" vertical="center" wrapText="1"/>
    </xf>
    <xf numFmtId="1" fontId="3" fillId="0" borderId="18" xfId="0" applyNumberFormat="1" applyFont="1" applyFill="1" applyBorder="1" applyAlignment="1">
      <alignment horizontal="center" vertical="center" wrapText="1"/>
    </xf>
    <xf numFmtId="1" fontId="3" fillId="0" borderId="16" xfId="5" applyNumberFormat="1" applyFont="1" applyFill="1" applyBorder="1" applyAlignment="1">
      <alignment horizontal="center" vertical="center" wrapText="1"/>
    </xf>
    <xf numFmtId="0" fontId="3" fillId="0" borderId="8" xfId="0" applyFont="1" applyBorder="1" applyAlignment="1">
      <alignment horizontal="center" vertical="center"/>
    </xf>
    <xf numFmtId="0" fontId="3" fillId="0" borderId="18" xfId="0" applyFont="1" applyBorder="1" applyAlignment="1">
      <alignment horizontal="center" vertical="center"/>
    </xf>
    <xf numFmtId="9" fontId="3" fillId="0" borderId="8" xfId="1" applyFont="1" applyFill="1" applyBorder="1" applyAlignment="1">
      <alignment horizontal="center" vertical="center" wrapText="1"/>
    </xf>
    <xf numFmtId="9" fontId="3" fillId="0" borderId="18" xfId="1" applyFont="1" applyFill="1" applyBorder="1" applyAlignment="1">
      <alignment horizontal="center" vertical="center" wrapText="1"/>
    </xf>
    <xf numFmtId="1" fontId="3" fillId="0" borderId="8" xfId="0" applyNumberFormat="1" applyFont="1" applyBorder="1" applyAlignment="1">
      <alignment horizontal="center" vertical="center" wrapText="1"/>
    </xf>
    <xf numFmtId="1" fontId="3" fillId="0" borderId="18" xfId="0" applyNumberFormat="1" applyFont="1" applyBorder="1" applyAlignment="1">
      <alignment horizontal="center" vertical="center"/>
    </xf>
    <xf numFmtId="0" fontId="3" fillId="0" borderId="8" xfId="0" applyFont="1" applyBorder="1" applyAlignment="1">
      <alignment horizontal="center" vertical="center" wrapText="1"/>
    </xf>
    <xf numFmtId="0" fontId="3" fillId="0" borderId="18" xfId="0" applyFont="1" applyBorder="1" applyAlignment="1">
      <alignment horizontal="center" vertical="center" wrapText="1"/>
    </xf>
    <xf numFmtId="3" fontId="3" fillId="2" borderId="8" xfId="0" applyNumberFormat="1" applyFont="1" applyFill="1" applyBorder="1" applyAlignment="1">
      <alignment horizontal="center" vertical="center" wrapText="1"/>
    </xf>
    <xf numFmtId="3" fontId="3" fillId="2" borderId="18" xfId="0" applyNumberFormat="1" applyFont="1" applyFill="1" applyBorder="1" applyAlignment="1">
      <alignment horizontal="center" vertical="center" wrapText="1"/>
    </xf>
    <xf numFmtId="0" fontId="5" fillId="6" borderId="10" xfId="0" applyFont="1" applyFill="1" applyBorder="1" applyAlignment="1">
      <alignment horizontal="left" vertical="center" wrapText="1"/>
    </xf>
    <xf numFmtId="0" fontId="5" fillId="6" borderId="11"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8" xfId="0" applyFont="1" applyFill="1" applyBorder="1" applyAlignment="1">
      <alignment horizontal="justify" vertical="center" wrapText="1"/>
    </xf>
    <xf numFmtId="0" fontId="9" fillId="2" borderId="16" xfId="0" applyFont="1" applyFill="1" applyBorder="1" applyAlignment="1">
      <alignment horizontal="justify" vertical="center" wrapText="1"/>
    </xf>
    <xf numFmtId="43" fontId="3" fillId="2" borderId="8" xfId="0" applyNumberFormat="1" applyFont="1" applyFill="1" applyBorder="1" applyAlignment="1">
      <alignment horizontal="center" vertical="center"/>
    </xf>
    <xf numFmtId="43" fontId="3" fillId="2" borderId="18" xfId="0" applyNumberFormat="1" applyFont="1" applyFill="1" applyBorder="1" applyAlignment="1">
      <alignment horizontal="center" vertical="center"/>
    </xf>
    <xf numFmtId="14" fontId="3" fillId="2" borderId="8" xfId="0" applyNumberFormat="1" applyFont="1" applyFill="1" applyBorder="1" applyAlignment="1">
      <alignment horizontal="center" vertical="center" wrapText="1"/>
    </xf>
    <xf numFmtId="14" fontId="3" fillId="2" borderId="18" xfId="0" applyNumberFormat="1" applyFont="1" applyFill="1" applyBorder="1" applyAlignment="1">
      <alignment horizontal="center" vertical="center" wrapText="1"/>
    </xf>
    <xf numFmtId="3" fontId="17" fillId="0" borderId="8" xfId="5" applyNumberFormat="1" applyFont="1" applyBorder="1" applyAlignment="1">
      <alignment horizontal="center" vertical="center"/>
    </xf>
    <xf numFmtId="3" fontId="17" fillId="0" borderId="18" xfId="5" applyNumberFormat="1" applyFont="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justify"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justify" vertical="center" wrapText="1"/>
    </xf>
    <xf numFmtId="43" fontId="3" fillId="2" borderId="2" xfId="0" applyNumberFormat="1" applyFont="1" applyFill="1" applyBorder="1" applyAlignment="1">
      <alignment horizontal="center" vertical="center"/>
    </xf>
    <xf numFmtId="0" fontId="9" fillId="2" borderId="18" xfId="0" applyFont="1" applyFill="1" applyBorder="1" applyAlignment="1">
      <alignment horizontal="justify"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3" fontId="3" fillId="0" borderId="8" xfId="0" applyNumberFormat="1" applyFont="1" applyBorder="1" applyAlignment="1">
      <alignment horizontal="center" vertical="center"/>
    </xf>
    <xf numFmtId="3" fontId="3" fillId="0" borderId="18" xfId="0" applyNumberFormat="1" applyFont="1" applyBorder="1" applyAlignment="1">
      <alignment horizontal="center" vertical="center"/>
    </xf>
    <xf numFmtId="0" fontId="2" fillId="0" borderId="4" xfId="0" applyFont="1" applyFill="1" applyBorder="1" applyAlignment="1">
      <alignment horizontal="center" vertical="center" wrapText="1"/>
    </xf>
    <xf numFmtId="14" fontId="3" fillId="0" borderId="8" xfId="0" applyNumberFormat="1" applyFont="1" applyBorder="1" applyAlignment="1">
      <alignment horizontal="center" vertical="center" wrapText="1"/>
    </xf>
    <xf numFmtId="14" fontId="3" fillId="0" borderId="18" xfId="0" applyNumberFormat="1" applyFont="1" applyBorder="1" applyAlignment="1">
      <alignment horizontal="center" vertical="center" wrapText="1"/>
    </xf>
    <xf numFmtId="167" fontId="2" fillId="3" borderId="6" xfId="0" applyNumberFormat="1" applyFont="1" applyFill="1" applyBorder="1" applyAlignment="1">
      <alignment horizontal="center" vertical="center" wrapText="1"/>
    </xf>
    <xf numFmtId="167" fontId="2" fillId="3" borderId="4" xfId="0" applyNumberFormat="1" applyFont="1" applyFill="1" applyBorder="1" applyAlignment="1">
      <alignment horizontal="center" vertical="center" wrapText="1"/>
    </xf>
    <xf numFmtId="3" fontId="3" fillId="0" borderId="16" xfId="0" applyNumberFormat="1" applyFont="1" applyFill="1" applyBorder="1" applyAlignment="1">
      <alignment horizontal="justify" vertical="center" wrapText="1"/>
    </xf>
    <xf numFmtId="0" fontId="13" fillId="0" borderId="8" xfId="0" applyFont="1" applyFill="1" applyBorder="1" applyAlignment="1">
      <alignment horizontal="center" vertical="center" wrapText="1"/>
    </xf>
    <xf numFmtId="0" fontId="13" fillId="0" borderId="18" xfId="0"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3" fontId="3" fillId="0" borderId="18" xfId="0" applyNumberFormat="1" applyFont="1" applyFill="1" applyBorder="1" applyAlignment="1">
      <alignment horizontal="center" vertical="center" wrapText="1"/>
    </xf>
    <xf numFmtId="170" fontId="3" fillId="0" borderId="18" xfId="0" applyNumberFormat="1" applyFont="1" applyFill="1" applyBorder="1" applyAlignment="1">
      <alignment horizontal="center" vertical="center" wrapText="1"/>
    </xf>
    <xf numFmtId="1" fontId="3" fillId="0" borderId="8" xfId="0" applyNumberFormat="1" applyFont="1" applyFill="1" applyBorder="1" applyAlignment="1">
      <alignment horizontal="justify" vertical="center" wrapText="1"/>
    </xf>
    <xf numFmtId="1" fontId="3" fillId="0" borderId="18" xfId="0" applyNumberFormat="1" applyFont="1" applyFill="1" applyBorder="1" applyAlignment="1">
      <alignment horizontal="justify" vertical="center" wrapText="1"/>
    </xf>
    <xf numFmtId="0" fontId="3" fillId="2" borderId="9" xfId="0" applyFont="1" applyFill="1" applyBorder="1" applyAlignment="1">
      <alignment horizontal="justify" vertical="center" wrapText="1"/>
    </xf>
    <xf numFmtId="0" fontId="3" fillId="2" borderId="17" xfId="0" applyFont="1" applyFill="1" applyBorder="1" applyAlignment="1">
      <alignment horizontal="justify" vertical="center" wrapText="1"/>
    </xf>
    <xf numFmtId="3" fontId="3" fillId="2" borderId="16" xfId="0" applyNumberFormat="1" applyFont="1" applyFill="1" applyBorder="1" applyAlignment="1">
      <alignment horizontal="center" vertical="center" wrapText="1"/>
    </xf>
    <xf numFmtId="0" fontId="9" fillId="0" borderId="7" xfId="7" applyNumberFormat="1" applyFont="1" applyFill="1" applyBorder="1">
      <alignment horizontal="center" vertical="center" wrapText="1"/>
    </xf>
    <xf numFmtId="0" fontId="9" fillId="0" borderId="4" xfId="7" applyNumberFormat="1" applyFont="1" applyFill="1" applyBorder="1">
      <alignment horizontal="center" vertical="center" wrapText="1"/>
    </xf>
    <xf numFmtId="0" fontId="3" fillId="2" borderId="8" xfId="0" applyNumberFormat="1" applyFont="1" applyFill="1" applyBorder="1" applyAlignment="1">
      <alignment horizontal="center" vertical="center" wrapText="1"/>
    </xf>
    <xf numFmtId="0" fontId="3" fillId="2" borderId="18" xfId="0" applyNumberFormat="1" applyFont="1" applyFill="1" applyBorder="1" applyAlignment="1">
      <alignment horizontal="center" vertical="center" wrapText="1"/>
    </xf>
    <xf numFmtId="43" fontId="9" fillId="2" borderId="8" xfId="0" applyNumberFormat="1" applyFont="1" applyFill="1" applyBorder="1" applyAlignment="1">
      <alignment horizontal="center" vertical="center"/>
    </xf>
    <xf numFmtId="43" fontId="9" fillId="2" borderId="16" xfId="0" applyNumberFormat="1" applyFont="1" applyFill="1" applyBorder="1" applyAlignment="1">
      <alignment horizontal="center" vertical="center"/>
    </xf>
    <xf numFmtId="43" fontId="9" fillId="2" borderId="18" xfId="0" applyNumberFormat="1" applyFont="1" applyFill="1" applyBorder="1" applyAlignment="1">
      <alignment horizontal="center" vertical="center"/>
    </xf>
    <xf numFmtId="43" fontId="9" fillId="0" borderId="2" xfId="0" applyNumberFormat="1" applyFont="1" applyBorder="1" applyAlignment="1">
      <alignment horizontal="center" vertical="center"/>
    </xf>
    <xf numFmtId="3" fontId="3" fillId="0" borderId="8"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18" xfId="0" applyNumberFormat="1" applyFont="1" applyBorder="1" applyAlignment="1">
      <alignment horizontal="center" vertical="center" wrapText="1"/>
    </xf>
    <xf numFmtId="43" fontId="3" fillId="2" borderId="8" xfId="0" applyNumberFormat="1" applyFont="1" applyFill="1" applyBorder="1" applyAlignment="1">
      <alignment horizontal="center" vertical="center" wrapText="1"/>
    </xf>
    <xf numFmtId="0" fontId="3" fillId="0" borderId="16" xfId="0" applyFont="1" applyBorder="1" applyAlignment="1">
      <alignment horizontal="center" vertical="center" wrapText="1"/>
    </xf>
    <xf numFmtId="3" fontId="3" fillId="0" borderId="8" xfId="0" applyNumberFormat="1" applyFont="1" applyBorder="1" applyAlignment="1">
      <alignment horizontal="justify" vertical="center" wrapText="1"/>
    </xf>
    <xf numFmtId="3" fontId="3" fillId="0" borderId="16" xfId="0" applyNumberFormat="1" applyFont="1" applyBorder="1" applyAlignment="1">
      <alignment horizontal="justify" vertical="center" wrapText="1"/>
    </xf>
    <xf numFmtId="3" fontId="3" fillId="0" borderId="18" xfId="0" applyNumberFormat="1" applyFont="1" applyBorder="1" applyAlignment="1">
      <alignment horizontal="justify" vertical="center" wrapText="1"/>
    </xf>
    <xf numFmtId="3" fontId="3" fillId="0" borderId="16" xfId="0" applyNumberFormat="1" applyFont="1" applyBorder="1" applyAlignment="1">
      <alignment horizontal="center" vertical="center"/>
    </xf>
    <xf numFmtId="0" fontId="3" fillId="0" borderId="16" xfId="0" applyFont="1" applyBorder="1" applyAlignment="1">
      <alignment horizontal="center" vertical="center"/>
    </xf>
    <xf numFmtId="43" fontId="3" fillId="0" borderId="8" xfId="0" applyNumberFormat="1" applyFont="1" applyBorder="1" applyAlignment="1">
      <alignment horizontal="center" vertical="center"/>
    </xf>
    <xf numFmtId="14" fontId="3" fillId="0" borderId="8" xfId="0" applyNumberFormat="1" applyFont="1" applyBorder="1" applyAlignment="1">
      <alignment horizontal="center" vertical="center"/>
    </xf>
    <xf numFmtId="9" fontId="3" fillId="0" borderId="8" xfId="1" applyFont="1" applyBorder="1" applyAlignment="1">
      <alignment horizontal="center" vertical="center"/>
    </xf>
    <xf numFmtId="9" fontId="3" fillId="0" borderId="16" xfId="1" applyFont="1" applyBorder="1" applyAlignment="1">
      <alignment horizontal="center" vertical="center"/>
    </xf>
    <xf numFmtId="9" fontId="3" fillId="0" borderId="18" xfId="1" applyFont="1" applyBorder="1" applyAlignment="1">
      <alignment horizontal="center" vertical="center"/>
    </xf>
    <xf numFmtId="167" fontId="3" fillId="0" borderId="2" xfId="0" applyNumberFormat="1" applyFont="1" applyFill="1" applyBorder="1" applyAlignment="1">
      <alignment horizontal="center" vertical="center"/>
    </xf>
    <xf numFmtId="1" fontId="3" fillId="2" borderId="2" xfId="0" applyNumberFormat="1" applyFont="1" applyFill="1" applyBorder="1" applyAlignment="1">
      <alignment horizontal="justify" vertical="center" wrapText="1"/>
    </xf>
    <xf numFmtId="1" fontId="3" fillId="0" borderId="17" xfId="0" applyNumberFormat="1" applyFont="1" applyBorder="1" applyAlignment="1">
      <alignment horizontal="center"/>
    </xf>
    <xf numFmtId="1" fontId="3" fillId="0" borderId="0" xfId="0" applyNumberFormat="1" applyFont="1" applyBorder="1" applyAlignment="1">
      <alignment horizontal="center"/>
    </xf>
    <xf numFmtId="1" fontId="3" fillId="0" borderId="1" xfId="0" applyNumberFormat="1" applyFont="1" applyBorder="1" applyAlignment="1">
      <alignment horizontal="center"/>
    </xf>
    <xf numFmtId="9" fontId="3" fillId="2" borderId="8" xfId="1" applyFont="1" applyFill="1" applyBorder="1" applyAlignment="1">
      <alignment horizontal="center" vertical="center"/>
    </xf>
    <xf numFmtId="9" fontId="3" fillId="2" borderId="18" xfId="1" applyFont="1" applyFill="1" applyBorder="1" applyAlignment="1">
      <alignment horizontal="center" vertical="center"/>
    </xf>
    <xf numFmtId="167" fontId="3" fillId="2" borderId="8" xfId="0" applyNumberFormat="1" applyFont="1" applyFill="1" applyBorder="1" applyAlignment="1">
      <alignment horizontal="center" vertical="center" wrapText="1"/>
    </xf>
    <xf numFmtId="167" fontId="3" fillId="2" borderId="18" xfId="0" applyNumberFormat="1" applyFont="1" applyFill="1" applyBorder="1" applyAlignment="1">
      <alignment horizontal="center" vertical="center" wrapText="1"/>
    </xf>
    <xf numFmtId="0" fontId="3" fillId="0" borderId="2" xfId="0" applyFont="1" applyBorder="1" applyAlignment="1">
      <alignment horizontal="center" vertical="center"/>
    </xf>
    <xf numFmtId="1" fontId="3" fillId="2" borderId="2" xfId="0" applyNumberFormat="1" applyFont="1" applyFill="1" applyBorder="1" applyAlignment="1">
      <alignment horizontal="center" vertical="center"/>
    </xf>
    <xf numFmtId="0" fontId="3" fillId="2" borderId="2" xfId="0" applyFont="1" applyFill="1" applyBorder="1" applyAlignment="1">
      <alignment horizontal="justify" vertical="center" wrapText="1"/>
    </xf>
    <xf numFmtId="0" fontId="3" fillId="2" borderId="2" xfId="0" applyFont="1" applyFill="1" applyBorder="1" applyAlignment="1">
      <alignment horizontal="center" vertical="center" wrapText="1"/>
    </xf>
    <xf numFmtId="1" fontId="3" fillId="0" borderId="9" xfId="0" applyNumberFormat="1" applyFont="1" applyBorder="1" applyAlignment="1">
      <alignment horizontal="center"/>
    </xf>
    <xf numFmtId="1" fontId="3" fillId="0" borderId="5" xfId="0" applyNumberFormat="1" applyFont="1" applyBorder="1" applyAlignment="1">
      <alignment horizontal="center"/>
    </xf>
    <xf numFmtId="1" fontId="3" fillId="0" borderId="7" xfId="0" applyNumberFormat="1" applyFont="1" applyBorder="1" applyAlignment="1">
      <alignment horizontal="center"/>
    </xf>
    <xf numFmtId="43" fontId="3" fillId="0" borderId="2" xfId="0" applyNumberFormat="1" applyFont="1" applyFill="1" applyBorder="1" applyAlignment="1">
      <alignment horizontal="center" vertical="center"/>
    </xf>
    <xf numFmtId="1" fontId="3" fillId="0" borderId="8" xfId="0" applyNumberFormat="1" applyFont="1" applyFill="1" applyBorder="1" applyAlignment="1">
      <alignment horizontal="center" vertical="center"/>
    </xf>
    <xf numFmtId="1" fontId="3" fillId="0" borderId="16" xfId="0" applyNumberFormat="1" applyFont="1" applyFill="1" applyBorder="1" applyAlignment="1">
      <alignment horizontal="center" vertical="center"/>
    </xf>
    <xf numFmtId="1" fontId="3" fillId="2" borderId="16" xfId="0" applyNumberFormat="1" applyFont="1" applyFill="1" applyBorder="1" applyAlignment="1">
      <alignment horizontal="center" vertical="center"/>
    </xf>
    <xf numFmtId="0" fontId="3" fillId="0" borderId="2" xfId="0" applyFont="1" applyFill="1" applyBorder="1" applyAlignment="1">
      <alignment horizontal="justify" vertical="center" wrapText="1"/>
    </xf>
    <xf numFmtId="1" fontId="3" fillId="0" borderId="18" xfId="0" applyNumberFormat="1" applyFont="1" applyFill="1" applyBorder="1" applyAlignment="1">
      <alignment horizontal="center" vertical="center"/>
    </xf>
    <xf numFmtId="43" fontId="9" fillId="2" borderId="2" xfId="20" applyNumberFormat="1" applyFont="1" applyFill="1" applyBorder="1" applyAlignment="1">
      <alignment horizontal="center" vertical="center" wrapText="1"/>
    </xf>
    <xf numFmtId="43" fontId="9" fillId="0" borderId="2" xfId="20" applyNumberFormat="1" applyFont="1" applyFill="1" applyBorder="1" applyAlignment="1">
      <alignment horizontal="center" vertical="center" wrapText="1"/>
    </xf>
    <xf numFmtId="43" fontId="3" fillId="0" borderId="18" xfId="0" applyNumberFormat="1" applyFont="1" applyBorder="1" applyAlignment="1">
      <alignment horizontal="center" vertical="center"/>
    </xf>
    <xf numFmtId="43" fontId="3" fillId="0" borderId="18" xfId="0" applyNumberFormat="1" applyFont="1" applyFill="1" applyBorder="1" applyAlignment="1">
      <alignment horizontal="center" vertical="center"/>
    </xf>
    <xf numFmtId="14" fontId="9" fillId="0" borderId="8" xfId="0" applyNumberFormat="1" applyFont="1" applyBorder="1" applyAlignment="1">
      <alignment horizontal="center" vertical="center" wrapText="1"/>
    </xf>
    <xf numFmtId="14" fontId="9" fillId="0" borderId="16" xfId="0" applyNumberFormat="1" applyFont="1" applyBorder="1" applyAlignment="1">
      <alignment horizontal="center" vertical="center" wrapText="1"/>
    </xf>
    <xf numFmtId="14" fontId="9" fillId="0" borderId="18" xfId="0" applyNumberFormat="1" applyFont="1" applyBorder="1" applyAlignment="1">
      <alignment horizontal="center" vertical="center" wrapText="1"/>
    </xf>
    <xf numFmtId="0" fontId="9" fillId="2" borderId="12" xfId="7" applyNumberFormat="1" applyFont="1" applyFill="1" applyBorder="1" applyAlignment="1">
      <alignment horizontal="center" vertical="center" wrapText="1"/>
    </xf>
    <xf numFmtId="9" fontId="9" fillId="0" borderId="8" xfId="1" applyFont="1" applyBorder="1" applyAlignment="1">
      <alignment horizontal="center" vertical="center"/>
    </xf>
    <xf numFmtId="9" fontId="9" fillId="0" borderId="16" xfId="1" applyFont="1" applyBorder="1" applyAlignment="1">
      <alignment horizontal="center" vertical="center"/>
    </xf>
    <xf numFmtId="9" fontId="9" fillId="0" borderId="18" xfId="1" applyFont="1" applyBorder="1" applyAlignment="1">
      <alignment horizontal="center" vertical="center"/>
    </xf>
    <xf numFmtId="1" fontId="9" fillId="0" borderId="8" xfId="0" applyNumberFormat="1" applyFont="1" applyBorder="1" applyAlignment="1">
      <alignment horizontal="center" vertical="center" wrapText="1"/>
    </xf>
    <xf numFmtId="1" fontId="9" fillId="0" borderId="16" xfId="0" applyNumberFormat="1" applyFont="1" applyBorder="1" applyAlignment="1">
      <alignment horizontal="center" vertical="center" wrapText="1"/>
    </xf>
    <xf numFmtId="1" fontId="9" fillId="0" borderId="18" xfId="0" applyNumberFormat="1" applyFont="1" applyBorder="1" applyAlignment="1">
      <alignment horizontal="center" vertical="center" wrapText="1"/>
    </xf>
    <xf numFmtId="1" fontId="9" fillId="2" borderId="8" xfId="0" applyNumberFormat="1" applyFont="1" applyFill="1" applyBorder="1" applyAlignment="1">
      <alignment horizontal="center" vertical="center" wrapText="1"/>
    </xf>
    <xf numFmtId="1" fontId="9" fillId="2" borderId="16" xfId="0" applyNumberFormat="1" applyFont="1" applyFill="1" applyBorder="1" applyAlignment="1">
      <alignment horizontal="center" vertical="center" wrapText="1"/>
    </xf>
    <xf numFmtId="1" fontId="9" fillId="2" borderId="18" xfId="0" applyNumberFormat="1" applyFont="1" applyFill="1" applyBorder="1" applyAlignment="1">
      <alignment horizontal="center" vertical="center" wrapText="1"/>
    </xf>
    <xf numFmtId="1" fontId="9" fillId="0" borderId="8" xfId="0" applyNumberFormat="1" applyFont="1" applyBorder="1" applyAlignment="1">
      <alignment horizontal="center" vertical="center"/>
    </xf>
    <xf numFmtId="1" fontId="9" fillId="0" borderId="16" xfId="0" applyNumberFormat="1" applyFont="1" applyBorder="1" applyAlignment="1">
      <alignment horizontal="center" vertical="center"/>
    </xf>
    <xf numFmtId="1" fontId="9" fillId="0" borderId="18" xfId="0" applyNumberFormat="1" applyFont="1" applyBorder="1" applyAlignment="1">
      <alignment horizontal="center" vertical="center"/>
    </xf>
    <xf numFmtId="1" fontId="9" fillId="0" borderId="2" xfId="0" applyNumberFormat="1" applyFont="1" applyBorder="1" applyAlignment="1">
      <alignment horizontal="center" vertical="center"/>
    </xf>
    <xf numFmtId="1" fontId="9" fillId="2" borderId="8" xfId="0" applyNumberFormat="1" applyFont="1" applyFill="1" applyBorder="1" applyAlignment="1">
      <alignment horizontal="center" vertical="center"/>
    </xf>
    <xf numFmtId="1" fontId="9" fillId="2" borderId="16" xfId="0" applyNumberFormat="1" applyFont="1" applyFill="1" applyBorder="1" applyAlignment="1">
      <alignment horizontal="center" vertical="center"/>
    </xf>
    <xf numFmtId="1" fontId="9" fillId="2" borderId="18" xfId="0" applyNumberFormat="1" applyFont="1" applyFill="1" applyBorder="1" applyAlignment="1">
      <alignment horizontal="center" vertical="center"/>
    </xf>
    <xf numFmtId="169" fontId="9" fillId="0" borderId="8" xfId="5" applyNumberFormat="1" applyFont="1" applyBorder="1" applyAlignment="1">
      <alignment horizontal="center" vertical="center"/>
    </xf>
    <xf numFmtId="169" fontId="9" fillId="0" borderId="16" xfId="5" applyNumberFormat="1" applyFont="1" applyBorder="1" applyAlignment="1">
      <alignment horizontal="center" vertical="center"/>
    </xf>
    <xf numFmtId="169" fontId="9" fillId="0" borderId="18" xfId="5" applyNumberFormat="1" applyFont="1" applyBorder="1" applyAlignment="1">
      <alignment horizontal="center" vertical="center"/>
    </xf>
    <xf numFmtId="1" fontId="2" fillId="2" borderId="9"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1" fontId="2" fillId="2" borderId="7" xfId="0" applyNumberFormat="1" applyFont="1" applyFill="1" applyBorder="1" applyAlignment="1">
      <alignment horizontal="center" vertical="center" wrapText="1"/>
    </xf>
    <xf numFmtId="1" fontId="3" fillId="2" borderId="2" xfId="0" applyNumberFormat="1" applyFont="1" applyFill="1" applyBorder="1" applyAlignment="1">
      <alignment horizontal="center" vertical="center" wrapText="1"/>
    </xf>
    <xf numFmtId="167" fontId="3" fillId="2" borderId="16" xfId="0" applyNumberFormat="1" applyFont="1" applyFill="1" applyBorder="1" applyAlignment="1">
      <alignment horizontal="center" vertical="center" wrapText="1"/>
    </xf>
    <xf numFmtId="43" fontId="9" fillId="0" borderId="8" xfId="0" applyNumberFormat="1" applyFont="1" applyBorder="1" applyAlignment="1">
      <alignment horizontal="center" vertical="center" wrapText="1"/>
    </xf>
    <xf numFmtId="43" fontId="9" fillId="0" borderId="16" xfId="0" applyNumberFormat="1" applyFont="1" applyBorder="1" applyAlignment="1">
      <alignment horizontal="center" vertical="center" wrapText="1"/>
    </xf>
    <xf numFmtId="43" fontId="9" fillId="0" borderId="18" xfId="0" applyNumberFormat="1" applyFont="1" applyBorder="1" applyAlignment="1">
      <alignment horizontal="center" vertical="center" wrapText="1"/>
    </xf>
    <xf numFmtId="0" fontId="13" fillId="2" borderId="8" xfId="12" applyFont="1" applyFill="1" applyBorder="1" applyAlignment="1">
      <alignment horizontal="justify" vertical="center" wrapText="1"/>
    </xf>
    <xf numFmtId="0" fontId="13" fillId="2" borderId="18" xfId="12" applyFont="1" applyFill="1" applyBorder="1" applyAlignment="1">
      <alignment horizontal="justify" vertical="center" wrapText="1"/>
    </xf>
    <xf numFmtId="0" fontId="9" fillId="0" borderId="8"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8" xfId="0" applyNumberFormat="1" applyFont="1" applyFill="1" applyBorder="1" applyAlignment="1">
      <alignment horizontal="center" vertical="center" wrapText="1"/>
    </xf>
    <xf numFmtId="43" fontId="9" fillId="0" borderId="8" xfId="0" applyNumberFormat="1" applyFont="1" applyFill="1" applyBorder="1" applyAlignment="1">
      <alignment horizontal="center" vertical="center" wrapText="1"/>
    </xf>
    <xf numFmtId="0" fontId="9" fillId="0" borderId="8" xfId="0" applyNumberFormat="1" applyFont="1" applyFill="1" applyBorder="1" applyAlignment="1">
      <alignment horizontal="justify" vertical="center" wrapText="1"/>
    </xf>
    <xf numFmtId="0" fontId="9" fillId="0" borderId="16" xfId="0" applyNumberFormat="1" applyFont="1" applyFill="1" applyBorder="1" applyAlignment="1">
      <alignment horizontal="justify" vertical="center" wrapText="1"/>
    </xf>
    <xf numFmtId="0" fontId="9" fillId="0" borderId="18" xfId="0" applyNumberFormat="1" applyFont="1" applyFill="1" applyBorder="1" applyAlignment="1">
      <alignment horizontal="justify" vertical="center" wrapText="1"/>
    </xf>
    <xf numFmtId="43" fontId="9" fillId="0" borderId="16" xfId="0" applyNumberFormat="1" applyFont="1" applyFill="1" applyBorder="1" applyAlignment="1">
      <alignment horizontal="center" vertical="center"/>
    </xf>
    <xf numFmtId="43" fontId="9" fillId="0" borderId="8" xfId="4" applyFont="1" applyFill="1" applyBorder="1" applyAlignment="1">
      <alignment horizontal="center" vertical="center"/>
    </xf>
    <xf numFmtId="43" fontId="9" fillId="0" borderId="18" xfId="4" applyFont="1" applyFill="1" applyBorder="1" applyAlignment="1">
      <alignment horizontal="center" vertical="center"/>
    </xf>
    <xf numFmtId="0" fontId="3" fillId="0" borderId="8"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6" xfId="0" applyNumberFormat="1" applyFont="1" applyBorder="1" applyAlignment="1">
      <alignment horizontal="center" vertical="center"/>
    </xf>
    <xf numFmtId="167" fontId="3" fillId="0" borderId="8" xfId="0" applyNumberFormat="1" applyFont="1" applyFill="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166" fontId="6" fillId="3" borderId="13" xfId="13" applyFont="1" applyFill="1" applyBorder="1" applyAlignment="1">
      <alignment horizontal="center" vertical="center"/>
    </xf>
    <xf numFmtId="166" fontId="6" fillId="3" borderId="14" xfId="13" applyFont="1" applyFill="1" applyBorder="1" applyAlignment="1">
      <alignment horizontal="center" vertical="center"/>
    </xf>
    <xf numFmtId="166" fontId="6" fillId="3" borderId="15" xfId="13" applyFont="1" applyFill="1" applyBorder="1" applyAlignment="1">
      <alignment horizontal="center" vertical="center"/>
    </xf>
    <xf numFmtId="14" fontId="9" fillId="2" borderId="8" xfId="0" applyNumberFormat="1" applyFont="1" applyFill="1" applyBorder="1" applyAlignment="1">
      <alignment horizontal="center" vertical="center" wrapText="1"/>
    </xf>
    <xf numFmtId="0" fontId="9" fillId="2" borderId="18" xfId="0" applyFont="1" applyFill="1" applyBorder="1" applyAlignment="1">
      <alignment horizontal="center" vertical="center" wrapText="1"/>
    </xf>
    <xf numFmtId="43" fontId="9" fillId="2" borderId="8" xfId="0" applyNumberFormat="1" applyFont="1" applyFill="1" applyBorder="1" applyAlignment="1">
      <alignment horizontal="center" vertical="center" wrapText="1"/>
    </xf>
    <xf numFmtId="43" fontId="9" fillId="2" borderId="16" xfId="0" applyNumberFormat="1" applyFont="1" applyFill="1" applyBorder="1" applyAlignment="1">
      <alignment horizontal="center" vertical="center" wrapText="1"/>
    </xf>
    <xf numFmtId="43" fontId="9" fillId="2" borderId="18" xfId="0" applyNumberFormat="1" applyFont="1" applyFill="1" applyBorder="1" applyAlignment="1">
      <alignment horizontal="center" vertical="center" wrapText="1"/>
    </xf>
    <xf numFmtId="9" fontId="9" fillId="2" borderId="8" xfId="1" applyFont="1" applyFill="1" applyBorder="1" applyAlignment="1">
      <alignment horizontal="center" vertical="center" wrapText="1"/>
    </xf>
    <xf numFmtId="9" fontId="9" fillId="2" borderId="16" xfId="1" applyFont="1" applyFill="1" applyBorder="1" applyAlignment="1">
      <alignment horizontal="center" vertical="center" wrapText="1"/>
    </xf>
    <xf numFmtId="9" fontId="9" fillId="2" borderId="18" xfId="1" applyFont="1" applyFill="1" applyBorder="1" applyAlignment="1">
      <alignment horizontal="center" vertical="center" wrapText="1"/>
    </xf>
    <xf numFmtId="43" fontId="9" fillId="2" borderId="8" xfId="14" applyFont="1" applyFill="1" applyBorder="1" applyAlignment="1" applyProtection="1">
      <alignment horizontal="center" vertical="center" wrapText="1"/>
      <protection locked="0"/>
    </xf>
    <xf numFmtId="43" fontId="9" fillId="2" borderId="16" xfId="14" applyFont="1" applyFill="1" applyBorder="1" applyAlignment="1" applyProtection="1">
      <alignment horizontal="center" vertical="center" wrapText="1"/>
      <protection locked="0"/>
    </xf>
    <xf numFmtId="43" fontId="9" fillId="2" borderId="18" xfId="14" applyFont="1" applyFill="1" applyBorder="1" applyAlignment="1" applyProtection="1">
      <alignment horizontal="center" vertical="center" wrapText="1"/>
      <protection locked="0"/>
    </xf>
    <xf numFmtId="43" fontId="9" fillId="2" borderId="8" xfId="14" applyFont="1" applyFill="1" applyBorder="1" applyAlignment="1" applyProtection="1">
      <alignment horizontal="justify" vertical="center" wrapText="1"/>
      <protection locked="0"/>
    </xf>
    <xf numFmtId="43" fontId="9" fillId="2" borderId="16" xfId="14" applyFont="1" applyFill="1" applyBorder="1" applyAlignment="1" applyProtection="1">
      <alignment horizontal="justify" vertical="center" wrapText="1"/>
      <protection locked="0"/>
    </xf>
    <xf numFmtId="43" fontId="9" fillId="2" borderId="18" xfId="14" applyFont="1" applyFill="1" applyBorder="1" applyAlignment="1" applyProtection="1">
      <alignment horizontal="justify" vertical="center" wrapText="1"/>
      <protection locked="0"/>
    </xf>
    <xf numFmtId="43" fontId="9" fillId="2" borderId="8" xfId="14" applyFont="1" applyFill="1" applyBorder="1" applyAlignment="1">
      <alignment horizontal="center" vertical="center" wrapText="1"/>
    </xf>
    <xf numFmtId="43" fontId="9" fillId="2" borderId="16" xfId="14" applyFont="1" applyFill="1" applyBorder="1" applyAlignment="1">
      <alignment horizontal="center" vertical="center" wrapText="1"/>
    </xf>
    <xf numFmtId="177" fontId="3" fillId="2" borderId="20" xfId="15" applyNumberFormat="1" applyFont="1" applyFill="1" applyBorder="1" applyAlignment="1">
      <alignment horizontal="center" vertical="center"/>
    </xf>
    <xf numFmtId="177" fontId="3" fillId="2" borderId="21" xfId="15" applyNumberFormat="1" applyFont="1" applyFill="1" applyBorder="1" applyAlignment="1">
      <alignment horizontal="center" vertical="center"/>
    </xf>
    <xf numFmtId="177" fontId="3" fillId="2" borderId="8" xfId="15" applyNumberFormat="1" applyFont="1" applyFill="1" applyBorder="1" applyAlignment="1">
      <alignment horizontal="center" vertical="center"/>
    </xf>
    <xf numFmtId="177" fontId="3" fillId="2" borderId="8" xfId="15" applyNumberFormat="1" applyFont="1" applyFill="1" applyBorder="1" applyAlignment="1">
      <alignment horizontal="center" vertical="center" wrapText="1"/>
    </xf>
    <xf numFmtId="43" fontId="9" fillId="2" borderId="18" xfId="14" applyFont="1" applyFill="1" applyBorder="1" applyAlignment="1">
      <alignment horizontal="center" vertical="center" wrapText="1"/>
    </xf>
    <xf numFmtId="43" fontId="9" fillId="2" borderId="8" xfId="14" applyFont="1" applyFill="1" applyBorder="1" applyAlignment="1">
      <alignment horizontal="justify" vertical="center" wrapText="1"/>
    </xf>
    <xf numFmtId="43" fontId="9" fillId="2" borderId="18" xfId="14" applyFont="1" applyFill="1" applyBorder="1" applyAlignment="1">
      <alignment horizontal="justify" vertical="center" wrapText="1"/>
    </xf>
    <xf numFmtId="0" fontId="9" fillId="2" borderId="8" xfId="7" applyNumberFormat="1" applyFont="1" applyFill="1" applyBorder="1" applyAlignment="1">
      <alignment horizontal="center" vertical="center" wrapText="1"/>
    </xf>
    <xf numFmtId="0" fontId="9" fillId="2" borderId="18" xfId="7" applyNumberFormat="1" applyFont="1" applyFill="1" applyBorder="1" applyAlignment="1">
      <alignment horizontal="center" vertical="center" wrapText="1"/>
    </xf>
    <xf numFmtId="0" fontId="9" fillId="2" borderId="18" xfId="1" applyNumberFormat="1" applyFont="1" applyFill="1" applyBorder="1" applyAlignment="1">
      <alignment horizontal="center" vertical="center" wrapText="1"/>
    </xf>
    <xf numFmtId="14" fontId="9" fillId="2" borderId="2" xfId="0" applyNumberFormat="1" applyFont="1" applyFill="1" applyBorder="1" applyAlignment="1">
      <alignment horizontal="center" vertical="center" wrapText="1"/>
    </xf>
    <xf numFmtId="14" fontId="9" fillId="2" borderId="18"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 xfId="0" applyFont="1" applyFill="1" applyBorder="1" applyAlignment="1">
      <alignment horizontal="center" vertical="center" wrapText="1"/>
    </xf>
    <xf numFmtId="43" fontId="3" fillId="2" borderId="8" xfId="14" applyFont="1" applyFill="1" applyBorder="1" applyAlignment="1">
      <alignment horizontal="center" vertical="center" wrapText="1"/>
    </xf>
    <xf numFmtId="43" fontId="3" fillId="2" borderId="18" xfId="14" applyFont="1" applyFill="1" applyBorder="1" applyAlignment="1">
      <alignment horizontal="center" vertical="center" wrapText="1"/>
    </xf>
    <xf numFmtId="43" fontId="3" fillId="2" borderId="8" xfId="14" applyFont="1" applyFill="1" applyBorder="1" applyAlignment="1">
      <alignment horizontal="justify" vertical="center" wrapText="1"/>
    </xf>
    <xf numFmtId="43" fontId="3" fillId="2" borderId="18" xfId="14" applyFont="1" applyFill="1" applyBorder="1" applyAlignment="1">
      <alignment horizontal="justify" vertical="center" wrapText="1"/>
    </xf>
    <xf numFmtId="176" fontId="3" fillId="2" borderId="8" xfId="16" applyNumberFormat="1" applyFont="1" applyFill="1" applyBorder="1" applyAlignment="1">
      <alignment horizontal="center" vertical="center"/>
    </xf>
    <xf numFmtId="176" fontId="3" fillId="2" borderId="18" xfId="16" applyNumberFormat="1" applyFont="1" applyFill="1" applyBorder="1" applyAlignment="1">
      <alignment horizontal="center" vertical="center"/>
    </xf>
    <xf numFmtId="175" fontId="9" fillId="2" borderId="2" xfId="15" applyFont="1" applyFill="1" applyBorder="1" applyAlignment="1">
      <alignment horizontal="justify"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9" fillId="2" borderId="17" xfId="0" applyFont="1" applyFill="1" applyBorder="1" applyAlignment="1">
      <alignment horizontal="justify" vertical="center" wrapText="1"/>
    </xf>
    <xf numFmtId="0" fontId="9" fillId="2" borderId="6" xfId="0" applyFont="1" applyFill="1" applyBorder="1" applyAlignment="1">
      <alignment horizontal="justify" vertical="center" wrapText="1"/>
    </xf>
    <xf numFmtId="167" fontId="3" fillId="2" borderId="8" xfId="0" applyNumberFormat="1" applyFont="1" applyFill="1" applyBorder="1" applyAlignment="1">
      <alignment horizontal="center" vertical="center"/>
    </xf>
    <xf numFmtId="167" fontId="3" fillId="2" borderId="18" xfId="0" applyNumberFormat="1" applyFont="1" applyFill="1" applyBorder="1" applyAlignment="1">
      <alignment horizontal="center" vertical="center"/>
    </xf>
    <xf numFmtId="175" fontId="9" fillId="2" borderId="8" xfId="15" applyFont="1" applyFill="1" applyBorder="1" applyAlignment="1">
      <alignment horizontal="justify" vertical="center" wrapText="1"/>
    </xf>
    <xf numFmtId="175" fontId="9" fillId="2" borderId="16" xfId="15" applyFont="1" applyFill="1" applyBorder="1" applyAlignment="1">
      <alignment horizontal="justify" vertical="center" wrapText="1"/>
    </xf>
    <xf numFmtId="1" fontId="9" fillId="0" borderId="8" xfId="0" applyNumberFormat="1" applyFont="1" applyFill="1" applyBorder="1" applyAlignment="1">
      <alignment horizontal="center" vertical="center" wrapText="1"/>
    </xf>
    <xf numFmtId="1" fontId="9" fillId="0" borderId="16" xfId="0" applyNumberFormat="1" applyFont="1" applyFill="1" applyBorder="1" applyAlignment="1">
      <alignment horizontal="center" vertical="center" wrapText="1"/>
    </xf>
    <xf numFmtId="1" fontId="9" fillId="0" borderId="18" xfId="0" applyNumberFormat="1" applyFont="1" applyFill="1" applyBorder="1" applyAlignment="1">
      <alignment horizontal="center" vertical="center" wrapText="1"/>
    </xf>
    <xf numFmtId="4" fontId="9" fillId="0" borderId="8" xfId="0" applyNumberFormat="1" applyFont="1" applyFill="1" applyBorder="1" applyAlignment="1">
      <alignment horizontal="center" vertical="center" wrapText="1"/>
    </xf>
    <xf numFmtId="9" fontId="9" fillId="0" borderId="8" xfId="1" applyFont="1" applyFill="1" applyBorder="1" applyAlignment="1">
      <alignment horizontal="center" vertical="center" wrapText="1"/>
    </xf>
    <xf numFmtId="9" fontId="9" fillId="0" borderId="16" xfId="1" applyFont="1" applyFill="1" applyBorder="1" applyAlignment="1">
      <alignment horizontal="center" vertical="center" wrapText="1"/>
    </xf>
    <xf numFmtId="9" fontId="9" fillId="0" borderId="18" xfId="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9" fillId="0" borderId="8" xfId="9" applyNumberFormat="1" applyFont="1" applyFill="1" applyBorder="1" applyAlignment="1">
      <alignment horizontal="center" vertical="center" wrapText="1"/>
    </xf>
    <xf numFmtId="49" fontId="9" fillId="0" borderId="18" xfId="9" applyNumberFormat="1" applyFont="1" applyFill="1" applyBorder="1" applyAlignment="1">
      <alignment horizontal="center" vertical="center" wrapText="1"/>
    </xf>
    <xf numFmtId="9" fontId="9" fillId="0" borderId="2" xfId="1" applyFont="1" applyFill="1" applyBorder="1" applyAlignment="1">
      <alignment horizontal="center" vertical="center" wrapText="1"/>
    </xf>
    <xf numFmtId="179" fontId="9" fillId="0" borderId="2"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2" fontId="9" fillId="0" borderId="8" xfId="21" applyNumberFormat="1" applyFont="1" applyFill="1" applyBorder="1" applyAlignment="1">
      <alignment horizontal="center" vertical="center" wrapText="1"/>
    </xf>
    <xf numFmtId="2" fontId="9" fillId="0" borderId="16" xfId="21" applyNumberFormat="1" applyFont="1" applyFill="1" applyBorder="1" applyAlignment="1">
      <alignment horizontal="center" vertical="center" wrapText="1"/>
    </xf>
    <xf numFmtId="2" fontId="9" fillId="0" borderId="18" xfId="21" applyNumberFormat="1" applyFont="1" applyFill="1" applyBorder="1" applyAlignment="1">
      <alignment horizontal="center" vertical="center" wrapText="1"/>
    </xf>
    <xf numFmtId="43" fontId="9" fillId="0" borderId="2" xfId="9" applyFont="1" applyFill="1" applyBorder="1" applyAlignment="1">
      <alignment horizontal="center" vertical="center"/>
    </xf>
    <xf numFmtId="176" fontId="9" fillId="0" borderId="8" xfId="9" applyNumberFormat="1" applyFont="1" applyFill="1" applyBorder="1" applyAlignment="1">
      <alignment horizontal="justify" vertical="center" wrapText="1"/>
    </xf>
    <xf numFmtId="176" fontId="9" fillId="0" borderId="18" xfId="9" applyNumberFormat="1" applyFont="1" applyFill="1" applyBorder="1" applyAlignment="1">
      <alignment horizontal="justify" vertical="center" wrapText="1"/>
    </xf>
    <xf numFmtId="184" fontId="9" fillId="0" borderId="2" xfId="1" applyNumberFormat="1" applyFont="1" applyFill="1" applyBorder="1" applyAlignment="1">
      <alignment horizontal="center" vertical="center" wrapText="1"/>
    </xf>
    <xf numFmtId="184" fontId="9" fillId="0" borderId="8" xfId="1" applyNumberFormat="1" applyFont="1" applyFill="1" applyBorder="1" applyAlignment="1">
      <alignment horizontal="center" vertical="center" wrapText="1"/>
    </xf>
    <xf numFmtId="0" fontId="9" fillId="0" borderId="2" xfId="0" applyFont="1" applyBorder="1" applyAlignment="1">
      <alignment horizontal="justify" vertical="center" wrapText="1"/>
    </xf>
    <xf numFmtId="9" fontId="9" fillId="0" borderId="8" xfId="1" applyFont="1" applyBorder="1" applyAlignment="1">
      <alignment horizontal="center" vertical="center" wrapText="1"/>
    </xf>
    <xf numFmtId="9" fontId="9" fillId="0" borderId="16" xfId="1" applyFont="1" applyBorder="1" applyAlignment="1">
      <alignment horizontal="center" vertical="center" wrapText="1"/>
    </xf>
    <xf numFmtId="9" fontId="9" fillId="0" borderId="18" xfId="1" applyFont="1" applyBorder="1" applyAlignment="1">
      <alignment horizontal="center" vertical="center" wrapText="1"/>
    </xf>
    <xf numFmtId="0" fontId="9" fillId="0" borderId="2" xfId="0" applyFont="1" applyBorder="1" applyAlignment="1">
      <alignment horizontal="center" vertical="center" wrapText="1"/>
    </xf>
    <xf numFmtId="179" fontId="9" fillId="0" borderId="2" xfId="0" applyNumberFormat="1" applyFont="1" applyBorder="1" applyAlignment="1">
      <alignment horizontal="center" vertical="center" wrapText="1"/>
    </xf>
    <xf numFmtId="9" fontId="9" fillId="0" borderId="2" xfId="1" applyFont="1" applyBorder="1" applyAlignment="1">
      <alignment horizontal="center" vertical="center" wrapText="1"/>
    </xf>
    <xf numFmtId="0" fontId="9" fillId="2" borderId="7" xfId="0" applyFont="1" applyFill="1" applyBorder="1" applyAlignment="1">
      <alignment horizontal="center" vertical="center" wrapText="1"/>
    </xf>
    <xf numFmtId="0" fontId="9" fillId="2" borderId="4" xfId="0" applyFont="1" applyFill="1" applyBorder="1" applyAlignment="1">
      <alignment horizontal="center" vertical="center" wrapText="1"/>
    </xf>
    <xf numFmtId="179" fontId="9" fillId="0" borderId="2" xfId="0" applyNumberFormat="1" applyFont="1" applyBorder="1" applyAlignment="1">
      <alignment horizontal="justify" vertical="center" wrapText="1"/>
    </xf>
    <xf numFmtId="0" fontId="9" fillId="0" borderId="8" xfId="12" applyFont="1" applyBorder="1" applyAlignment="1">
      <alignment horizontal="justify" vertical="center" wrapText="1"/>
    </xf>
    <xf numFmtId="0" fontId="9" fillId="0" borderId="18" xfId="12" applyFont="1" applyBorder="1" applyAlignment="1">
      <alignment horizontal="justify" vertical="center" wrapText="1"/>
    </xf>
    <xf numFmtId="0" fontId="9" fillId="0" borderId="12" xfId="0" applyFont="1" applyBorder="1" applyAlignment="1">
      <alignment horizontal="center" vertical="center" wrapText="1"/>
    </xf>
    <xf numFmtId="49" fontId="9" fillId="0" borderId="8" xfId="9" applyNumberFormat="1" applyFont="1" applyFill="1" applyBorder="1" applyAlignment="1">
      <alignment horizontal="justify" vertical="center" wrapText="1"/>
    </xf>
    <xf numFmtId="49" fontId="9" fillId="0" borderId="16" xfId="9" applyNumberFormat="1" applyFont="1" applyFill="1" applyBorder="1" applyAlignment="1">
      <alignment horizontal="justify" vertical="center" wrapText="1"/>
    </xf>
    <xf numFmtId="49" fontId="9" fillId="0" borderId="18" xfId="9" applyNumberFormat="1" applyFont="1" applyFill="1" applyBorder="1" applyAlignment="1">
      <alignment horizontal="justify" vertical="center" wrapText="1"/>
    </xf>
    <xf numFmtId="0" fontId="9" fillId="2" borderId="1" xfId="0"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3" fillId="2" borderId="16" xfId="0" applyNumberFormat="1" applyFont="1" applyFill="1" applyBorder="1" applyAlignment="1">
      <alignment horizontal="center" vertical="center" wrapText="1"/>
    </xf>
    <xf numFmtId="49" fontId="3" fillId="2" borderId="18" xfId="0" applyNumberFormat="1" applyFont="1" applyFill="1" applyBorder="1" applyAlignment="1">
      <alignment horizontal="center" vertical="center" wrapText="1"/>
    </xf>
    <xf numFmtId="176" fontId="9" fillId="0" borderId="16" xfId="9" applyNumberFormat="1" applyFont="1" applyFill="1" applyBorder="1" applyAlignment="1">
      <alignment horizontal="justify" vertical="center" wrapText="1"/>
    </xf>
    <xf numFmtId="2" fontId="9" fillId="0" borderId="8" xfId="0" applyNumberFormat="1" applyFont="1" applyBorder="1" applyAlignment="1">
      <alignment horizontal="center" vertical="center" wrapText="1"/>
    </xf>
    <xf numFmtId="2" fontId="9" fillId="0" borderId="18" xfId="0" applyNumberFormat="1" applyFont="1" applyBorder="1" applyAlignment="1">
      <alignment horizontal="center" vertical="center" wrapText="1"/>
    </xf>
    <xf numFmtId="0" fontId="21" fillId="0" borderId="8" xfId="0" applyFont="1" applyBorder="1" applyAlignment="1">
      <alignment horizontal="justify" vertical="center" wrapText="1"/>
    </xf>
    <xf numFmtId="0" fontId="21" fillId="0" borderId="18" xfId="0" applyFont="1" applyBorder="1" applyAlignment="1">
      <alignment horizontal="justify" vertical="center" wrapText="1"/>
    </xf>
    <xf numFmtId="4" fontId="9" fillId="0" borderId="8" xfId="0" applyNumberFormat="1" applyFont="1" applyBorder="1" applyAlignment="1">
      <alignment horizontal="center" vertical="center" wrapText="1"/>
    </xf>
    <xf numFmtId="49" fontId="3" fillId="0" borderId="8" xfId="21" applyNumberFormat="1" applyFont="1" applyFill="1" applyBorder="1" applyAlignment="1">
      <alignment horizontal="center" vertical="center" wrapText="1"/>
    </xf>
    <xf numFmtId="49" fontId="3" fillId="0" borderId="16" xfId="21" applyNumberFormat="1" applyFont="1" applyFill="1" applyBorder="1" applyAlignment="1">
      <alignment horizontal="center" vertical="center" wrapText="1"/>
    </xf>
    <xf numFmtId="49" fontId="3" fillId="0" borderId="18" xfId="21" applyNumberFormat="1" applyFont="1" applyFill="1" applyBorder="1" applyAlignment="1">
      <alignment horizontal="center" vertical="center" wrapText="1"/>
    </xf>
    <xf numFmtId="0" fontId="3" fillId="2" borderId="8" xfId="12" applyFont="1" applyFill="1" applyBorder="1" applyAlignment="1">
      <alignment horizontal="justify" vertical="center" wrapText="1"/>
    </xf>
    <xf numFmtId="0" fontId="3" fillId="2" borderId="16" xfId="12" applyFont="1" applyFill="1" applyBorder="1" applyAlignment="1">
      <alignment horizontal="justify" vertical="center" wrapText="1"/>
    </xf>
    <xf numFmtId="0" fontId="3" fillId="2" borderId="18" xfId="12" applyFont="1" applyFill="1" applyBorder="1" applyAlignment="1">
      <alignment horizontal="justify" vertical="center" wrapText="1"/>
    </xf>
    <xf numFmtId="9" fontId="9" fillId="2" borderId="8" xfId="1" applyNumberFormat="1" applyFont="1" applyFill="1" applyBorder="1" applyAlignment="1">
      <alignment horizontal="center" vertical="center" wrapText="1"/>
    </xf>
    <xf numFmtId="9" fontId="9" fillId="2" borderId="18" xfId="1" applyNumberFormat="1" applyFont="1" applyFill="1" applyBorder="1" applyAlignment="1">
      <alignment horizontal="center" vertical="center" wrapText="1"/>
    </xf>
    <xf numFmtId="1" fontId="3" fillId="2" borderId="8" xfId="12" applyNumberFormat="1" applyFont="1" applyFill="1" applyBorder="1" applyAlignment="1">
      <alignment horizontal="center" vertical="center" wrapText="1"/>
    </xf>
    <xf numFmtId="1" fontId="3" fillId="2" borderId="18" xfId="12" applyNumberFormat="1" applyFont="1" applyFill="1" applyBorder="1" applyAlignment="1">
      <alignment horizontal="center" vertical="center" wrapText="1"/>
    </xf>
    <xf numFmtId="43" fontId="3" fillId="2" borderId="8" xfId="12" applyNumberFormat="1" applyFont="1" applyFill="1" applyBorder="1" applyAlignment="1">
      <alignment horizontal="center" vertical="center" wrapText="1"/>
    </xf>
    <xf numFmtId="0" fontId="3" fillId="2" borderId="18" xfId="12" applyFont="1" applyFill="1" applyBorder="1" applyAlignment="1">
      <alignment horizontal="center" vertical="center" wrapText="1"/>
    </xf>
    <xf numFmtId="0" fontId="3" fillId="2" borderId="8" xfId="12" applyFont="1" applyFill="1" applyBorder="1" applyAlignment="1">
      <alignment horizontal="center" vertical="center" wrapText="1"/>
    </xf>
    <xf numFmtId="0" fontId="3" fillId="0" borderId="8" xfId="12" applyFont="1" applyFill="1" applyBorder="1" applyAlignment="1">
      <alignment horizontal="center" vertical="center" wrapText="1"/>
    </xf>
    <xf numFmtId="0" fontId="3" fillId="0" borderId="18" xfId="12" applyFont="1" applyFill="1" applyBorder="1" applyAlignment="1">
      <alignment horizontal="center" vertical="center" wrapText="1"/>
    </xf>
    <xf numFmtId="43" fontId="3" fillId="0" borderId="8" xfId="21" applyFont="1" applyFill="1" applyBorder="1" applyAlignment="1">
      <alignment horizontal="justify" vertical="center" wrapText="1"/>
    </xf>
    <xf numFmtId="43" fontId="3" fillId="0" borderId="18" xfId="21" applyFont="1" applyFill="1" applyBorder="1" applyAlignment="1">
      <alignment horizontal="justify" vertical="center" wrapText="1"/>
    </xf>
    <xf numFmtId="9" fontId="9" fillId="2" borderId="2" xfId="1" applyFont="1" applyFill="1" applyBorder="1" applyAlignment="1">
      <alignment horizontal="center" vertical="center" wrapText="1"/>
    </xf>
    <xf numFmtId="49" fontId="3" fillId="0" borderId="2" xfId="22" applyNumberFormat="1" applyFont="1" applyBorder="1" applyAlignment="1">
      <alignment horizontal="justify" vertical="center" wrapText="1"/>
    </xf>
    <xf numFmtId="43" fontId="9" fillId="0" borderId="2" xfId="4" applyFont="1" applyFill="1" applyBorder="1" applyAlignment="1">
      <alignment horizontal="center" vertical="center"/>
    </xf>
    <xf numFmtId="43" fontId="3" fillId="0" borderId="16" xfId="21" applyFont="1" applyFill="1" applyBorder="1" applyAlignment="1">
      <alignment horizontal="justify" vertical="center" wrapText="1"/>
    </xf>
    <xf numFmtId="0" fontId="3" fillId="0" borderId="2" xfId="12" applyFont="1" applyBorder="1" applyAlignment="1">
      <alignment horizontal="justify" vertical="center" wrapText="1"/>
    </xf>
    <xf numFmtId="1" fontId="3" fillId="0" borderId="9" xfId="0" applyNumberFormat="1" applyFont="1" applyBorder="1" applyAlignment="1">
      <alignment horizontal="center" vertical="center"/>
    </xf>
    <xf numFmtId="1" fontId="3" fillId="0" borderId="6" xfId="0" applyNumberFormat="1" applyFont="1" applyBorder="1" applyAlignment="1">
      <alignment horizontal="center" vertical="center"/>
    </xf>
    <xf numFmtId="43" fontId="9" fillId="0" borderId="2" xfId="21" applyFont="1" applyFill="1" applyBorder="1" applyAlignment="1">
      <alignment horizontal="center" vertical="center" wrapText="1"/>
    </xf>
    <xf numFmtId="43" fontId="3" fillId="0" borderId="8" xfId="0" applyNumberFormat="1" applyFont="1" applyBorder="1" applyAlignment="1">
      <alignment horizontal="center" vertical="center" wrapText="1"/>
    </xf>
    <xf numFmtId="9" fontId="3" fillId="0" borderId="8" xfId="1" applyFont="1" applyBorder="1" applyAlignment="1">
      <alignment horizontal="center" vertical="center" wrapText="1"/>
    </xf>
    <xf numFmtId="9" fontId="3" fillId="0" borderId="16" xfId="1" applyFont="1" applyBorder="1" applyAlignment="1">
      <alignment horizontal="center" vertical="center" wrapText="1"/>
    </xf>
    <xf numFmtId="9" fontId="3" fillId="0" borderId="18" xfId="1" applyFont="1" applyBorder="1" applyAlignment="1">
      <alignment horizontal="center" vertical="center" wrapText="1"/>
    </xf>
    <xf numFmtId="3" fontId="7" fillId="5" borderId="8" xfId="0" applyNumberFormat="1" applyFont="1" applyFill="1" applyBorder="1" applyAlignment="1">
      <alignment horizontal="center" vertical="center" wrapText="1"/>
    </xf>
    <xf numFmtId="3" fontId="7" fillId="5" borderId="18" xfId="0" applyNumberFormat="1" applyFont="1" applyFill="1" applyBorder="1" applyAlignment="1">
      <alignment horizontal="center" vertical="center" wrapText="1"/>
    </xf>
    <xf numFmtId="9" fontId="7" fillId="5" borderId="8" xfId="3" applyFont="1" applyFill="1" applyBorder="1" applyAlignment="1">
      <alignment horizontal="center" vertical="center" wrapText="1"/>
    </xf>
    <xf numFmtId="9" fontId="7" fillId="5" borderId="18" xfId="3" applyFont="1" applyFill="1" applyBorder="1" applyAlignment="1">
      <alignment horizontal="center" vertical="center" wrapText="1"/>
    </xf>
    <xf numFmtId="165" fontId="2" fillId="3" borderId="18" xfId="0" applyNumberFormat="1" applyFont="1" applyFill="1" applyBorder="1" applyAlignment="1">
      <alignment horizontal="center" vertical="center" wrapText="1"/>
    </xf>
    <xf numFmtId="1" fontId="2" fillId="3" borderId="18" xfId="0" applyNumberFormat="1" applyFont="1" applyFill="1" applyBorder="1" applyAlignment="1">
      <alignment horizontal="center" vertical="center" wrapText="1"/>
    </xf>
    <xf numFmtId="3" fontId="5" fillId="4" borderId="6" xfId="0" applyNumberFormat="1" applyFont="1" applyFill="1" applyBorder="1" applyAlignment="1">
      <alignment horizontal="center" vertical="center" wrapText="1"/>
    </xf>
    <xf numFmtId="3" fontId="5" fillId="4" borderId="3" xfId="0" applyNumberFormat="1" applyFont="1" applyFill="1" applyBorder="1" applyAlignment="1">
      <alignment horizontal="center" vertical="center" wrapText="1"/>
    </xf>
    <xf numFmtId="3" fontId="5" fillId="4" borderId="4" xfId="0" applyNumberFormat="1"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6"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164" fontId="2" fillId="3" borderId="18" xfId="0" applyNumberFormat="1"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1" xfId="0" applyFont="1" applyFill="1" applyBorder="1" applyAlignment="1">
      <alignment horizontal="center" vertical="center" wrapText="1"/>
    </xf>
    <xf numFmtId="166" fontId="6" fillId="3" borderId="6" xfId="2" applyFont="1" applyFill="1" applyBorder="1" applyAlignment="1">
      <alignment horizontal="center" vertical="center"/>
    </xf>
    <xf numFmtId="166" fontId="6" fillId="3" borderId="3" xfId="2" applyFont="1" applyFill="1" applyBorder="1" applyAlignment="1">
      <alignment horizontal="center" vertical="center"/>
    </xf>
    <xf numFmtId="166" fontId="6" fillId="3" borderId="4" xfId="2" applyFont="1" applyFill="1" applyBorder="1" applyAlignment="1">
      <alignment horizontal="center" vertical="center"/>
    </xf>
    <xf numFmtId="0" fontId="3" fillId="2" borderId="8" xfId="0" applyNumberFormat="1" applyFont="1" applyFill="1" applyBorder="1" applyAlignment="1">
      <alignment horizontal="center" vertical="center"/>
    </xf>
    <xf numFmtId="0" fontId="3" fillId="2" borderId="18" xfId="0" applyNumberFormat="1" applyFont="1" applyFill="1" applyBorder="1" applyAlignment="1">
      <alignment horizontal="center" vertical="center"/>
    </xf>
    <xf numFmtId="0" fontId="3" fillId="2" borderId="8" xfId="0" applyFont="1" applyFill="1" applyBorder="1" applyAlignment="1">
      <alignment horizontal="center"/>
    </xf>
    <xf numFmtId="0" fontId="3" fillId="2" borderId="18" xfId="0" applyFont="1" applyFill="1" applyBorder="1" applyAlignment="1">
      <alignment horizontal="center"/>
    </xf>
    <xf numFmtId="0" fontId="2" fillId="3" borderId="10" xfId="0" applyFont="1" applyFill="1" applyBorder="1" applyAlignment="1">
      <alignment horizontal="center" vertical="center" textRotation="90" wrapText="1"/>
    </xf>
    <xf numFmtId="0" fontId="2" fillId="3" borderId="12" xfId="0" applyFont="1" applyFill="1" applyBorder="1" applyAlignment="1">
      <alignment horizontal="center" vertical="center" textRotation="90" wrapText="1"/>
    </xf>
    <xf numFmtId="0" fontId="2" fillId="3" borderId="2" xfId="0" applyFont="1" applyFill="1" applyBorder="1" applyAlignment="1">
      <alignment horizontal="center" vertical="center" textRotation="90" wrapText="1"/>
    </xf>
    <xf numFmtId="49" fontId="2" fillId="3" borderId="10" xfId="0" applyNumberFormat="1" applyFont="1" applyFill="1" applyBorder="1" applyAlignment="1">
      <alignment horizontal="center" vertical="center" textRotation="90" wrapText="1"/>
    </xf>
    <xf numFmtId="49" fontId="2" fillId="3" borderId="12" xfId="0" applyNumberFormat="1" applyFont="1" applyFill="1" applyBorder="1" applyAlignment="1">
      <alignment horizontal="center" vertical="center" textRotation="90" wrapText="1"/>
    </xf>
    <xf numFmtId="14" fontId="3" fillId="0" borderId="2" xfId="0" applyNumberFormat="1" applyFont="1" applyBorder="1" applyAlignment="1">
      <alignment horizontal="center" vertical="center"/>
    </xf>
    <xf numFmtId="14" fontId="9" fillId="0" borderId="2" xfId="0" applyNumberFormat="1" applyFont="1" applyBorder="1" applyAlignment="1">
      <alignment horizontal="center" vertical="center"/>
    </xf>
    <xf numFmtId="0" fontId="9" fillId="0" borderId="2" xfId="0" applyFont="1" applyBorder="1" applyAlignment="1">
      <alignment horizontal="center" vertical="center"/>
    </xf>
    <xf numFmtId="14" fontId="9" fillId="0" borderId="8" xfId="0" applyNumberFormat="1" applyFont="1" applyBorder="1" applyAlignment="1">
      <alignment horizontal="center" vertical="center"/>
    </xf>
    <xf numFmtId="0" fontId="9" fillId="0" borderId="18" xfId="0" applyFont="1" applyBorder="1" applyAlignment="1">
      <alignment horizontal="center" vertical="center"/>
    </xf>
    <xf numFmtId="0" fontId="9" fillId="0" borderId="8" xfId="0" applyFont="1" applyBorder="1" applyAlignment="1">
      <alignment horizontal="center" vertical="center"/>
    </xf>
    <xf numFmtId="176" fontId="9" fillId="0" borderId="8" xfId="0" applyNumberFormat="1" applyFont="1" applyBorder="1" applyAlignment="1">
      <alignment horizontal="center" vertical="center"/>
    </xf>
    <xf numFmtId="10" fontId="9" fillId="0" borderId="8" xfId="0" applyNumberFormat="1" applyFont="1" applyBorder="1" applyAlignment="1">
      <alignment horizontal="center" vertical="center"/>
    </xf>
    <xf numFmtId="10" fontId="9" fillId="0" borderId="18" xfId="0" applyNumberFormat="1" applyFont="1" applyBorder="1" applyAlignment="1">
      <alignment horizontal="center" vertical="center"/>
    </xf>
    <xf numFmtId="43" fontId="9" fillId="0" borderId="8" xfId="4" applyFont="1" applyBorder="1" applyAlignment="1">
      <alignment horizontal="center" vertical="center" wrapText="1"/>
    </xf>
    <xf numFmtId="43" fontId="9" fillId="0" borderId="18" xfId="4" applyFont="1" applyBorder="1" applyAlignment="1">
      <alignment horizontal="center" vertical="center" wrapText="1"/>
    </xf>
    <xf numFmtId="1" fontId="9" fillId="0" borderId="2" xfId="0" applyNumberFormat="1" applyFont="1" applyBorder="1" applyAlignment="1">
      <alignment horizontal="center" vertical="center" wrapText="1"/>
    </xf>
    <xf numFmtId="3" fontId="9" fillId="0" borderId="2" xfId="0" applyNumberFormat="1" applyFont="1" applyBorder="1" applyAlignment="1">
      <alignment horizontal="justify" vertical="center" wrapText="1"/>
    </xf>
    <xf numFmtId="14" fontId="3" fillId="0" borderId="9" xfId="0" applyNumberFormat="1" applyFont="1" applyBorder="1" applyAlignment="1">
      <alignment horizontal="center" vertical="center"/>
    </xf>
    <xf numFmtId="14" fontId="3" fillId="0" borderId="17" xfId="0" applyNumberFormat="1"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2" borderId="9" xfId="0" applyFont="1" applyFill="1" applyBorder="1" applyAlignment="1">
      <alignment horizontal="center" vertical="center" wrapText="1"/>
    </xf>
    <xf numFmtId="9" fontId="3" fillId="0" borderId="8" xfId="0" applyNumberFormat="1" applyFont="1" applyBorder="1" applyAlignment="1">
      <alignment horizontal="center" vertical="center"/>
    </xf>
    <xf numFmtId="9" fontId="3" fillId="0" borderId="16" xfId="0" applyNumberFormat="1" applyFont="1" applyBorder="1" applyAlignment="1">
      <alignment horizontal="center" vertical="center"/>
    </xf>
    <xf numFmtId="9" fontId="3" fillId="0" borderId="18" xfId="0" applyNumberFormat="1" applyFont="1" applyBorder="1" applyAlignment="1">
      <alignment horizontal="center" vertical="center"/>
    </xf>
    <xf numFmtId="9" fontId="3" fillId="2" borderId="8" xfId="1" applyNumberFormat="1" applyFont="1" applyFill="1" applyBorder="1" applyAlignment="1">
      <alignment horizontal="center" vertical="center"/>
    </xf>
    <xf numFmtId="9" fontId="3" fillId="2" borderId="18" xfId="1" applyNumberFormat="1" applyFont="1" applyFill="1" applyBorder="1" applyAlignment="1">
      <alignment horizontal="center" vertical="center"/>
    </xf>
    <xf numFmtId="43" fontId="3" fillId="2" borderId="2" xfId="4" applyFont="1" applyFill="1" applyBorder="1" applyAlignment="1">
      <alignment horizontal="center" vertical="center"/>
    </xf>
    <xf numFmtId="170" fontId="9" fillId="0" borderId="8" xfId="5" applyNumberFormat="1" applyFont="1" applyFill="1" applyBorder="1" applyAlignment="1">
      <alignment horizontal="center" vertical="center" wrapText="1"/>
    </xf>
    <xf numFmtId="170" fontId="9" fillId="0" borderId="16" xfId="5" applyNumberFormat="1" applyFont="1" applyFill="1" applyBorder="1" applyAlignment="1">
      <alignment horizontal="center" vertical="center" wrapText="1"/>
    </xf>
    <xf numFmtId="170" fontId="9" fillId="0" borderId="18" xfId="5" applyNumberFormat="1" applyFont="1" applyFill="1" applyBorder="1" applyAlignment="1">
      <alignment horizontal="center" vertical="center" wrapText="1"/>
    </xf>
    <xf numFmtId="168" fontId="9" fillId="0" borderId="2" xfId="5" applyFont="1" applyFill="1" applyBorder="1" applyAlignment="1">
      <alignment horizontal="center" vertical="center" wrapText="1"/>
    </xf>
    <xf numFmtId="170" fontId="9" fillId="0" borderId="2" xfId="5"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20" fillId="0" borderId="2" xfId="0" applyFont="1" applyFill="1" applyBorder="1" applyAlignment="1">
      <alignment horizontal="center" vertical="center" wrapText="1"/>
    </xf>
    <xf numFmtId="171" fontId="22" fillId="0" borderId="2" xfId="7" applyFont="1" applyFill="1" applyBorder="1" applyAlignment="1">
      <alignment horizontal="center" vertical="center" wrapText="1"/>
    </xf>
    <xf numFmtId="168" fontId="9" fillId="0" borderId="5" xfId="5" applyFont="1" applyFill="1" applyBorder="1" applyAlignment="1">
      <alignment horizontal="center" vertical="center" wrapText="1"/>
    </xf>
    <xf numFmtId="168" fontId="9" fillId="0" borderId="0" xfId="5" applyFont="1" applyFill="1" applyBorder="1" applyAlignment="1">
      <alignment horizontal="center" vertical="center" wrapText="1"/>
    </xf>
    <xf numFmtId="168" fontId="9" fillId="0" borderId="3" xfId="5" applyFont="1" applyFill="1" applyBorder="1" applyAlignment="1">
      <alignment horizontal="center" vertical="center" wrapText="1"/>
    </xf>
    <xf numFmtId="0" fontId="27" fillId="0" borderId="0" xfId="0" applyFont="1" applyAlignment="1">
      <alignment horizontal="center"/>
    </xf>
    <xf numFmtId="43" fontId="3" fillId="0" borderId="2" xfId="4" applyFont="1" applyFill="1" applyBorder="1" applyAlignment="1">
      <alignment horizontal="center" vertical="center"/>
    </xf>
    <xf numFmtId="0" fontId="3" fillId="0" borderId="2" xfId="0" applyFont="1" applyFill="1" applyBorder="1" applyAlignment="1">
      <alignment horizontal="center" vertical="center" wrapText="1"/>
    </xf>
    <xf numFmtId="0" fontId="24" fillId="0" borderId="2" xfId="0" applyFont="1" applyFill="1" applyBorder="1" applyAlignment="1">
      <alignment horizontal="center" vertical="center" wrapText="1"/>
    </xf>
    <xf numFmtId="9" fontId="3" fillId="0" borderId="2" xfId="1" applyFont="1" applyFill="1" applyBorder="1" applyAlignment="1">
      <alignment horizontal="center" vertical="center"/>
    </xf>
    <xf numFmtId="0" fontId="5" fillId="6" borderId="2" xfId="0" applyFont="1" applyFill="1" applyBorder="1" applyAlignment="1">
      <alignment horizontal="center" vertical="center"/>
    </xf>
    <xf numFmtId="0" fontId="2" fillId="0" borderId="0" xfId="0" applyFont="1" applyAlignment="1">
      <alignment horizontal="center" vertical="center"/>
    </xf>
    <xf numFmtId="0" fontId="9" fillId="0" borderId="2"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Border="1" applyAlignment="1">
      <alignment horizontal="center"/>
    </xf>
    <xf numFmtId="43" fontId="3" fillId="2" borderId="8" xfId="4" applyFont="1" applyFill="1" applyBorder="1" applyAlignment="1">
      <alignment horizontal="center" vertical="center"/>
    </xf>
    <xf numFmtId="43" fontId="3" fillId="2" borderId="16" xfId="4" applyFont="1" applyFill="1" applyBorder="1" applyAlignment="1">
      <alignment horizontal="center" vertical="center"/>
    </xf>
    <xf numFmtId="43" fontId="3" fillId="2" borderId="18" xfId="4" applyFont="1" applyFill="1" applyBorder="1" applyAlignment="1">
      <alignment horizontal="center" vertical="center"/>
    </xf>
    <xf numFmtId="49" fontId="3" fillId="2" borderId="8" xfId="0" applyNumberFormat="1" applyFont="1" applyFill="1" applyBorder="1" applyAlignment="1">
      <alignment horizontal="center" vertical="center"/>
    </xf>
    <xf numFmtId="49" fontId="3" fillId="2" borderId="16" xfId="0" applyNumberFormat="1" applyFont="1" applyFill="1" applyBorder="1" applyAlignment="1">
      <alignment horizontal="center" vertical="center"/>
    </xf>
    <xf numFmtId="49" fontId="3" fillId="2" borderId="18" xfId="0" applyNumberFormat="1" applyFont="1" applyFill="1" applyBorder="1" applyAlignment="1">
      <alignment horizontal="center" vertical="center"/>
    </xf>
    <xf numFmtId="14" fontId="3" fillId="2" borderId="8" xfId="0" applyNumberFormat="1" applyFont="1" applyFill="1" applyBorder="1" applyAlignment="1">
      <alignment horizontal="center" vertical="center"/>
    </xf>
    <xf numFmtId="0" fontId="3" fillId="2" borderId="16" xfId="0" applyFont="1" applyFill="1" applyBorder="1" applyAlignment="1">
      <alignment horizontal="center" vertical="center"/>
    </xf>
  </cellXfs>
  <cellStyles count="23">
    <cellStyle name="Excel Built-in Normal 2" xfId="22"/>
    <cellStyle name="KPT04" xfId="7"/>
    <cellStyle name="Millares" xfId="21" builtinId="3"/>
    <cellStyle name="Millares [0] 2" xfId="5"/>
    <cellStyle name="Millares 2" xfId="9"/>
    <cellStyle name="Millares 2 2" xfId="4"/>
    <cellStyle name="Millares 2 2 2" xfId="14"/>
    <cellStyle name="Millares 3" xfId="18"/>
    <cellStyle name="Millares 4" xfId="16"/>
    <cellStyle name="Moneda" xfId="19" builtinId="4"/>
    <cellStyle name="Moneda [0] 2" xfId="20"/>
    <cellStyle name="Moneda 2" xfId="10"/>
    <cellStyle name="Moneda 2 2" xfId="15"/>
    <cellStyle name="Moneda 4" xfId="11"/>
    <cellStyle name="Normal" xfId="0" builtinId="0"/>
    <cellStyle name="Normal 2" xfId="8"/>
    <cellStyle name="Normal 2 2" xfId="17"/>
    <cellStyle name="Normal 2 3" xfId="2"/>
    <cellStyle name="Normal 2 3 2" xfId="13"/>
    <cellStyle name="Normal 3" xfId="6"/>
    <cellStyle name="Normal 7" xfId="12"/>
    <cellStyle name="Porcentaje" xfId="1" builtinId="5"/>
    <cellStyle name="Porcentaje 2 2" xfI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709839</xdr:colOff>
      <xdr:row>0</xdr:row>
      <xdr:rowOff>254000</xdr:rowOff>
    </xdr:from>
    <xdr:to>
      <xdr:col>2</xdr:col>
      <xdr:colOff>511175</xdr:colOff>
      <xdr:row>3</xdr:row>
      <xdr:rowOff>606425</xdr:rowOff>
    </xdr:to>
    <xdr:pic>
      <xdr:nvPicPr>
        <xdr:cNvPr id="2" name="Imagen 1" descr="C:\Users\AUXPLANEACION03\Desktop\Gobernacion_del_quindio.jpg">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9839" y="254000"/>
          <a:ext cx="944336" cy="111442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693964</xdr:colOff>
      <xdr:row>0</xdr:row>
      <xdr:rowOff>127000</xdr:rowOff>
    </xdr:from>
    <xdr:to>
      <xdr:col>2</xdr:col>
      <xdr:colOff>619125</xdr:colOff>
      <xdr:row>4</xdr:row>
      <xdr:rowOff>331192</xdr:rowOff>
    </xdr:to>
    <xdr:pic>
      <xdr:nvPicPr>
        <xdr:cNvPr id="2" name="Imagen 1" descr="C:\Users\AUXPLANEACION03\Desktop\Gobernacion_del_quindio.jpg">
          <a:extLst>
            <a:ext uri="{FF2B5EF4-FFF2-40B4-BE49-F238E27FC236}">
              <a16:creationId xmlns=""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4" y="127000"/>
          <a:ext cx="1068161" cy="1118592"/>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582839</xdr:colOff>
      <xdr:row>0</xdr:row>
      <xdr:rowOff>95250</xdr:rowOff>
    </xdr:from>
    <xdr:to>
      <xdr:col>2</xdr:col>
      <xdr:colOff>344302</xdr:colOff>
      <xdr:row>3</xdr:row>
      <xdr:rowOff>12246</xdr:rowOff>
    </xdr:to>
    <xdr:pic>
      <xdr:nvPicPr>
        <xdr:cNvPr id="2" name="Imagen 1" descr="C:\Users\AUXPLANEACION03\Desktop\Gobernacion_del_quindio.jpg">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2839" y="57150"/>
          <a:ext cx="999713" cy="1050471"/>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693964</xdr:colOff>
      <xdr:row>0</xdr:row>
      <xdr:rowOff>142875</xdr:rowOff>
    </xdr:from>
    <xdr:to>
      <xdr:col>2</xdr:col>
      <xdr:colOff>495300</xdr:colOff>
      <xdr:row>5</xdr:row>
      <xdr:rowOff>76200</xdr:rowOff>
    </xdr:to>
    <xdr:pic>
      <xdr:nvPicPr>
        <xdr:cNvPr id="2" name="Imagen 1" descr="C:\Users\AUXPLANEACION03\Desktop\Gobernacion_del_quindio.jpg">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4" y="142875"/>
          <a:ext cx="944336" cy="114300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836839</xdr:colOff>
      <xdr:row>0</xdr:row>
      <xdr:rowOff>190501</xdr:rowOff>
    </xdr:from>
    <xdr:to>
      <xdr:col>2</xdr:col>
      <xdr:colOff>396875</xdr:colOff>
      <xdr:row>4</xdr:row>
      <xdr:rowOff>285750</xdr:rowOff>
    </xdr:to>
    <xdr:pic>
      <xdr:nvPicPr>
        <xdr:cNvPr id="2" name="Imagen 1" descr="C:\Users\AUXPLANEACION03\Desktop\Gobernacion_del_quindio.jpg">
          <a:extLst>
            <a:ext uri="{FF2B5EF4-FFF2-40B4-BE49-F238E27FC236}">
              <a16:creationId xmlns:a16="http://schemas.microsoft.com/office/drawing/2014/main" xmlns="" id="{00000000-0008-0000-0D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839" y="190501"/>
          <a:ext cx="1045936" cy="1019174"/>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693964</xdr:colOff>
      <xdr:row>0</xdr:row>
      <xdr:rowOff>0</xdr:rowOff>
    </xdr:from>
    <xdr:to>
      <xdr:col>2</xdr:col>
      <xdr:colOff>539750</xdr:colOff>
      <xdr:row>3</xdr:row>
      <xdr:rowOff>174625</xdr:rowOff>
    </xdr:to>
    <xdr:pic>
      <xdr:nvPicPr>
        <xdr:cNvPr id="2" name="Imagen 1" descr="C:\Users\AUXPLANEACION03\Desktop\Gobernacion_del_quindio.jpg">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4" y="0"/>
          <a:ext cx="1236436" cy="974725"/>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662214</xdr:colOff>
      <xdr:row>0</xdr:row>
      <xdr:rowOff>190499</xdr:rowOff>
    </xdr:from>
    <xdr:to>
      <xdr:col>2</xdr:col>
      <xdr:colOff>444500</xdr:colOff>
      <xdr:row>4</xdr:row>
      <xdr:rowOff>206375</xdr:rowOff>
    </xdr:to>
    <xdr:pic>
      <xdr:nvPicPr>
        <xdr:cNvPr id="2" name="Imagen 1" descr="C:\Users\AUXPLANEACION03\Desktop\Gobernacion_del_quindio.jpg">
          <a:extLst>
            <a:ext uri="{FF2B5EF4-FFF2-40B4-BE49-F238E27FC236}">
              <a16:creationId xmlns:a16="http://schemas.microsoft.com/office/drawing/2014/main" xmlns="" id="{00000000-0008-0000-0E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2214" y="190499"/>
          <a:ext cx="925286" cy="96837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598714</xdr:colOff>
      <xdr:row>0</xdr:row>
      <xdr:rowOff>114300</xdr:rowOff>
    </xdr:from>
    <xdr:to>
      <xdr:col>2</xdr:col>
      <xdr:colOff>623248</xdr:colOff>
      <xdr:row>3</xdr:row>
      <xdr:rowOff>238125</xdr:rowOff>
    </xdr:to>
    <xdr:pic>
      <xdr:nvPicPr>
        <xdr:cNvPr id="2" name="Imagen 1" descr="C:\Users\AUXPLANEACION03\Desktop\Gobernacion_del_quindio.jpg">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714" y="114300"/>
          <a:ext cx="959345" cy="10001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693964</xdr:colOff>
      <xdr:row>0</xdr:row>
      <xdr:rowOff>142876</xdr:rowOff>
    </xdr:from>
    <xdr:to>
      <xdr:col>2</xdr:col>
      <xdr:colOff>441739</xdr:colOff>
      <xdr:row>3</xdr:row>
      <xdr:rowOff>138043</xdr:rowOff>
    </xdr:to>
    <xdr:pic>
      <xdr:nvPicPr>
        <xdr:cNvPr id="2" name="Imagen 1" descr="C:\Users\AUXPLANEACION03\Desktop\Gobernacion_del_quindio.jpg">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4" y="142876"/>
          <a:ext cx="890775" cy="738117"/>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519339</xdr:colOff>
      <xdr:row>0</xdr:row>
      <xdr:rowOff>79374</xdr:rowOff>
    </xdr:from>
    <xdr:to>
      <xdr:col>2</xdr:col>
      <xdr:colOff>174625</xdr:colOff>
      <xdr:row>3</xdr:row>
      <xdr:rowOff>174624</xdr:rowOff>
    </xdr:to>
    <xdr:pic>
      <xdr:nvPicPr>
        <xdr:cNvPr id="2" name="Imagen 1" descr="C:\Users\AUXPLANEACION03\Desktop\Gobernacion_del_quindio.jpg">
          <a:extLst>
            <a:ext uri="{FF2B5EF4-FFF2-40B4-BE49-F238E27FC236}">
              <a16:creationId xmlns=""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9339" y="79374"/>
          <a:ext cx="960211" cy="8953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598714</xdr:colOff>
      <xdr:row>0</xdr:row>
      <xdr:rowOff>114300</xdr:rowOff>
    </xdr:from>
    <xdr:to>
      <xdr:col>2</xdr:col>
      <xdr:colOff>428625</xdr:colOff>
      <xdr:row>4</xdr:row>
      <xdr:rowOff>79375</xdr:rowOff>
    </xdr:to>
    <xdr:pic>
      <xdr:nvPicPr>
        <xdr:cNvPr id="2" name="Imagen 1" descr="C:\Users\AUXPLANEACION03\Desktop\Gobernacion_del_quindio.jpg">
          <a:extLst>
            <a:ext uri="{FF2B5EF4-FFF2-40B4-BE49-F238E27FC236}">
              <a16:creationId xmlns:a16="http://schemas.microsoft.com/office/drawing/2014/main" xmlns=""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714" y="114300"/>
          <a:ext cx="972911" cy="9937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693964</xdr:colOff>
      <xdr:row>0</xdr:row>
      <xdr:rowOff>142875</xdr:rowOff>
    </xdr:from>
    <xdr:to>
      <xdr:col>2</xdr:col>
      <xdr:colOff>495300</xdr:colOff>
      <xdr:row>3</xdr:row>
      <xdr:rowOff>219075</xdr:rowOff>
    </xdr:to>
    <xdr:pic>
      <xdr:nvPicPr>
        <xdr:cNvPr id="2" name="Imagen 1" descr="C:\Users\AUXPLANEACION03\Desktop\Gobernacion_del_quindio.jpg">
          <a:extLst>
            <a:ext uri="{FF2B5EF4-FFF2-40B4-BE49-F238E27FC236}">
              <a16:creationId xmlns=""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4" y="142875"/>
          <a:ext cx="944336" cy="1104900"/>
        </a:xfrm>
        <a:prstGeom prst="rect">
          <a:avLst/>
        </a:prstGeom>
        <a:noFill/>
        <a:ln>
          <a:noFill/>
        </a:ln>
      </xdr:spPr>
    </xdr:pic>
    <xdr:clientData/>
  </xdr:twoCellAnchor>
  <xdr:twoCellAnchor editAs="oneCell">
    <xdr:from>
      <xdr:col>0</xdr:col>
      <xdr:colOff>693964</xdr:colOff>
      <xdr:row>0</xdr:row>
      <xdr:rowOff>142875</xdr:rowOff>
    </xdr:from>
    <xdr:to>
      <xdr:col>2</xdr:col>
      <xdr:colOff>495300</xdr:colOff>
      <xdr:row>3</xdr:row>
      <xdr:rowOff>219075</xdr:rowOff>
    </xdr:to>
    <xdr:pic>
      <xdr:nvPicPr>
        <xdr:cNvPr id="3" name="Imagen 2" descr="C:\Users\AUXPLANEACION03\Desktop\Gobernacion_del_quindio.jpg">
          <a:extLst>
            <a:ext uri="{FF2B5EF4-FFF2-40B4-BE49-F238E27FC236}">
              <a16:creationId xmlns="" xmlns:a16="http://schemas.microsoft.com/office/drawing/2014/main" id="{00000000-0008-0000-06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4" y="142875"/>
          <a:ext cx="944336" cy="11049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773338</xdr:colOff>
      <xdr:row>0</xdr:row>
      <xdr:rowOff>174625</xdr:rowOff>
    </xdr:from>
    <xdr:to>
      <xdr:col>2</xdr:col>
      <xdr:colOff>507999</xdr:colOff>
      <xdr:row>3</xdr:row>
      <xdr:rowOff>222250</xdr:rowOff>
    </xdr:to>
    <xdr:pic>
      <xdr:nvPicPr>
        <xdr:cNvPr id="2" name="Imagen 1" descr="C:\Users\AUXPLANEACION03\Desktop\Gobernacion_del_quindio.jpg">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3338" y="174625"/>
          <a:ext cx="877661" cy="107632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725715</xdr:colOff>
      <xdr:row>1</xdr:row>
      <xdr:rowOff>31751</xdr:rowOff>
    </xdr:from>
    <xdr:to>
      <xdr:col>2</xdr:col>
      <xdr:colOff>476250</xdr:colOff>
      <xdr:row>3</xdr:row>
      <xdr:rowOff>206375</xdr:rowOff>
    </xdr:to>
    <xdr:pic>
      <xdr:nvPicPr>
        <xdr:cNvPr id="2" name="Imagen 1" descr="C:\Users\AUXPLANEACION03\Desktop\Gobernacion_del_quindio.jpg">
          <a:extLst>
            <a:ext uri="{FF2B5EF4-FFF2-40B4-BE49-F238E27FC236}">
              <a16:creationId xmlns=""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5715" y="260351"/>
          <a:ext cx="893535" cy="936624"/>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1011464</xdr:colOff>
      <xdr:row>0</xdr:row>
      <xdr:rowOff>127000</xdr:rowOff>
    </xdr:from>
    <xdr:to>
      <xdr:col>1</xdr:col>
      <xdr:colOff>892175</xdr:colOff>
      <xdr:row>3</xdr:row>
      <xdr:rowOff>203200</xdr:rowOff>
    </xdr:to>
    <xdr:pic>
      <xdr:nvPicPr>
        <xdr:cNvPr id="2" name="Imagen 1" descr="C:\Users\AUXPLANEACION03\Desktop\Gobernacion_del_quindio.jpg">
          <a:extLst>
            <a:ext uri="{FF2B5EF4-FFF2-40B4-BE49-F238E27FC236}">
              <a16:creationId xmlns:a16="http://schemas.microsoft.com/office/drawing/2014/main" xmlns=""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1464" y="127000"/>
          <a:ext cx="947511" cy="11049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JANDRA/Dropbox/SEGUIMIENTO%20PLAN%20DE%20ACCION%202020/Seguimiento%20Junio%20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5">
          <cell r="B5">
            <v>1943404</v>
          </cell>
          <cell r="C5">
            <v>1943404</v>
          </cell>
        </row>
        <row r="6">
          <cell r="B6">
            <v>14300000</v>
          </cell>
          <cell r="C6">
            <v>0</v>
          </cell>
        </row>
        <row r="7">
          <cell r="B7">
            <v>33738375</v>
          </cell>
          <cell r="C7">
            <v>25438375</v>
          </cell>
          <cell r="D7">
            <v>141813333.33000001</v>
          </cell>
          <cell r="E7">
            <v>106733333.33333333</v>
          </cell>
          <cell r="H7">
            <v>141813333.33000001</v>
          </cell>
          <cell r="I7">
            <v>106733333.33333333</v>
          </cell>
          <cell r="J7">
            <v>33738375</v>
          </cell>
          <cell r="K7">
            <v>25438375</v>
          </cell>
          <cell r="L7">
            <v>141813333.33000001</v>
          </cell>
          <cell r="M7">
            <v>106733333.33333333</v>
          </cell>
          <cell r="N7">
            <v>33738375</v>
          </cell>
          <cell r="O7">
            <v>25438375</v>
          </cell>
          <cell r="R7">
            <v>33738375</v>
          </cell>
          <cell r="S7">
            <v>25438375</v>
          </cell>
        </row>
        <row r="8">
          <cell r="B8">
            <v>4500000</v>
          </cell>
          <cell r="C8">
            <v>1883450</v>
          </cell>
          <cell r="J8">
            <v>4500000</v>
          </cell>
          <cell r="K8">
            <v>1883450</v>
          </cell>
          <cell r="N8">
            <v>4500000</v>
          </cell>
          <cell r="O8">
            <v>1883450</v>
          </cell>
          <cell r="R8">
            <v>4500000</v>
          </cell>
          <cell r="S8">
            <v>1883450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2060"/>
  </sheetPr>
  <dimension ref="A1:CH30"/>
  <sheetViews>
    <sheetView showGridLines="0" zoomScale="60" zoomScaleNormal="60" workbookViewId="0">
      <selection activeCell="G11" sqref="G11"/>
    </sheetView>
  </sheetViews>
  <sheetFormatPr baseColWidth="10" defaultColWidth="11.42578125" defaultRowHeight="27" customHeight="1" x14ac:dyDescent="0.2"/>
  <cols>
    <col min="1" max="1" width="13.140625" style="88" customWidth="1"/>
    <col min="2" max="2" width="4" style="4" customWidth="1"/>
    <col min="3" max="3" width="16.140625" style="4" customWidth="1"/>
    <col min="4" max="4" width="14.7109375" style="4" customWidth="1"/>
    <col min="5" max="5" width="10" style="4" customWidth="1"/>
    <col min="6" max="6" width="9.85546875" style="4" customWidth="1"/>
    <col min="7" max="7" width="19.28515625" style="4" customWidth="1"/>
    <col min="8" max="8" width="37.7109375" style="125" customWidth="1"/>
    <col min="9" max="9" width="32.5703125" style="3" customWidth="1"/>
    <col min="10" max="11" width="29.140625" style="3" customWidth="1"/>
    <col min="12" max="12" width="37.28515625" style="29" customWidth="1"/>
    <col min="13" max="13" width="22.85546875" style="126" customWidth="1"/>
    <col min="14" max="14" width="45.140625" style="125" customWidth="1"/>
    <col min="15" max="15" width="19" style="127" customWidth="1"/>
    <col min="16" max="16" width="27.5703125" style="137" customWidth="1"/>
    <col min="17" max="17" width="49.42578125" style="125" customWidth="1"/>
    <col min="18" max="18" width="64.140625" style="125" customWidth="1"/>
    <col min="19" max="19" width="46.85546875" style="125" customWidth="1"/>
    <col min="20" max="22" width="27.5703125" style="141" customWidth="1"/>
    <col min="23" max="23" width="21.7109375" style="131" customWidth="1"/>
    <col min="24" max="24" width="27.28515625" style="132" customWidth="1"/>
    <col min="25" max="56" width="10.42578125" style="133" customWidth="1"/>
    <col min="57" max="57" width="22.28515625" style="133" customWidth="1"/>
    <col min="58" max="59" width="25.85546875" style="133" customWidth="1"/>
    <col min="60" max="60" width="22.28515625" style="133" customWidth="1"/>
    <col min="61" max="61" width="21.28515625" style="133" customWidth="1"/>
    <col min="62" max="62" width="22.28515625" style="133" customWidth="1"/>
    <col min="63" max="64" width="16.140625" style="134" customWidth="1"/>
    <col min="65" max="66" width="21.28515625" style="135" customWidth="1"/>
    <col min="67" max="67" width="24" style="136" customWidth="1"/>
    <col min="68" max="16384" width="11.42578125" style="4"/>
  </cols>
  <sheetData>
    <row r="1" spans="1:86" ht="21" customHeight="1" x14ac:dyDescent="0.2">
      <c r="A1" s="1227" t="s">
        <v>0</v>
      </c>
      <c r="B1" s="1227"/>
      <c r="C1" s="1227"/>
      <c r="D1" s="1227"/>
      <c r="E1" s="1227"/>
      <c r="F1" s="1227"/>
      <c r="G1" s="1227"/>
      <c r="H1" s="1227"/>
      <c r="I1" s="1227"/>
      <c r="J1" s="1227"/>
      <c r="K1" s="1227"/>
      <c r="L1" s="1227"/>
      <c r="M1" s="1227"/>
      <c r="N1" s="1227"/>
      <c r="O1" s="1227"/>
      <c r="P1" s="1227"/>
      <c r="Q1" s="1227"/>
      <c r="R1" s="1227"/>
      <c r="S1" s="1227"/>
      <c r="T1" s="1227"/>
      <c r="U1" s="1227"/>
      <c r="V1" s="1227"/>
      <c r="W1" s="1227"/>
      <c r="X1" s="1227"/>
      <c r="Y1" s="1227"/>
      <c r="Z1" s="1227"/>
      <c r="AA1" s="1227"/>
      <c r="AB1" s="1227"/>
      <c r="AC1" s="1227"/>
      <c r="AD1" s="1227"/>
      <c r="AE1" s="1227"/>
      <c r="AF1" s="1227"/>
      <c r="AG1" s="1227"/>
      <c r="AH1" s="1227"/>
      <c r="AI1" s="1227"/>
      <c r="AJ1" s="1227"/>
      <c r="AK1" s="1227"/>
      <c r="AL1" s="1227"/>
      <c r="AM1" s="1227"/>
      <c r="AN1" s="1227"/>
      <c r="AO1" s="1227"/>
      <c r="AP1" s="1227"/>
      <c r="AQ1" s="1227"/>
      <c r="AR1" s="1227"/>
      <c r="AS1" s="1227"/>
      <c r="AT1" s="1227"/>
      <c r="AU1" s="1227"/>
      <c r="AV1" s="1227"/>
      <c r="AW1" s="1227"/>
      <c r="AX1" s="1227"/>
      <c r="AY1" s="1227"/>
      <c r="AZ1" s="1227"/>
      <c r="BA1" s="1227"/>
      <c r="BB1" s="1227"/>
      <c r="BC1" s="1227"/>
      <c r="BD1" s="1227"/>
      <c r="BE1" s="1227"/>
      <c r="BF1" s="1227"/>
      <c r="BG1" s="1227"/>
      <c r="BH1" s="1227"/>
      <c r="BI1" s="1227"/>
      <c r="BJ1" s="1227"/>
      <c r="BK1" s="1227"/>
      <c r="BL1" s="1227"/>
      <c r="BM1" s="1228"/>
      <c r="BN1" s="1" t="s">
        <v>1</v>
      </c>
      <c r="BO1" s="2" t="s">
        <v>2</v>
      </c>
      <c r="BP1" s="3"/>
      <c r="BQ1" s="3"/>
      <c r="BR1" s="3"/>
      <c r="BS1" s="3"/>
      <c r="BT1" s="3"/>
      <c r="BU1" s="3"/>
      <c r="BV1" s="3"/>
      <c r="BW1" s="3"/>
      <c r="BX1" s="3"/>
      <c r="BY1" s="3"/>
      <c r="BZ1" s="3"/>
      <c r="CA1" s="3"/>
      <c r="CB1" s="3"/>
      <c r="CC1" s="3"/>
      <c r="CD1" s="3"/>
      <c r="CE1" s="3"/>
      <c r="CF1" s="3"/>
      <c r="CG1" s="3"/>
      <c r="CH1" s="3"/>
    </row>
    <row r="2" spans="1:86" ht="19.5" customHeight="1" x14ac:dyDescent="0.2">
      <c r="A2" s="1227"/>
      <c r="B2" s="1227"/>
      <c r="C2" s="1227"/>
      <c r="D2" s="1227"/>
      <c r="E2" s="1227"/>
      <c r="F2" s="1227"/>
      <c r="G2" s="1227"/>
      <c r="H2" s="1227"/>
      <c r="I2" s="1227"/>
      <c r="J2" s="1227"/>
      <c r="K2" s="1227"/>
      <c r="L2" s="1227"/>
      <c r="M2" s="1227"/>
      <c r="N2" s="1227"/>
      <c r="O2" s="1227"/>
      <c r="P2" s="1227"/>
      <c r="Q2" s="1227"/>
      <c r="R2" s="1227"/>
      <c r="S2" s="1227"/>
      <c r="T2" s="1227"/>
      <c r="U2" s="1227"/>
      <c r="V2" s="1227"/>
      <c r="W2" s="1227"/>
      <c r="X2" s="1227"/>
      <c r="Y2" s="1227"/>
      <c r="Z2" s="1227"/>
      <c r="AA2" s="1227"/>
      <c r="AB2" s="1227"/>
      <c r="AC2" s="1227"/>
      <c r="AD2" s="1227"/>
      <c r="AE2" s="1227"/>
      <c r="AF2" s="1227"/>
      <c r="AG2" s="1227"/>
      <c r="AH2" s="1227"/>
      <c r="AI2" s="1227"/>
      <c r="AJ2" s="1227"/>
      <c r="AK2" s="1227"/>
      <c r="AL2" s="1227"/>
      <c r="AM2" s="1227"/>
      <c r="AN2" s="1227"/>
      <c r="AO2" s="1227"/>
      <c r="AP2" s="1227"/>
      <c r="AQ2" s="1227"/>
      <c r="AR2" s="1227"/>
      <c r="AS2" s="1227"/>
      <c r="AT2" s="1227"/>
      <c r="AU2" s="1227"/>
      <c r="AV2" s="1227"/>
      <c r="AW2" s="1227"/>
      <c r="AX2" s="1227"/>
      <c r="AY2" s="1227"/>
      <c r="AZ2" s="1227"/>
      <c r="BA2" s="1227"/>
      <c r="BB2" s="1227"/>
      <c r="BC2" s="1227"/>
      <c r="BD2" s="1227"/>
      <c r="BE2" s="1227"/>
      <c r="BF2" s="1227"/>
      <c r="BG2" s="1227"/>
      <c r="BH2" s="1227"/>
      <c r="BI2" s="1227"/>
      <c r="BJ2" s="1227"/>
      <c r="BK2" s="1227"/>
      <c r="BL2" s="1227"/>
      <c r="BM2" s="1228"/>
      <c r="BN2" s="1" t="s">
        <v>3</v>
      </c>
      <c r="BO2" s="2" t="s">
        <v>4</v>
      </c>
      <c r="BP2" s="3"/>
      <c r="BQ2" s="3"/>
      <c r="BR2" s="3"/>
      <c r="BS2" s="3"/>
      <c r="BT2" s="3"/>
      <c r="BU2" s="3"/>
      <c r="BV2" s="3"/>
      <c r="BW2" s="3"/>
      <c r="BX2" s="3"/>
      <c r="BY2" s="3"/>
      <c r="BZ2" s="3"/>
      <c r="CA2" s="3"/>
      <c r="CB2" s="3"/>
      <c r="CC2" s="3"/>
      <c r="CD2" s="3"/>
      <c r="CE2" s="3"/>
      <c r="CF2" s="3"/>
      <c r="CG2" s="3"/>
      <c r="CH2" s="3"/>
    </row>
    <row r="3" spans="1:86" ht="19.5" customHeight="1" x14ac:dyDescent="0.2">
      <c r="A3" s="1227"/>
      <c r="B3" s="1227"/>
      <c r="C3" s="1227"/>
      <c r="D3" s="1227"/>
      <c r="E3" s="1227"/>
      <c r="F3" s="1227"/>
      <c r="G3" s="1227"/>
      <c r="H3" s="1227"/>
      <c r="I3" s="1227"/>
      <c r="J3" s="1227"/>
      <c r="K3" s="1227"/>
      <c r="L3" s="1227"/>
      <c r="M3" s="1227"/>
      <c r="N3" s="1227"/>
      <c r="O3" s="1227"/>
      <c r="P3" s="1227"/>
      <c r="Q3" s="1227"/>
      <c r="R3" s="1227"/>
      <c r="S3" s="1227"/>
      <c r="T3" s="1227"/>
      <c r="U3" s="1227"/>
      <c r="V3" s="1227"/>
      <c r="W3" s="1227"/>
      <c r="X3" s="1227"/>
      <c r="Y3" s="1227"/>
      <c r="Z3" s="1227"/>
      <c r="AA3" s="1227"/>
      <c r="AB3" s="1227"/>
      <c r="AC3" s="1227"/>
      <c r="AD3" s="1227"/>
      <c r="AE3" s="1227"/>
      <c r="AF3" s="1227"/>
      <c r="AG3" s="1227"/>
      <c r="AH3" s="1227"/>
      <c r="AI3" s="1227"/>
      <c r="AJ3" s="1227"/>
      <c r="AK3" s="1227"/>
      <c r="AL3" s="1227"/>
      <c r="AM3" s="1227"/>
      <c r="AN3" s="1227"/>
      <c r="AO3" s="1227"/>
      <c r="AP3" s="1227"/>
      <c r="AQ3" s="1227"/>
      <c r="AR3" s="1227"/>
      <c r="AS3" s="1227"/>
      <c r="AT3" s="1227"/>
      <c r="AU3" s="1227"/>
      <c r="AV3" s="1227"/>
      <c r="AW3" s="1227"/>
      <c r="AX3" s="1227"/>
      <c r="AY3" s="1227"/>
      <c r="AZ3" s="1227"/>
      <c r="BA3" s="1227"/>
      <c r="BB3" s="1227"/>
      <c r="BC3" s="1227"/>
      <c r="BD3" s="1227"/>
      <c r="BE3" s="1227"/>
      <c r="BF3" s="1227"/>
      <c r="BG3" s="1227"/>
      <c r="BH3" s="1227"/>
      <c r="BI3" s="1227"/>
      <c r="BJ3" s="1227"/>
      <c r="BK3" s="1227"/>
      <c r="BL3" s="1227"/>
      <c r="BM3" s="1228"/>
      <c r="BN3" s="1" t="s">
        <v>5</v>
      </c>
      <c r="BO3" s="5" t="s">
        <v>6</v>
      </c>
      <c r="BP3" s="3"/>
      <c r="BQ3" s="3"/>
      <c r="BR3" s="3"/>
      <c r="BS3" s="3"/>
      <c r="BT3" s="3"/>
      <c r="BU3" s="3"/>
      <c r="BV3" s="3"/>
      <c r="BW3" s="3"/>
      <c r="BX3" s="3"/>
      <c r="BY3" s="3"/>
      <c r="BZ3" s="3"/>
      <c r="CA3" s="3"/>
      <c r="CB3" s="3"/>
      <c r="CC3" s="3"/>
      <c r="CD3" s="3"/>
      <c r="CE3" s="3"/>
      <c r="CF3" s="3"/>
      <c r="CG3" s="3"/>
      <c r="CH3" s="3"/>
    </row>
    <row r="4" spans="1:86" ht="56.25" customHeight="1" x14ac:dyDescent="0.2">
      <c r="A4" s="1229"/>
      <c r="B4" s="1229"/>
      <c r="C4" s="1229"/>
      <c r="D4" s="1229"/>
      <c r="E4" s="1229"/>
      <c r="F4" s="1229"/>
      <c r="G4" s="1229"/>
      <c r="H4" s="1229"/>
      <c r="I4" s="1229"/>
      <c r="J4" s="1229"/>
      <c r="K4" s="1229"/>
      <c r="L4" s="1229"/>
      <c r="M4" s="1229"/>
      <c r="N4" s="1229"/>
      <c r="O4" s="1229"/>
      <c r="P4" s="1229"/>
      <c r="Q4" s="1229"/>
      <c r="R4" s="1229"/>
      <c r="S4" s="1229"/>
      <c r="T4" s="1229"/>
      <c r="U4" s="1229"/>
      <c r="V4" s="1229"/>
      <c r="W4" s="1229"/>
      <c r="X4" s="1229"/>
      <c r="Y4" s="1229"/>
      <c r="Z4" s="1229"/>
      <c r="AA4" s="1229"/>
      <c r="AB4" s="1229"/>
      <c r="AC4" s="1229"/>
      <c r="AD4" s="1229"/>
      <c r="AE4" s="1229"/>
      <c r="AF4" s="1229"/>
      <c r="AG4" s="1229"/>
      <c r="AH4" s="1229"/>
      <c r="AI4" s="1229"/>
      <c r="AJ4" s="1229"/>
      <c r="AK4" s="1229"/>
      <c r="AL4" s="1229"/>
      <c r="AM4" s="1229"/>
      <c r="AN4" s="1229"/>
      <c r="AO4" s="1229"/>
      <c r="AP4" s="1229"/>
      <c r="AQ4" s="1229"/>
      <c r="AR4" s="1229"/>
      <c r="AS4" s="1229"/>
      <c r="AT4" s="1229"/>
      <c r="AU4" s="1229"/>
      <c r="AV4" s="1229"/>
      <c r="AW4" s="1229"/>
      <c r="AX4" s="1229"/>
      <c r="AY4" s="1229"/>
      <c r="AZ4" s="1229"/>
      <c r="BA4" s="1229"/>
      <c r="BB4" s="1229"/>
      <c r="BC4" s="1229"/>
      <c r="BD4" s="1229"/>
      <c r="BE4" s="1229"/>
      <c r="BF4" s="1229"/>
      <c r="BG4" s="1229"/>
      <c r="BH4" s="1229"/>
      <c r="BI4" s="1229"/>
      <c r="BJ4" s="1229"/>
      <c r="BK4" s="1229"/>
      <c r="BL4" s="1229"/>
      <c r="BM4" s="1230"/>
      <c r="BN4" s="1" t="s">
        <v>7</v>
      </c>
      <c r="BO4" s="6" t="s">
        <v>8</v>
      </c>
      <c r="BP4" s="3"/>
      <c r="BQ4" s="3"/>
      <c r="BR4" s="3"/>
      <c r="BS4" s="3"/>
      <c r="BT4" s="3"/>
      <c r="BU4" s="3"/>
      <c r="BV4" s="3"/>
      <c r="BW4" s="3"/>
      <c r="BX4" s="3"/>
      <c r="BY4" s="3"/>
      <c r="BZ4" s="3"/>
      <c r="CA4" s="3"/>
      <c r="CB4" s="3"/>
      <c r="CC4" s="3"/>
      <c r="CD4" s="3"/>
      <c r="CE4" s="3"/>
      <c r="CF4" s="3"/>
      <c r="CG4" s="3"/>
      <c r="CH4" s="3"/>
    </row>
    <row r="5" spans="1:86" ht="27" customHeight="1" x14ac:dyDescent="0.2">
      <c r="A5" s="1231" t="s">
        <v>9</v>
      </c>
      <c r="B5" s="1231"/>
      <c r="C5" s="1231"/>
      <c r="D5" s="1231"/>
      <c r="E5" s="1231"/>
      <c r="F5" s="1231"/>
      <c r="G5" s="1231"/>
      <c r="H5" s="1231"/>
      <c r="I5" s="1231"/>
      <c r="J5" s="1231"/>
      <c r="K5" s="7"/>
      <c r="L5" s="1233" t="s">
        <v>10</v>
      </c>
      <c r="M5" s="1233"/>
      <c r="N5" s="1233"/>
      <c r="O5" s="1233"/>
      <c r="P5" s="1233"/>
      <c r="Q5" s="1233"/>
      <c r="R5" s="1233"/>
      <c r="S5" s="1233"/>
      <c r="T5" s="1233"/>
      <c r="U5" s="1233"/>
      <c r="V5" s="1233"/>
      <c r="W5" s="1233"/>
      <c r="X5" s="1233"/>
      <c r="Y5" s="1233"/>
      <c r="Z5" s="1233"/>
      <c r="AA5" s="1233"/>
      <c r="AB5" s="1233"/>
      <c r="AC5" s="1233"/>
      <c r="AD5" s="1233"/>
      <c r="AE5" s="1233"/>
      <c r="AF5" s="1233"/>
      <c r="AG5" s="1233"/>
      <c r="AH5" s="1233"/>
      <c r="AI5" s="1233"/>
      <c r="AJ5" s="1233"/>
      <c r="AK5" s="1233"/>
      <c r="AL5" s="1233"/>
      <c r="AM5" s="1233"/>
      <c r="AN5" s="1233"/>
      <c r="AO5" s="1233"/>
      <c r="AP5" s="1233"/>
      <c r="AQ5" s="1233"/>
      <c r="AR5" s="1233"/>
      <c r="AS5" s="1233"/>
      <c r="AT5" s="1233"/>
      <c r="AU5" s="1233"/>
      <c r="AV5" s="1233"/>
      <c r="AW5" s="1233"/>
      <c r="AX5" s="1233"/>
      <c r="AY5" s="1233"/>
      <c r="AZ5" s="1233"/>
      <c r="BA5" s="1233"/>
      <c r="BB5" s="1233"/>
      <c r="BC5" s="1233"/>
      <c r="BD5" s="1233"/>
      <c r="BE5" s="1233"/>
      <c r="BF5" s="1233"/>
      <c r="BG5" s="1233"/>
      <c r="BH5" s="1233"/>
      <c r="BI5" s="1233"/>
      <c r="BJ5" s="1233"/>
      <c r="BK5" s="1233"/>
      <c r="BL5" s="1233"/>
      <c r="BM5" s="1233"/>
      <c r="BN5" s="1233"/>
      <c r="BO5" s="1233"/>
      <c r="BP5" s="3"/>
      <c r="BQ5" s="3"/>
      <c r="BR5" s="3"/>
      <c r="BS5" s="3"/>
      <c r="BT5" s="3"/>
      <c r="BU5" s="3"/>
      <c r="BV5" s="3"/>
      <c r="BW5" s="3"/>
      <c r="BX5" s="3"/>
      <c r="BY5" s="3"/>
      <c r="BZ5" s="3"/>
      <c r="CA5" s="3"/>
      <c r="CB5" s="3"/>
      <c r="CC5" s="3"/>
      <c r="CD5" s="3"/>
      <c r="CE5" s="3"/>
      <c r="CF5" s="3"/>
      <c r="CG5" s="3"/>
      <c r="CH5" s="3"/>
    </row>
    <row r="6" spans="1:86" ht="27" customHeight="1" thickBot="1" x14ac:dyDescent="0.25">
      <c r="A6" s="1232"/>
      <c r="B6" s="1232"/>
      <c r="C6" s="1232"/>
      <c r="D6" s="1232"/>
      <c r="E6" s="1232"/>
      <c r="F6" s="1232"/>
      <c r="G6" s="1232"/>
      <c r="H6" s="1232"/>
      <c r="I6" s="1232"/>
      <c r="J6" s="1232"/>
      <c r="K6" s="8"/>
      <c r="L6" s="9"/>
      <c r="M6" s="10"/>
      <c r="N6" s="10"/>
      <c r="O6" s="8"/>
      <c r="P6" s="10"/>
      <c r="Q6" s="10"/>
      <c r="R6" s="10"/>
      <c r="S6" s="10"/>
      <c r="T6" s="10"/>
      <c r="U6" s="10"/>
      <c r="V6" s="10"/>
      <c r="W6" s="10"/>
      <c r="X6" s="10"/>
      <c r="Y6" s="1233" t="s">
        <v>11</v>
      </c>
      <c r="Z6" s="1233"/>
      <c r="AA6" s="1233"/>
      <c r="AB6" s="1233"/>
      <c r="AC6" s="1233"/>
      <c r="AD6" s="1233"/>
      <c r="AE6" s="1233"/>
      <c r="AF6" s="1233"/>
      <c r="AG6" s="1233"/>
      <c r="AH6" s="1233"/>
      <c r="AI6" s="1233"/>
      <c r="AJ6" s="1233"/>
      <c r="AK6" s="1233"/>
      <c r="AL6" s="1233"/>
      <c r="AM6" s="1233"/>
      <c r="AN6" s="1233"/>
      <c r="AO6" s="1233"/>
      <c r="AP6" s="1233"/>
      <c r="AQ6" s="1233"/>
      <c r="AR6" s="1233"/>
      <c r="AS6" s="1233"/>
      <c r="AT6" s="1233"/>
      <c r="AU6" s="1233"/>
      <c r="AV6" s="1233"/>
      <c r="AW6" s="1233"/>
      <c r="AX6" s="1233"/>
      <c r="AY6" s="1233"/>
      <c r="AZ6" s="1233"/>
      <c r="BA6" s="1233"/>
      <c r="BB6" s="1233"/>
      <c r="BC6" s="1233"/>
      <c r="BD6" s="1233"/>
      <c r="BE6" s="8"/>
      <c r="BF6" s="8"/>
      <c r="BG6" s="8"/>
      <c r="BH6" s="8"/>
      <c r="BI6" s="8"/>
      <c r="BJ6" s="8"/>
      <c r="BK6" s="8"/>
      <c r="BL6" s="8"/>
      <c r="BM6" s="8"/>
      <c r="BN6" s="8"/>
      <c r="BO6" s="11"/>
      <c r="BP6" s="3"/>
      <c r="BQ6" s="3"/>
      <c r="BR6" s="3"/>
      <c r="BS6" s="3"/>
      <c r="BT6" s="3"/>
      <c r="BU6" s="3"/>
      <c r="BV6" s="3"/>
      <c r="BW6" s="3"/>
      <c r="BX6" s="3"/>
      <c r="BY6" s="3"/>
      <c r="BZ6" s="3"/>
      <c r="CA6" s="3"/>
      <c r="CB6" s="3"/>
      <c r="CC6" s="3"/>
      <c r="CD6" s="3"/>
      <c r="CE6" s="3"/>
      <c r="CF6" s="3"/>
      <c r="CG6" s="3"/>
      <c r="CH6" s="3"/>
    </row>
    <row r="7" spans="1:86" ht="43.5" customHeight="1" x14ac:dyDescent="0.2">
      <c r="A7" s="1234" t="s">
        <v>12</v>
      </c>
      <c r="B7" s="1221" t="s">
        <v>13</v>
      </c>
      <c r="C7" s="1221"/>
      <c r="D7" s="1221" t="s">
        <v>12</v>
      </c>
      <c r="E7" s="1221" t="s">
        <v>14</v>
      </c>
      <c r="F7" s="1221"/>
      <c r="G7" s="1237" t="s">
        <v>12</v>
      </c>
      <c r="H7" s="1221" t="s">
        <v>15</v>
      </c>
      <c r="I7" s="1221" t="s">
        <v>16</v>
      </c>
      <c r="J7" s="1222" t="s">
        <v>17</v>
      </c>
      <c r="K7" s="1223"/>
      <c r="L7" s="1221" t="s">
        <v>18</v>
      </c>
      <c r="M7" s="1221" t="s">
        <v>19</v>
      </c>
      <c r="N7" s="1221" t="s">
        <v>10</v>
      </c>
      <c r="O7" s="1226" t="s">
        <v>20</v>
      </c>
      <c r="P7" s="1253" t="s">
        <v>21</v>
      </c>
      <c r="Q7" s="1221" t="s">
        <v>22</v>
      </c>
      <c r="R7" s="1221" t="s">
        <v>23</v>
      </c>
      <c r="S7" s="1221" t="s">
        <v>24</v>
      </c>
      <c r="T7" s="1253" t="s">
        <v>21</v>
      </c>
      <c r="U7" s="1253" t="s">
        <v>25</v>
      </c>
      <c r="V7" s="1253" t="s">
        <v>26</v>
      </c>
      <c r="W7" s="1264" t="s">
        <v>12</v>
      </c>
      <c r="X7" s="1221" t="s">
        <v>27</v>
      </c>
      <c r="Y7" s="1240" t="s">
        <v>28</v>
      </c>
      <c r="Z7" s="1241"/>
      <c r="AA7" s="1241"/>
      <c r="AB7" s="1242"/>
      <c r="AC7" s="1243" t="s">
        <v>29</v>
      </c>
      <c r="AD7" s="1244"/>
      <c r="AE7" s="1244"/>
      <c r="AF7" s="1244"/>
      <c r="AG7" s="1244"/>
      <c r="AH7" s="1244"/>
      <c r="AI7" s="1244"/>
      <c r="AJ7" s="1245"/>
      <c r="AK7" s="1246" t="s">
        <v>30</v>
      </c>
      <c r="AL7" s="1247"/>
      <c r="AM7" s="1247"/>
      <c r="AN7" s="1247"/>
      <c r="AO7" s="1247"/>
      <c r="AP7" s="1247"/>
      <c r="AQ7" s="1247"/>
      <c r="AR7" s="1247"/>
      <c r="AS7" s="1247"/>
      <c r="AT7" s="1247"/>
      <c r="AU7" s="1247"/>
      <c r="AV7" s="1248"/>
      <c r="AW7" s="1254" t="s">
        <v>31</v>
      </c>
      <c r="AX7" s="1255"/>
      <c r="AY7" s="1255"/>
      <c r="AZ7" s="1255"/>
      <c r="BA7" s="1255"/>
      <c r="BB7" s="1256"/>
      <c r="BC7" s="1257" t="s">
        <v>32</v>
      </c>
      <c r="BD7" s="1258"/>
      <c r="BE7" s="1261" t="s">
        <v>33</v>
      </c>
      <c r="BF7" s="1262"/>
      <c r="BG7" s="1262"/>
      <c r="BH7" s="1262"/>
      <c r="BI7" s="1262"/>
      <c r="BJ7" s="1263"/>
      <c r="BK7" s="1265" t="s">
        <v>34</v>
      </c>
      <c r="BL7" s="1265"/>
      <c r="BM7" s="1266" t="s">
        <v>35</v>
      </c>
      <c r="BN7" s="1267"/>
      <c r="BO7" s="1270" t="s">
        <v>36</v>
      </c>
      <c r="BP7" s="3"/>
      <c r="BQ7" s="3"/>
      <c r="BR7" s="3"/>
      <c r="BS7" s="3"/>
      <c r="BT7" s="3"/>
      <c r="BU7" s="3"/>
      <c r="BV7" s="3"/>
      <c r="BW7" s="3"/>
      <c r="BX7" s="3"/>
      <c r="BY7" s="3"/>
      <c r="BZ7" s="3"/>
      <c r="CA7" s="3"/>
      <c r="CB7" s="3"/>
      <c r="CC7" s="3"/>
      <c r="CD7" s="3"/>
      <c r="CE7" s="3"/>
      <c r="CF7" s="3"/>
    </row>
    <row r="8" spans="1:86" ht="120.75" customHeight="1" x14ac:dyDescent="0.2">
      <c r="A8" s="1235"/>
      <c r="B8" s="1221"/>
      <c r="C8" s="1221"/>
      <c r="D8" s="1221"/>
      <c r="E8" s="1221"/>
      <c r="F8" s="1221"/>
      <c r="G8" s="1238"/>
      <c r="H8" s="1221"/>
      <c r="I8" s="1221"/>
      <c r="J8" s="1224"/>
      <c r="K8" s="1225"/>
      <c r="L8" s="1221"/>
      <c r="M8" s="1221"/>
      <c r="N8" s="1221"/>
      <c r="O8" s="1226"/>
      <c r="P8" s="1253"/>
      <c r="Q8" s="1221"/>
      <c r="R8" s="1221"/>
      <c r="S8" s="1221"/>
      <c r="T8" s="1253"/>
      <c r="U8" s="1253"/>
      <c r="V8" s="1253"/>
      <c r="W8" s="1264"/>
      <c r="X8" s="1221"/>
      <c r="Y8" s="1249" t="s">
        <v>37</v>
      </c>
      <c r="Z8" s="1250"/>
      <c r="AA8" s="1251" t="s">
        <v>38</v>
      </c>
      <c r="AB8" s="1252"/>
      <c r="AC8" s="1249" t="s">
        <v>39</v>
      </c>
      <c r="AD8" s="1250"/>
      <c r="AE8" s="1249" t="s">
        <v>40</v>
      </c>
      <c r="AF8" s="1250"/>
      <c r="AG8" s="1249" t="s">
        <v>41</v>
      </c>
      <c r="AH8" s="1250"/>
      <c r="AI8" s="1249" t="s">
        <v>42</v>
      </c>
      <c r="AJ8" s="1250"/>
      <c r="AK8" s="1249" t="s">
        <v>43</v>
      </c>
      <c r="AL8" s="1250"/>
      <c r="AM8" s="1249" t="s">
        <v>44</v>
      </c>
      <c r="AN8" s="1250"/>
      <c r="AO8" s="1249" t="s">
        <v>45</v>
      </c>
      <c r="AP8" s="1250"/>
      <c r="AQ8" s="1249" t="s">
        <v>46</v>
      </c>
      <c r="AR8" s="1250"/>
      <c r="AS8" s="1249" t="s">
        <v>47</v>
      </c>
      <c r="AT8" s="1250"/>
      <c r="AU8" s="1249" t="s">
        <v>48</v>
      </c>
      <c r="AV8" s="1250"/>
      <c r="AW8" s="1249" t="s">
        <v>49</v>
      </c>
      <c r="AX8" s="1250"/>
      <c r="AY8" s="1249" t="s">
        <v>50</v>
      </c>
      <c r="AZ8" s="1250"/>
      <c r="BA8" s="1302" t="s">
        <v>51</v>
      </c>
      <c r="BB8" s="1302"/>
      <c r="BC8" s="1259"/>
      <c r="BD8" s="1260"/>
      <c r="BE8" s="1274" t="s">
        <v>52</v>
      </c>
      <c r="BF8" s="1273" t="s">
        <v>53</v>
      </c>
      <c r="BG8" s="1274" t="s">
        <v>54</v>
      </c>
      <c r="BH8" s="1275" t="s">
        <v>55</v>
      </c>
      <c r="BI8" s="1274" t="s">
        <v>56</v>
      </c>
      <c r="BJ8" s="1276" t="s">
        <v>57</v>
      </c>
      <c r="BK8" s="1265"/>
      <c r="BL8" s="1265"/>
      <c r="BM8" s="1268"/>
      <c r="BN8" s="1269"/>
      <c r="BO8" s="1271"/>
      <c r="BP8" s="3"/>
      <c r="BQ8" s="3"/>
      <c r="BR8" s="3"/>
      <c r="BS8" s="3"/>
      <c r="BT8" s="3"/>
      <c r="BU8" s="3"/>
      <c r="BV8" s="3"/>
      <c r="BW8" s="3"/>
      <c r="BX8" s="3"/>
      <c r="BY8" s="3"/>
      <c r="BZ8" s="3"/>
      <c r="CA8" s="3"/>
      <c r="CB8" s="3"/>
      <c r="CC8" s="3"/>
      <c r="CD8" s="3"/>
      <c r="CE8" s="3"/>
      <c r="CF8" s="3"/>
    </row>
    <row r="9" spans="1:86" ht="21.75" customHeight="1" x14ac:dyDescent="0.2">
      <c r="A9" s="1236"/>
      <c r="B9" s="1221"/>
      <c r="C9" s="1221"/>
      <c r="D9" s="1221"/>
      <c r="E9" s="1221"/>
      <c r="F9" s="1221"/>
      <c r="G9" s="1239"/>
      <c r="H9" s="1221"/>
      <c r="I9" s="1221"/>
      <c r="J9" s="12" t="s">
        <v>58</v>
      </c>
      <c r="K9" s="12" t="s">
        <v>59</v>
      </c>
      <c r="L9" s="1221"/>
      <c r="M9" s="1221"/>
      <c r="N9" s="1221"/>
      <c r="O9" s="1226"/>
      <c r="P9" s="1253"/>
      <c r="Q9" s="1221"/>
      <c r="R9" s="1221"/>
      <c r="S9" s="1221"/>
      <c r="T9" s="1253"/>
      <c r="U9" s="1253"/>
      <c r="V9" s="1253"/>
      <c r="W9" s="1264"/>
      <c r="X9" s="1221"/>
      <c r="Y9" s="12" t="s">
        <v>58</v>
      </c>
      <c r="Z9" s="12" t="s">
        <v>60</v>
      </c>
      <c r="AA9" s="12" t="s">
        <v>58</v>
      </c>
      <c r="AB9" s="12" t="s">
        <v>60</v>
      </c>
      <c r="AC9" s="12" t="s">
        <v>58</v>
      </c>
      <c r="AD9" s="12" t="s">
        <v>60</v>
      </c>
      <c r="AE9" s="12" t="s">
        <v>58</v>
      </c>
      <c r="AF9" s="12" t="s">
        <v>60</v>
      </c>
      <c r="AG9" s="12" t="s">
        <v>58</v>
      </c>
      <c r="AH9" s="12" t="s">
        <v>60</v>
      </c>
      <c r="AI9" s="12" t="s">
        <v>58</v>
      </c>
      <c r="AJ9" s="12" t="s">
        <v>60</v>
      </c>
      <c r="AK9" s="12" t="s">
        <v>58</v>
      </c>
      <c r="AL9" s="12" t="s">
        <v>60</v>
      </c>
      <c r="AM9" s="12" t="s">
        <v>58</v>
      </c>
      <c r="AN9" s="12" t="s">
        <v>60</v>
      </c>
      <c r="AO9" s="12" t="s">
        <v>58</v>
      </c>
      <c r="AP9" s="12" t="s">
        <v>60</v>
      </c>
      <c r="AQ9" s="12" t="s">
        <v>58</v>
      </c>
      <c r="AR9" s="12" t="s">
        <v>60</v>
      </c>
      <c r="AS9" s="12" t="s">
        <v>58</v>
      </c>
      <c r="AT9" s="12" t="s">
        <v>60</v>
      </c>
      <c r="AU9" s="12" t="s">
        <v>58</v>
      </c>
      <c r="AV9" s="12" t="s">
        <v>60</v>
      </c>
      <c r="AW9" s="12" t="s">
        <v>58</v>
      </c>
      <c r="AX9" s="12" t="s">
        <v>60</v>
      </c>
      <c r="AY9" s="12" t="s">
        <v>58</v>
      </c>
      <c r="AZ9" s="12" t="s">
        <v>60</v>
      </c>
      <c r="BA9" s="12" t="s">
        <v>58</v>
      </c>
      <c r="BB9" s="12" t="s">
        <v>60</v>
      </c>
      <c r="BC9" s="12" t="s">
        <v>58</v>
      </c>
      <c r="BD9" s="12" t="s">
        <v>60</v>
      </c>
      <c r="BE9" s="1274"/>
      <c r="BF9" s="1273"/>
      <c r="BG9" s="1274"/>
      <c r="BH9" s="1275"/>
      <c r="BI9" s="1274"/>
      <c r="BJ9" s="1277"/>
      <c r="BK9" s="13" t="s">
        <v>58</v>
      </c>
      <c r="BL9" s="13" t="s">
        <v>60</v>
      </c>
      <c r="BM9" s="13" t="s">
        <v>58</v>
      </c>
      <c r="BN9" s="13" t="s">
        <v>60</v>
      </c>
      <c r="BO9" s="1272"/>
      <c r="BP9" s="3"/>
      <c r="BQ9" s="3"/>
      <c r="BR9" s="3"/>
      <c r="BS9" s="3"/>
      <c r="BT9" s="3"/>
      <c r="BU9" s="3"/>
      <c r="BV9" s="3"/>
      <c r="BW9" s="3"/>
      <c r="BX9" s="3"/>
      <c r="BY9" s="3"/>
      <c r="BZ9" s="3"/>
      <c r="CA9" s="3"/>
      <c r="CB9" s="3"/>
      <c r="CC9" s="3"/>
      <c r="CD9" s="3"/>
      <c r="CE9" s="3"/>
      <c r="CF9" s="3"/>
    </row>
    <row r="10" spans="1:86" s="3" customFormat="1" ht="27" customHeight="1" x14ac:dyDescent="0.2">
      <c r="A10" s="14"/>
      <c r="B10" s="15"/>
      <c r="C10" s="15"/>
      <c r="D10" s="16">
        <v>42</v>
      </c>
      <c r="E10" s="17" t="s">
        <v>61</v>
      </c>
      <c r="F10" s="18"/>
      <c r="G10" s="18"/>
      <c r="H10" s="19"/>
      <c r="I10" s="18"/>
      <c r="J10" s="18"/>
      <c r="K10" s="18"/>
      <c r="L10" s="20"/>
      <c r="M10" s="21"/>
      <c r="N10" s="19"/>
      <c r="O10" s="22"/>
      <c r="P10" s="23"/>
      <c r="Q10" s="19"/>
      <c r="R10" s="19"/>
      <c r="S10" s="19"/>
      <c r="T10" s="24"/>
      <c r="U10" s="24"/>
      <c r="V10" s="24"/>
      <c r="W10" s="25"/>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6"/>
      <c r="BL10" s="26"/>
      <c r="BM10" s="26"/>
      <c r="BN10" s="26"/>
      <c r="BO10" s="27"/>
    </row>
    <row r="11" spans="1:86" s="3" customFormat="1" ht="225" x14ac:dyDescent="0.2">
      <c r="A11" s="28"/>
      <c r="B11" s="29"/>
      <c r="C11" s="29"/>
      <c r="D11" s="30"/>
      <c r="E11" s="29"/>
      <c r="F11" s="29"/>
      <c r="G11" s="31" t="s">
        <v>62</v>
      </c>
      <c r="H11" s="32" t="s">
        <v>63</v>
      </c>
      <c r="I11" s="33" t="s">
        <v>64</v>
      </c>
      <c r="J11" s="34">
        <v>1</v>
      </c>
      <c r="K11" s="35"/>
      <c r="L11" s="36" t="s">
        <v>65</v>
      </c>
      <c r="M11" s="37" t="s">
        <v>66</v>
      </c>
      <c r="N11" s="32" t="s">
        <v>67</v>
      </c>
      <c r="O11" s="38">
        <f>T11/P11</f>
        <v>1</v>
      </c>
      <c r="P11" s="39">
        <f>T11</f>
        <v>200000000</v>
      </c>
      <c r="Q11" s="40" t="s">
        <v>68</v>
      </c>
      <c r="R11" s="41" t="s">
        <v>69</v>
      </c>
      <c r="S11" s="42" t="str">
        <f>H11</f>
        <v>Fortalecimiento técnico y logístico del  Consejo Territorial de Planeación Departamental, como representantes de la sociedad civil en la planeación  del desarrollo integral  de la entidad territorial</v>
      </c>
      <c r="T11" s="43">
        <v>200000000</v>
      </c>
      <c r="U11" s="43">
        <v>6425000</v>
      </c>
      <c r="V11" s="43">
        <v>6425000</v>
      </c>
      <c r="W11" s="44" t="s">
        <v>70</v>
      </c>
      <c r="X11" s="45" t="s">
        <v>71</v>
      </c>
      <c r="Y11" s="46">
        <v>295972</v>
      </c>
      <c r="Z11" s="46"/>
      <c r="AA11" s="46">
        <v>285580</v>
      </c>
      <c r="AB11" s="46"/>
      <c r="AC11" s="46">
        <v>135545</v>
      </c>
      <c r="AD11" s="46"/>
      <c r="AE11" s="46">
        <v>44254</v>
      </c>
      <c r="AF11" s="46"/>
      <c r="AG11" s="46">
        <v>309146</v>
      </c>
      <c r="AH11" s="46"/>
      <c r="AI11" s="46">
        <v>92607</v>
      </c>
      <c r="AJ11" s="46"/>
      <c r="AK11" s="46">
        <v>2145</v>
      </c>
      <c r="AL11" s="46"/>
      <c r="AM11" s="46">
        <v>12718</v>
      </c>
      <c r="AN11" s="46"/>
      <c r="AO11" s="46">
        <v>26</v>
      </c>
      <c r="AP11" s="46"/>
      <c r="AQ11" s="46">
        <v>37</v>
      </c>
      <c r="AR11" s="46"/>
      <c r="AS11" s="46">
        <v>0</v>
      </c>
      <c r="AT11" s="46"/>
      <c r="AU11" s="46">
        <v>0</v>
      </c>
      <c r="AV11" s="46"/>
      <c r="AW11" s="46">
        <v>44350</v>
      </c>
      <c r="AX11" s="46"/>
      <c r="AY11" s="46">
        <v>21944</v>
      </c>
      <c r="AZ11" s="46"/>
      <c r="BA11" s="46">
        <v>75687</v>
      </c>
      <c r="BB11" s="46"/>
      <c r="BC11" s="46">
        <v>581552</v>
      </c>
      <c r="BD11" s="46"/>
      <c r="BE11" s="46">
        <v>1</v>
      </c>
      <c r="BF11" s="47">
        <f>U11</f>
        <v>6425000</v>
      </c>
      <c r="BG11" s="47">
        <f>V11</f>
        <v>6425000</v>
      </c>
      <c r="BH11" s="38">
        <f>BG11/BF11</f>
        <v>1</v>
      </c>
      <c r="BI11" s="46" t="s">
        <v>72</v>
      </c>
      <c r="BJ11" s="46" t="s">
        <v>73</v>
      </c>
      <c r="BK11" s="48">
        <v>43832</v>
      </c>
      <c r="BL11" s="48">
        <v>43907</v>
      </c>
      <c r="BM11" s="49">
        <v>44195</v>
      </c>
      <c r="BN11" s="49">
        <v>44195</v>
      </c>
      <c r="BO11" s="46" t="s">
        <v>74</v>
      </c>
    </row>
    <row r="12" spans="1:86" s="3" customFormat="1" ht="15.75" x14ac:dyDescent="0.2">
      <c r="A12" s="28"/>
      <c r="B12" s="29"/>
      <c r="C12" s="29"/>
      <c r="D12" s="16">
        <v>42</v>
      </c>
      <c r="E12" s="16" t="s">
        <v>75</v>
      </c>
      <c r="F12" s="50"/>
      <c r="G12" s="51"/>
      <c r="H12" s="52"/>
      <c r="I12" s="52"/>
      <c r="J12" s="53"/>
      <c r="K12" s="53"/>
      <c r="L12" s="50"/>
      <c r="M12" s="51"/>
      <c r="N12" s="52"/>
      <c r="O12" s="54"/>
      <c r="P12" s="55"/>
      <c r="Q12" s="52"/>
      <c r="R12" s="52"/>
      <c r="S12" s="52"/>
      <c r="T12" s="56"/>
      <c r="U12" s="56"/>
      <c r="V12" s="56"/>
      <c r="W12" s="57"/>
      <c r="X12" s="52"/>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9"/>
    </row>
    <row r="13" spans="1:86" s="3" customFormat="1" ht="195" x14ac:dyDescent="0.2">
      <c r="A13" s="28"/>
      <c r="B13" s="29"/>
      <c r="C13" s="29"/>
      <c r="D13" s="60"/>
      <c r="E13" s="61"/>
      <c r="F13" s="62"/>
      <c r="G13" s="31" t="s">
        <v>62</v>
      </c>
      <c r="H13" s="32" t="s">
        <v>76</v>
      </c>
      <c r="I13" s="40" t="s">
        <v>77</v>
      </c>
      <c r="J13" s="34">
        <v>1</v>
      </c>
      <c r="K13" s="34">
        <v>1</v>
      </c>
      <c r="L13" s="34" t="s">
        <v>78</v>
      </c>
      <c r="M13" s="37" t="s">
        <v>79</v>
      </c>
      <c r="N13" s="32" t="s">
        <v>80</v>
      </c>
      <c r="O13" s="38">
        <f t="shared" ref="O13:O14" si="0">T13/P13</f>
        <v>1</v>
      </c>
      <c r="P13" s="63">
        <f>T13</f>
        <v>153233333</v>
      </c>
      <c r="Q13" s="40" t="s">
        <v>81</v>
      </c>
      <c r="R13" s="40" t="s">
        <v>82</v>
      </c>
      <c r="S13" s="32" t="str">
        <f>H13</f>
        <v>Instrumentos de planificación para  el  Ordenamiento y la Gestión Territorial Departamental (Plan de Desarrollo Departamental PDD, Politicas y Directrices de Ordenamiento Territorial, Sistema de Información Geográfica, Catastro Multiproposito  y mecanismos de integración)</v>
      </c>
      <c r="T13" s="63">
        <v>153233333</v>
      </c>
      <c r="U13" s="64">
        <v>153233333</v>
      </c>
      <c r="V13" s="64">
        <v>87733333</v>
      </c>
      <c r="W13" s="44" t="s">
        <v>70</v>
      </c>
      <c r="X13" s="45" t="s">
        <v>71</v>
      </c>
      <c r="Y13" s="46">
        <v>295972</v>
      </c>
      <c r="Z13" s="46"/>
      <c r="AA13" s="46">
        <v>285580</v>
      </c>
      <c r="AB13" s="46"/>
      <c r="AC13" s="46">
        <v>135545</v>
      </c>
      <c r="AD13" s="46"/>
      <c r="AE13" s="46">
        <v>44254</v>
      </c>
      <c r="AF13" s="46"/>
      <c r="AG13" s="46">
        <v>309146</v>
      </c>
      <c r="AH13" s="46"/>
      <c r="AI13" s="46">
        <v>92607</v>
      </c>
      <c r="AJ13" s="46"/>
      <c r="AK13" s="46">
        <v>2145</v>
      </c>
      <c r="AL13" s="46"/>
      <c r="AM13" s="46">
        <v>12718</v>
      </c>
      <c r="AN13" s="46"/>
      <c r="AO13" s="46">
        <v>26</v>
      </c>
      <c r="AP13" s="46"/>
      <c r="AQ13" s="46">
        <v>37</v>
      </c>
      <c r="AR13" s="46"/>
      <c r="AS13" s="46">
        <v>0</v>
      </c>
      <c r="AT13" s="46"/>
      <c r="AU13" s="46">
        <v>0</v>
      </c>
      <c r="AV13" s="46"/>
      <c r="AW13" s="46">
        <v>44350</v>
      </c>
      <c r="AX13" s="46"/>
      <c r="AY13" s="46">
        <v>21944</v>
      </c>
      <c r="AZ13" s="46"/>
      <c r="BA13" s="46">
        <v>75687</v>
      </c>
      <c r="BB13" s="46"/>
      <c r="BC13" s="46">
        <v>581552</v>
      </c>
      <c r="BD13" s="46"/>
      <c r="BE13" s="46">
        <v>9</v>
      </c>
      <c r="BF13" s="47">
        <f t="shared" ref="BF13:BG23" si="1">U13</f>
        <v>153233333</v>
      </c>
      <c r="BG13" s="47">
        <f t="shared" si="1"/>
        <v>87733333</v>
      </c>
      <c r="BH13" s="38">
        <f t="shared" ref="BH13:BH17" si="2">BG13/BF13</f>
        <v>0.5725473125354521</v>
      </c>
      <c r="BI13" s="46" t="s">
        <v>72</v>
      </c>
      <c r="BJ13" s="46" t="s">
        <v>83</v>
      </c>
      <c r="BK13" s="48">
        <v>43832</v>
      </c>
      <c r="BL13" s="48">
        <v>43880</v>
      </c>
      <c r="BM13" s="49">
        <v>44195</v>
      </c>
      <c r="BN13" s="49">
        <v>44195</v>
      </c>
      <c r="BO13" s="46" t="s">
        <v>74</v>
      </c>
    </row>
    <row r="14" spans="1:86" s="3" customFormat="1" ht="152.25" customHeight="1" x14ac:dyDescent="0.2">
      <c r="A14" s="28"/>
      <c r="B14" s="29"/>
      <c r="C14" s="29"/>
      <c r="D14" s="30"/>
      <c r="E14" s="65"/>
      <c r="F14" s="66"/>
      <c r="G14" s="31" t="s">
        <v>62</v>
      </c>
      <c r="H14" s="32" t="s">
        <v>76</v>
      </c>
      <c r="I14" s="40" t="s">
        <v>77</v>
      </c>
      <c r="J14" s="34">
        <v>4</v>
      </c>
      <c r="K14" s="35"/>
      <c r="L14" s="36" t="s">
        <v>84</v>
      </c>
      <c r="M14" s="37" t="s">
        <v>85</v>
      </c>
      <c r="N14" s="32" t="s">
        <v>86</v>
      </c>
      <c r="O14" s="38">
        <f t="shared" si="0"/>
        <v>1</v>
      </c>
      <c r="P14" s="63">
        <f>T14</f>
        <v>155000000</v>
      </c>
      <c r="Q14" s="40" t="s">
        <v>87</v>
      </c>
      <c r="R14" s="40" t="s">
        <v>88</v>
      </c>
      <c r="S14" s="32" t="str">
        <f>H14</f>
        <v>Instrumentos de planificación para  el  Ordenamiento y la Gestión Territorial Departamental (Plan de Desarrollo Departamental PDD, Politicas y Directrices de Ordenamiento Territorial, Sistema de Información Geográfica, Catastro Multiproposito  y mecanismos de integración)</v>
      </c>
      <c r="T14" s="63">
        <v>155000000</v>
      </c>
      <c r="U14" s="64">
        <v>13916667</v>
      </c>
      <c r="V14" s="64">
        <v>13916667</v>
      </c>
      <c r="W14" s="67">
        <v>20</v>
      </c>
      <c r="X14" s="68" t="s">
        <v>89</v>
      </c>
      <c r="Y14" s="46">
        <v>295972</v>
      </c>
      <c r="Z14" s="46"/>
      <c r="AA14" s="46">
        <v>285580</v>
      </c>
      <c r="AB14" s="46"/>
      <c r="AC14" s="46">
        <v>135545</v>
      </c>
      <c r="AD14" s="46"/>
      <c r="AE14" s="46">
        <v>44254</v>
      </c>
      <c r="AF14" s="46"/>
      <c r="AG14" s="46">
        <v>309146</v>
      </c>
      <c r="AH14" s="46"/>
      <c r="AI14" s="46">
        <v>92607</v>
      </c>
      <c r="AJ14" s="46"/>
      <c r="AK14" s="46">
        <v>2145</v>
      </c>
      <c r="AL14" s="46"/>
      <c r="AM14" s="46">
        <v>12718</v>
      </c>
      <c r="AN14" s="46"/>
      <c r="AO14" s="46">
        <v>26</v>
      </c>
      <c r="AP14" s="46"/>
      <c r="AQ14" s="46">
        <v>37</v>
      </c>
      <c r="AR14" s="46"/>
      <c r="AS14" s="46">
        <v>0</v>
      </c>
      <c r="AT14" s="46"/>
      <c r="AU14" s="46">
        <v>0</v>
      </c>
      <c r="AV14" s="46"/>
      <c r="AW14" s="46">
        <v>44350</v>
      </c>
      <c r="AX14" s="46"/>
      <c r="AY14" s="46">
        <v>21944</v>
      </c>
      <c r="AZ14" s="46"/>
      <c r="BA14" s="46">
        <v>75687</v>
      </c>
      <c r="BB14" s="46"/>
      <c r="BC14" s="46">
        <v>581552</v>
      </c>
      <c r="BD14" s="46"/>
      <c r="BE14" s="46">
        <v>2</v>
      </c>
      <c r="BF14" s="47">
        <f t="shared" si="1"/>
        <v>13916667</v>
      </c>
      <c r="BG14" s="47">
        <f t="shared" si="1"/>
        <v>13916667</v>
      </c>
      <c r="BH14" s="38">
        <f t="shared" si="2"/>
        <v>1</v>
      </c>
      <c r="BI14" s="46" t="s">
        <v>72</v>
      </c>
      <c r="BJ14" s="46" t="s">
        <v>73</v>
      </c>
      <c r="BK14" s="48">
        <v>43832</v>
      </c>
      <c r="BL14" s="48">
        <v>43885</v>
      </c>
      <c r="BM14" s="49">
        <v>44195</v>
      </c>
      <c r="BN14" s="49">
        <v>44195</v>
      </c>
      <c r="BO14" s="46" t="s">
        <v>90</v>
      </c>
    </row>
    <row r="15" spans="1:86" s="3" customFormat="1" ht="270" x14ac:dyDescent="0.2">
      <c r="A15" s="28"/>
      <c r="B15" s="29"/>
      <c r="C15" s="29"/>
      <c r="D15" s="30"/>
      <c r="E15" s="65"/>
      <c r="F15" s="66"/>
      <c r="G15" s="31" t="s">
        <v>62</v>
      </c>
      <c r="H15" s="69" t="s">
        <v>91</v>
      </c>
      <c r="I15" s="33" t="s">
        <v>92</v>
      </c>
      <c r="J15" s="34">
        <v>1</v>
      </c>
      <c r="K15" s="35"/>
      <c r="L15" s="34" t="s">
        <v>93</v>
      </c>
      <c r="M15" s="37" t="s">
        <v>94</v>
      </c>
      <c r="N15" s="32" t="s">
        <v>95</v>
      </c>
      <c r="O15" s="38">
        <f>T15/P15</f>
        <v>1</v>
      </c>
      <c r="P15" s="39">
        <f>T15</f>
        <v>40000000</v>
      </c>
      <c r="Q15" s="40" t="s">
        <v>96</v>
      </c>
      <c r="R15" s="40" t="s">
        <v>97</v>
      </c>
      <c r="S15" s="69" t="str">
        <f>H15</f>
        <v>Observatorio económico del Departamento, con procesos de fortalecimiento</v>
      </c>
      <c r="T15" s="43">
        <v>40000000</v>
      </c>
      <c r="U15" s="43">
        <v>6906666</v>
      </c>
      <c r="V15" s="43">
        <v>5600000</v>
      </c>
      <c r="W15" s="44" t="s">
        <v>70</v>
      </c>
      <c r="X15" s="45" t="s">
        <v>71</v>
      </c>
      <c r="Y15" s="46">
        <v>295972</v>
      </c>
      <c r="Z15" s="46"/>
      <c r="AA15" s="46">
        <v>285580</v>
      </c>
      <c r="AB15" s="46"/>
      <c r="AC15" s="46">
        <v>135545</v>
      </c>
      <c r="AD15" s="46"/>
      <c r="AE15" s="46">
        <v>44254</v>
      </c>
      <c r="AF15" s="46"/>
      <c r="AG15" s="46">
        <v>309146</v>
      </c>
      <c r="AH15" s="46"/>
      <c r="AI15" s="46">
        <v>92607</v>
      </c>
      <c r="AJ15" s="46"/>
      <c r="AK15" s="46">
        <v>2145</v>
      </c>
      <c r="AL15" s="46"/>
      <c r="AM15" s="46">
        <v>12718</v>
      </c>
      <c r="AN15" s="46"/>
      <c r="AO15" s="46">
        <v>26</v>
      </c>
      <c r="AP15" s="46"/>
      <c r="AQ15" s="46">
        <v>37</v>
      </c>
      <c r="AR15" s="46"/>
      <c r="AS15" s="46">
        <v>0</v>
      </c>
      <c r="AT15" s="46"/>
      <c r="AU15" s="46">
        <v>0</v>
      </c>
      <c r="AV15" s="46"/>
      <c r="AW15" s="46">
        <v>44350</v>
      </c>
      <c r="AX15" s="46"/>
      <c r="AY15" s="46">
        <v>21944</v>
      </c>
      <c r="AZ15" s="46"/>
      <c r="BA15" s="46">
        <v>75687</v>
      </c>
      <c r="BB15" s="46"/>
      <c r="BC15" s="46">
        <v>581552</v>
      </c>
      <c r="BD15" s="46"/>
      <c r="BE15" s="46">
        <v>1</v>
      </c>
      <c r="BF15" s="47">
        <f t="shared" si="1"/>
        <v>6906666</v>
      </c>
      <c r="BG15" s="47">
        <f t="shared" si="1"/>
        <v>5600000</v>
      </c>
      <c r="BH15" s="38">
        <f t="shared" si="2"/>
        <v>0.81081088907441012</v>
      </c>
      <c r="BI15" s="46" t="s">
        <v>72</v>
      </c>
      <c r="BJ15" s="46" t="s">
        <v>73</v>
      </c>
      <c r="BK15" s="48">
        <v>43832</v>
      </c>
      <c r="BL15" s="48">
        <v>43914</v>
      </c>
      <c r="BM15" s="49">
        <v>44195</v>
      </c>
      <c r="BN15" s="49">
        <v>44195</v>
      </c>
      <c r="BO15" s="46" t="s">
        <v>90</v>
      </c>
    </row>
    <row r="16" spans="1:86" s="3" customFormat="1" ht="238.5" customHeight="1" x14ac:dyDescent="0.2">
      <c r="A16" s="28"/>
      <c r="B16" s="29"/>
      <c r="C16" s="29"/>
      <c r="D16" s="30"/>
      <c r="E16" s="65"/>
      <c r="F16" s="66"/>
      <c r="G16" s="37" t="s">
        <v>62</v>
      </c>
      <c r="H16" s="70" t="s">
        <v>98</v>
      </c>
      <c r="I16" s="33" t="s">
        <v>99</v>
      </c>
      <c r="J16" s="34">
        <v>1</v>
      </c>
      <c r="K16" s="35"/>
      <c r="L16" s="34" t="s">
        <v>100</v>
      </c>
      <c r="M16" s="37" t="s">
        <v>101</v>
      </c>
      <c r="N16" s="32" t="s">
        <v>102</v>
      </c>
      <c r="O16" s="38">
        <f>T16/P16</f>
        <v>1</v>
      </c>
      <c r="P16" s="39">
        <f>T16</f>
        <v>250000000</v>
      </c>
      <c r="Q16" s="71" t="s">
        <v>103</v>
      </c>
      <c r="R16" s="71" t="s">
        <v>104</v>
      </c>
      <c r="S16" s="70" t="str">
        <f>H16</f>
        <v>Banco de Programas y Proyectos del Departamento  con Procesos de fortalecimiento.</v>
      </c>
      <c r="T16" s="43">
        <v>250000000</v>
      </c>
      <c r="U16" s="43">
        <v>61786666</v>
      </c>
      <c r="V16" s="43">
        <v>48200000</v>
      </c>
      <c r="W16" s="44" t="s">
        <v>70</v>
      </c>
      <c r="X16" s="45" t="s">
        <v>71</v>
      </c>
      <c r="Y16" s="46">
        <v>295972</v>
      </c>
      <c r="Z16" s="46"/>
      <c r="AA16" s="46">
        <v>285580</v>
      </c>
      <c r="AB16" s="46"/>
      <c r="AC16" s="46">
        <v>135545</v>
      </c>
      <c r="AD16" s="46"/>
      <c r="AE16" s="46">
        <v>44254</v>
      </c>
      <c r="AF16" s="46"/>
      <c r="AG16" s="46">
        <v>309146</v>
      </c>
      <c r="AH16" s="46"/>
      <c r="AI16" s="46">
        <v>92607</v>
      </c>
      <c r="AJ16" s="46"/>
      <c r="AK16" s="46">
        <v>2145</v>
      </c>
      <c r="AL16" s="46"/>
      <c r="AM16" s="46">
        <v>12718</v>
      </c>
      <c r="AN16" s="46"/>
      <c r="AO16" s="46">
        <v>26</v>
      </c>
      <c r="AP16" s="46"/>
      <c r="AQ16" s="46">
        <v>37</v>
      </c>
      <c r="AR16" s="46"/>
      <c r="AS16" s="46">
        <v>0</v>
      </c>
      <c r="AT16" s="46"/>
      <c r="AU16" s="46">
        <v>0</v>
      </c>
      <c r="AV16" s="46"/>
      <c r="AW16" s="46">
        <v>44350</v>
      </c>
      <c r="AX16" s="46"/>
      <c r="AY16" s="46">
        <v>21944</v>
      </c>
      <c r="AZ16" s="46"/>
      <c r="BA16" s="46">
        <v>75687</v>
      </c>
      <c r="BB16" s="46"/>
      <c r="BC16" s="46">
        <v>581552</v>
      </c>
      <c r="BD16" s="46"/>
      <c r="BE16" s="46">
        <v>5</v>
      </c>
      <c r="BF16" s="47">
        <f t="shared" si="1"/>
        <v>61786666</v>
      </c>
      <c r="BG16" s="47">
        <f t="shared" si="1"/>
        <v>48200000</v>
      </c>
      <c r="BH16" s="38">
        <f t="shared" si="2"/>
        <v>0.78010359063555879</v>
      </c>
      <c r="BI16" s="46" t="s">
        <v>72</v>
      </c>
      <c r="BJ16" s="46" t="s">
        <v>105</v>
      </c>
      <c r="BK16" s="48">
        <v>43832</v>
      </c>
      <c r="BL16" s="48">
        <v>43857</v>
      </c>
      <c r="BM16" s="49">
        <v>44195</v>
      </c>
      <c r="BN16" s="49">
        <v>44195</v>
      </c>
      <c r="BO16" s="46" t="s">
        <v>106</v>
      </c>
    </row>
    <row r="17" spans="1:67" s="3" customFormat="1" ht="82.5" customHeight="1" x14ac:dyDescent="0.2">
      <c r="A17" s="28"/>
      <c r="B17" s="1278"/>
      <c r="C17" s="1278"/>
      <c r="D17" s="30"/>
      <c r="E17" s="1279"/>
      <c r="F17" s="1280"/>
      <c r="G17" s="37" t="s">
        <v>62</v>
      </c>
      <c r="H17" s="32" t="s">
        <v>107</v>
      </c>
      <c r="I17" s="75" t="s">
        <v>108</v>
      </c>
      <c r="J17" s="34">
        <v>12</v>
      </c>
      <c r="K17" s="76"/>
      <c r="L17" s="1281" t="s">
        <v>109</v>
      </c>
      <c r="M17" s="1284" t="s">
        <v>110</v>
      </c>
      <c r="N17" s="1287" t="s">
        <v>111</v>
      </c>
      <c r="O17" s="38">
        <f>T17/$P$17</f>
        <v>0.35653247432953267</v>
      </c>
      <c r="P17" s="1290">
        <f>SUM(T17:T22)</f>
        <v>191637522.30000001</v>
      </c>
      <c r="Q17" s="1293" t="s">
        <v>112</v>
      </c>
      <c r="R17" s="1296" t="s">
        <v>113</v>
      </c>
      <c r="S17" s="1299" t="s">
        <v>107</v>
      </c>
      <c r="T17" s="79">
        <v>68325000</v>
      </c>
      <c r="U17" s="80">
        <v>19500000</v>
      </c>
      <c r="V17" s="80">
        <v>19500000</v>
      </c>
      <c r="W17" s="1303" t="s">
        <v>70</v>
      </c>
      <c r="X17" s="1293" t="s">
        <v>114</v>
      </c>
      <c r="Y17" s="1303">
        <v>295972</v>
      </c>
      <c r="Z17" s="1303"/>
      <c r="AA17" s="1303">
        <v>285580</v>
      </c>
      <c r="AB17" s="1303"/>
      <c r="AC17" s="1303">
        <v>135545</v>
      </c>
      <c r="AD17" s="1303"/>
      <c r="AE17" s="1303">
        <v>44254</v>
      </c>
      <c r="AF17" s="1303"/>
      <c r="AG17" s="1303">
        <v>309146</v>
      </c>
      <c r="AH17" s="1303"/>
      <c r="AI17" s="1303">
        <v>92607</v>
      </c>
      <c r="AJ17" s="1303"/>
      <c r="AK17" s="1303">
        <v>2145</v>
      </c>
      <c r="AL17" s="1303"/>
      <c r="AM17" s="1303">
        <v>12718</v>
      </c>
      <c r="AN17" s="1303"/>
      <c r="AO17" s="1303">
        <v>26</v>
      </c>
      <c r="AP17" s="1303"/>
      <c r="AQ17" s="1303">
        <v>37</v>
      </c>
      <c r="AR17" s="1303"/>
      <c r="AS17" s="1303">
        <v>0</v>
      </c>
      <c r="AT17" s="1303"/>
      <c r="AU17" s="1303">
        <v>0</v>
      </c>
      <c r="AV17" s="1303"/>
      <c r="AW17" s="1303">
        <v>44350</v>
      </c>
      <c r="AX17" s="1303"/>
      <c r="AY17" s="1303">
        <v>21944</v>
      </c>
      <c r="AZ17" s="1303"/>
      <c r="BA17" s="1303">
        <v>75687</v>
      </c>
      <c r="BB17" s="1303"/>
      <c r="BC17" s="1303">
        <v>581552</v>
      </c>
      <c r="BD17" s="1303"/>
      <c r="BE17" s="1303">
        <v>2</v>
      </c>
      <c r="BF17" s="1309">
        <f>SUM(U17:U22)</f>
        <v>28500000</v>
      </c>
      <c r="BG17" s="1309">
        <f>SUM(V17:V22)</f>
        <v>28500000</v>
      </c>
      <c r="BH17" s="1312">
        <f t="shared" si="2"/>
        <v>1</v>
      </c>
      <c r="BI17" s="1303" t="s">
        <v>72</v>
      </c>
      <c r="BJ17" s="1303" t="s">
        <v>115</v>
      </c>
      <c r="BK17" s="1315">
        <v>43832</v>
      </c>
      <c r="BL17" s="1315">
        <v>43886</v>
      </c>
      <c r="BM17" s="1306">
        <v>44195</v>
      </c>
      <c r="BN17" s="1306">
        <v>44195</v>
      </c>
      <c r="BO17" s="1303" t="s">
        <v>106</v>
      </c>
    </row>
    <row r="18" spans="1:67" s="3" customFormat="1" ht="82.5" customHeight="1" x14ac:dyDescent="0.2">
      <c r="A18" s="28"/>
      <c r="B18" s="29"/>
      <c r="C18" s="29"/>
      <c r="D18" s="30"/>
      <c r="E18" s="65"/>
      <c r="F18" s="66"/>
      <c r="G18" s="31" t="s">
        <v>62</v>
      </c>
      <c r="H18" s="70" t="s">
        <v>116</v>
      </c>
      <c r="I18" s="81" t="s">
        <v>108</v>
      </c>
      <c r="J18" s="34">
        <v>12</v>
      </c>
      <c r="K18" s="82"/>
      <c r="L18" s="1282"/>
      <c r="M18" s="1285"/>
      <c r="N18" s="1288"/>
      <c r="O18" s="38">
        <f>T18/$P$17</f>
        <v>7.8272771532279406E-2</v>
      </c>
      <c r="P18" s="1291"/>
      <c r="Q18" s="1294"/>
      <c r="R18" s="1297"/>
      <c r="S18" s="1300"/>
      <c r="T18" s="80">
        <v>15000000</v>
      </c>
      <c r="U18" s="80"/>
      <c r="V18" s="80"/>
      <c r="W18" s="1304"/>
      <c r="X18" s="1294"/>
      <c r="Y18" s="1304"/>
      <c r="Z18" s="1304"/>
      <c r="AA18" s="1304"/>
      <c r="AB18" s="1304"/>
      <c r="AC18" s="1304"/>
      <c r="AD18" s="1304"/>
      <c r="AE18" s="1304"/>
      <c r="AF18" s="1304"/>
      <c r="AG18" s="1304"/>
      <c r="AH18" s="1304"/>
      <c r="AI18" s="1304"/>
      <c r="AJ18" s="1304"/>
      <c r="AK18" s="1304"/>
      <c r="AL18" s="1304"/>
      <c r="AM18" s="1304"/>
      <c r="AN18" s="1304"/>
      <c r="AO18" s="1304"/>
      <c r="AP18" s="1304"/>
      <c r="AQ18" s="1304"/>
      <c r="AR18" s="1304"/>
      <c r="AS18" s="1304"/>
      <c r="AT18" s="1304"/>
      <c r="AU18" s="1304"/>
      <c r="AV18" s="1304"/>
      <c r="AW18" s="1304"/>
      <c r="AX18" s="1304"/>
      <c r="AY18" s="1304"/>
      <c r="AZ18" s="1304"/>
      <c r="BA18" s="1304"/>
      <c r="BB18" s="1304"/>
      <c r="BC18" s="1304"/>
      <c r="BD18" s="1304"/>
      <c r="BE18" s="1304"/>
      <c r="BF18" s="1310"/>
      <c r="BG18" s="1310"/>
      <c r="BH18" s="1313"/>
      <c r="BI18" s="1304"/>
      <c r="BJ18" s="1304"/>
      <c r="BK18" s="1316"/>
      <c r="BL18" s="1316"/>
      <c r="BM18" s="1307"/>
      <c r="BN18" s="1307"/>
      <c r="BO18" s="1304"/>
    </row>
    <row r="19" spans="1:67" s="3" customFormat="1" ht="61.5" customHeight="1" x14ac:dyDescent="0.2">
      <c r="A19" s="28"/>
      <c r="B19" s="1278"/>
      <c r="C19" s="1280"/>
      <c r="D19" s="30"/>
      <c r="E19" s="1279"/>
      <c r="F19" s="1280"/>
      <c r="G19" s="31" t="s">
        <v>62</v>
      </c>
      <c r="H19" s="70" t="s">
        <v>117</v>
      </c>
      <c r="I19" s="85" t="s">
        <v>118</v>
      </c>
      <c r="J19" s="34">
        <v>12</v>
      </c>
      <c r="K19" s="82"/>
      <c r="L19" s="1282"/>
      <c r="M19" s="1285"/>
      <c r="N19" s="1288"/>
      <c r="O19" s="38">
        <f t="shared" ref="O19:O22" si="3">T19/$P$17</f>
        <v>0.12001824968282841</v>
      </c>
      <c r="P19" s="1291"/>
      <c r="Q19" s="1294"/>
      <c r="R19" s="1297"/>
      <c r="S19" s="1300"/>
      <c r="T19" s="86">
        <v>23000000</v>
      </c>
      <c r="U19" s="87"/>
      <c r="V19" s="87"/>
      <c r="W19" s="1304"/>
      <c r="X19" s="1294"/>
      <c r="Y19" s="1304"/>
      <c r="Z19" s="1304"/>
      <c r="AA19" s="1304"/>
      <c r="AB19" s="1304"/>
      <c r="AC19" s="1304"/>
      <c r="AD19" s="1304"/>
      <c r="AE19" s="1304"/>
      <c r="AF19" s="1304"/>
      <c r="AG19" s="1304"/>
      <c r="AH19" s="1304"/>
      <c r="AI19" s="1304"/>
      <c r="AJ19" s="1304"/>
      <c r="AK19" s="1304"/>
      <c r="AL19" s="1304"/>
      <c r="AM19" s="1304"/>
      <c r="AN19" s="1304"/>
      <c r="AO19" s="1304"/>
      <c r="AP19" s="1304"/>
      <c r="AQ19" s="1304"/>
      <c r="AR19" s="1304"/>
      <c r="AS19" s="1304"/>
      <c r="AT19" s="1304"/>
      <c r="AU19" s="1304"/>
      <c r="AV19" s="1304"/>
      <c r="AW19" s="1304"/>
      <c r="AX19" s="1304"/>
      <c r="AY19" s="1304"/>
      <c r="AZ19" s="1304"/>
      <c r="BA19" s="1304"/>
      <c r="BB19" s="1304"/>
      <c r="BC19" s="1304"/>
      <c r="BD19" s="1304"/>
      <c r="BE19" s="1304"/>
      <c r="BF19" s="1310"/>
      <c r="BG19" s="1310"/>
      <c r="BH19" s="1313"/>
      <c r="BI19" s="1304"/>
      <c r="BJ19" s="1304"/>
      <c r="BK19" s="1316"/>
      <c r="BL19" s="1316"/>
      <c r="BM19" s="1307"/>
      <c r="BN19" s="1307"/>
      <c r="BO19" s="1304"/>
    </row>
    <row r="20" spans="1:67" ht="75" x14ac:dyDescent="0.2">
      <c r="C20" s="89"/>
      <c r="D20" s="90"/>
      <c r="E20" s="91"/>
      <c r="F20" s="89"/>
      <c r="G20" s="31" t="s">
        <v>62</v>
      </c>
      <c r="H20" s="32" t="s">
        <v>119</v>
      </c>
      <c r="I20" s="75" t="s">
        <v>118</v>
      </c>
      <c r="J20" s="92">
        <v>12</v>
      </c>
      <c r="K20" s="93"/>
      <c r="L20" s="1282"/>
      <c r="M20" s="1285"/>
      <c r="N20" s="1288"/>
      <c r="O20" s="38">
        <f t="shared" si="3"/>
        <v>0.23481831459683822</v>
      </c>
      <c r="P20" s="1291"/>
      <c r="Q20" s="1294"/>
      <c r="R20" s="1297"/>
      <c r="S20" s="1300"/>
      <c r="T20" s="86">
        <v>45000000</v>
      </c>
      <c r="U20" s="87">
        <v>9000000</v>
      </c>
      <c r="V20" s="87">
        <v>9000000</v>
      </c>
      <c r="W20" s="1304"/>
      <c r="X20" s="1294"/>
      <c r="Y20" s="1304"/>
      <c r="Z20" s="1304"/>
      <c r="AA20" s="1304"/>
      <c r="AB20" s="1304"/>
      <c r="AC20" s="1304"/>
      <c r="AD20" s="1304"/>
      <c r="AE20" s="1304"/>
      <c r="AF20" s="1304"/>
      <c r="AG20" s="1304"/>
      <c r="AH20" s="1304"/>
      <c r="AI20" s="1304"/>
      <c r="AJ20" s="1304"/>
      <c r="AK20" s="1304"/>
      <c r="AL20" s="1304"/>
      <c r="AM20" s="1304"/>
      <c r="AN20" s="1304"/>
      <c r="AO20" s="1304"/>
      <c r="AP20" s="1304"/>
      <c r="AQ20" s="1304"/>
      <c r="AR20" s="1304"/>
      <c r="AS20" s="1304"/>
      <c r="AT20" s="1304"/>
      <c r="AU20" s="1304"/>
      <c r="AV20" s="1304"/>
      <c r="AW20" s="1304"/>
      <c r="AX20" s="1304"/>
      <c r="AY20" s="1304"/>
      <c r="AZ20" s="1304"/>
      <c r="BA20" s="1304"/>
      <c r="BB20" s="1304"/>
      <c r="BC20" s="1304"/>
      <c r="BD20" s="1304"/>
      <c r="BE20" s="1304"/>
      <c r="BF20" s="1310"/>
      <c r="BG20" s="1310"/>
      <c r="BH20" s="1313"/>
      <c r="BI20" s="1304"/>
      <c r="BJ20" s="1304"/>
      <c r="BK20" s="1316"/>
      <c r="BL20" s="1316"/>
      <c r="BM20" s="1307"/>
      <c r="BN20" s="1307"/>
      <c r="BO20" s="1304"/>
    </row>
    <row r="21" spans="1:67" ht="77.25" customHeight="1" x14ac:dyDescent="0.2">
      <c r="C21" s="89"/>
      <c r="D21" s="90"/>
      <c r="E21" s="91"/>
      <c r="F21" s="89"/>
      <c r="G21" s="94" t="s">
        <v>62</v>
      </c>
      <c r="H21" s="32" t="s">
        <v>120</v>
      </c>
      <c r="I21" s="75" t="s">
        <v>118</v>
      </c>
      <c r="J21" s="92">
        <v>12</v>
      </c>
      <c r="K21" s="93"/>
      <c r="L21" s="1282"/>
      <c r="M21" s="1285"/>
      <c r="N21" s="1288"/>
      <c r="O21" s="38">
        <f t="shared" si="3"/>
        <v>0.12001824968282841</v>
      </c>
      <c r="P21" s="1291"/>
      <c r="Q21" s="1294"/>
      <c r="R21" s="1297"/>
      <c r="S21" s="1300"/>
      <c r="T21" s="86">
        <v>23000000</v>
      </c>
      <c r="U21" s="87"/>
      <c r="V21" s="87"/>
      <c r="W21" s="1304"/>
      <c r="X21" s="1294"/>
      <c r="Y21" s="1304"/>
      <c r="Z21" s="1304"/>
      <c r="AA21" s="1304"/>
      <c r="AB21" s="1304"/>
      <c r="AC21" s="1304"/>
      <c r="AD21" s="1304"/>
      <c r="AE21" s="1304"/>
      <c r="AF21" s="1304"/>
      <c r="AG21" s="1304"/>
      <c r="AH21" s="1304"/>
      <c r="AI21" s="1304"/>
      <c r="AJ21" s="1304"/>
      <c r="AK21" s="1304"/>
      <c r="AL21" s="1304"/>
      <c r="AM21" s="1304"/>
      <c r="AN21" s="1304"/>
      <c r="AO21" s="1304"/>
      <c r="AP21" s="1304"/>
      <c r="AQ21" s="1304"/>
      <c r="AR21" s="1304"/>
      <c r="AS21" s="1304"/>
      <c r="AT21" s="1304"/>
      <c r="AU21" s="1304"/>
      <c r="AV21" s="1304"/>
      <c r="AW21" s="1304"/>
      <c r="AX21" s="1304"/>
      <c r="AY21" s="1304"/>
      <c r="AZ21" s="1304"/>
      <c r="BA21" s="1304"/>
      <c r="BB21" s="1304"/>
      <c r="BC21" s="1304"/>
      <c r="BD21" s="1304"/>
      <c r="BE21" s="1304"/>
      <c r="BF21" s="1310"/>
      <c r="BG21" s="1310"/>
      <c r="BH21" s="1313"/>
      <c r="BI21" s="1304"/>
      <c r="BJ21" s="1304"/>
      <c r="BK21" s="1316"/>
      <c r="BL21" s="1316"/>
      <c r="BM21" s="1307"/>
      <c r="BN21" s="1307"/>
      <c r="BO21" s="1304"/>
    </row>
    <row r="22" spans="1:67" ht="60" x14ac:dyDescent="0.2">
      <c r="C22" s="89"/>
      <c r="D22" s="90"/>
      <c r="E22" s="95"/>
      <c r="F22" s="89"/>
      <c r="G22" s="94" t="s">
        <v>62</v>
      </c>
      <c r="H22" s="40" t="s">
        <v>121</v>
      </c>
      <c r="I22" s="75" t="s">
        <v>118</v>
      </c>
      <c r="J22" s="92">
        <v>12</v>
      </c>
      <c r="K22" s="96"/>
      <c r="L22" s="1283"/>
      <c r="M22" s="1286"/>
      <c r="N22" s="1289"/>
      <c r="O22" s="38">
        <f t="shared" si="3"/>
        <v>9.0339940175692829E-2</v>
      </c>
      <c r="P22" s="1292"/>
      <c r="Q22" s="1295"/>
      <c r="R22" s="1298"/>
      <c r="S22" s="1301"/>
      <c r="T22" s="98">
        <v>17312522.300000001</v>
      </c>
      <c r="U22" s="99"/>
      <c r="V22" s="99"/>
      <c r="W22" s="1305"/>
      <c r="X22" s="1295"/>
      <c r="Y22" s="1305"/>
      <c r="Z22" s="1305"/>
      <c r="AA22" s="1305"/>
      <c r="AB22" s="1305"/>
      <c r="AC22" s="1305"/>
      <c r="AD22" s="1305"/>
      <c r="AE22" s="1305"/>
      <c r="AF22" s="1305"/>
      <c r="AG22" s="1305"/>
      <c r="AH22" s="1305"/>
      <c r="AI22" s="1305"/>
      <c r="AJ22" s="1305"/>
      <c r="AK22" s="1305"/>
      <c r="AL22" s="1305"/>
      <c r="AM22" s="1305"/>
      <c r="AN22" s="1305"/>
      <c r="AO22" s="1305"/>
      <c r="AP22" s="1305"/>
      <c r="AQ22" s="1305"/>
      <c r="AR22" s="1305"/>
      <c r="AS22" s="1305"/>
      <c r="AT22" s="1305"/>
      <c r="AU22" s="1305"/>
      <c r="AV22" s="1305"/>
      <c r="AW22" s="1305"/>
      <c r="AX22" s="1305"/>
      <c r="AY22" s="1305"/>
      <c r="AZ22" s="1305"/>
      <c r="BA22" s="1305"/>
      <c r="BB22" s="1305"/>
      <c r="BC22" s="1305"/>
      <c r="BD22" s="1305"/>
      <c r="BE22" s="1305"/>
      <c r="BF22" s="1311"/>
      <c r="BG22" s="1311"/>
      <c r="BH22" s="1314"/>
      <c r="BI22" s="1305"/>
      <c r="BJ22" s="1305"/>
      <c r="BK22" s="1317"/>
      <c r="BL22" s="1317"/>
      <c r="BM22" s="1308"/>
      <c r="BN22" s="1308"/>
      <c r="BO22" s="1305"/>
    </row>
    <row r="23" spans="1:67" ht="90" x14ac:dyDescent="0.2">
      <c r="C23" s="89"/>
      <c r="D23" s="102"/>
      <c r="E23" s="103"/>
      <c r="F23" s="104"/>
      <c r="G23" s="94" t="s">
        <v>62</v>
      </c>
      <c r="H23" s="32" t="s">
        <v>122</v>
      </c>
      <c r="I23" s="33" t="s">
        <v>118</v>
      </c>
      <c r="J23" s="105">
        <v>18</v>
      </c>
      <c r="K23" s="96"/>
      <c r="L23" s="106" t="s">
        <v>123</v>
      </c>
      <c r="M23" s="92" t="s">
        <v>124</v>
      </c>
      <c r="N23" s="32" t="s">
        <v>125</v>
      </c>
      <c r="O23" s="38">
        <f>T23/P23</f>
        <v>1</v>
      </c>
      <c r="P23" s="39">
        <f>T23</f>
        <v>73658667</v>
      </c>
      <c r="Q23" s="107" t="s">
        <v>126</v>
      </c>
      <c r="R23" s="108" t="s">
        <v>127</v>
      </c>
      <c r="S23" s="40" t="str">
        <f>H23</f>
        <v>Implementación de  las Dimensiones y Politicas  del Modelo Integrado de Planeación y de Gestión MIPG</v>
      </c>
      <c r="T23" s="109">
        <v>73658667</v>
      </c>
      <c r="U23" s="109"/>
      <c r="V23" s="109"/>
      <c r="W23" s="110" t="s">
        <v>70</v>
      </c>
      <c r="X23" s="45" t="s">
        <v>114</v>
      </c>
      <c r="Y23" s="111">
        <v>295972</v>
      </c>
      <c r="Z23" s="111"/>
      <c r="AA23" s="111">
        <v>294321</v>
      </c>
      <c r="AB23" s="111"/>
      <c r="AC23" s="111">
        <v>132302</v>
      </c>
      <c r="AD23" s="111"/>
      <c r="AE23" s="111">
        <v>43426</v>
      </c>
      <c r="AF23" s="111"/>
      <c r="AG23" s="111">
        <v>313940</v>
      </c>
      <c r="AH23" s="111"/>
      <c r="AI23" s="111">
        <v>100625</v>
      </c>
      <c r="AJ23" s="111"/>
      <c r="AK23" s="111">
        <v>2145</v>
      </c>
      <c r="AL23" s="111"/>
      <c r="AM23" s="111">
        <v>12718</v>
      </c>
      <c r="AN23" s="111"/>
      <c r="AO23" s="111">
        <v>36</v>
      </c>
      <c r="AP23" s="111"/>
      <c r="AQ23" s="111">
        <v>0</v>
      </c>
      <c r="AR23" s="111"/>
      <c r="AS23" s="111">
        <v>0</v>
      </c>
      <c r="AT23" s="111"/>
      <c r="AU23" s="111">
        <v>0</v>
      </c>
      <c r="AV23" s="111"/>
      <c r="AW23" s="111">
        <v>70</v>
      </c>
      <c r="AX23" s="111"/>
      <c r="AY23" s="111">
        <v>21944</v>
      </c>
      <c r="AZ23" s="111"/>
      <c r="BA23" s="111">
        <v>285</v>
      </c>
      <c r="BB23" s="111"/>
      <c r="BC23" s="111">
        <v>590292</v>
      </c>
      <c r="BD23" s="111"/>
      <c r="BE23" s="111"/>
      <c r="BF23" s="47">
        <f t="shared" si="1"/>
        <v>0</v>
      </c>
      <c r="BG23" s="47">
        <f t="shared" si="1"/>
        <v>0</v>
      </c>
      <c r="BH23" s="38"/>
      <c r="BI23" s="111"/>
      <c r="BJ23" s="111"/>
      <c r="BK23" s="48">
        <v>44013</v>
      </c>
      <c r="BL23" s="48"/>
      <c r="BM23" s="49">
        <v>44195</v>
      </c>
      <c r="BN23" s="49"/>
      <c r="BO23" s="46" t="s">
        <v>106</v>
      </c>
    </row>
    <row r="24" spans="1:67" ht="15.75" x14ac:dyDescent="0.2">
      <c r="A24" s="112"/>
      <c r="B24" s="103"/>
      <c r="C24" s="104"/>
      <c r="D24" s="103"/>
      <c r="E24" s="103"/>
      <c r="F24" s="104"/>
      <c r="G24" s="94"/>
      <c r="H24" s="113"/>
      <c r="I24" s="114"/>
      <c r="J24" s="114"/>
      <c r="K24" s="114"/>
      <c r="L24" s="34"/>
      <c r="M24" s="115"/>
      <c r="N24" s="113"/>
      <c r="O24" s="116"/>
      <c r="P24" s="117">
        <f>SUM(P11:P23)</f>
        <v>1063529522.3</v>
      </c>
      <c r="Q24" s="118"/>
      <c r="R24" s="118"/>
      <c r="S24" s="118"/>
      <c r="T24" s="117">
        <f>SUM(T11:T23)</f>
        <v>1063529522.3</v>
      </c>
      <c r="U24" s="117">
        <f t="shared" ref="U24:V24" si="4">SUM(U11:U23)</f>
        <v>270768332</v>
      </c>
      <c r="V24" s="117">
        <f t="shared" si="4"/>
        <v>190375000</v>
      </c>
      <c r="W24" s="110"/>
      <c r="X24" s="92"/>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20">
        <f t="shared" ref="BE24:BG24" si="5">SUM(BE11:BE23)</f>
        <v>20</v>
      </c>
      <c r="BF24" s="117">
        <f t="shared" si="5"/>
        <v>270768332</v>
      </c>
      <c r="BG24" s="117">
        <f t="shared" si="5"/>
        <v>190375000</v>
      </c>
      <c r="BH24" s="121">
        <f t="shared" ref="BH24" si="6">BG24/BF24</f>
        <v>0.70309182242183332</v>
      </c>
      <c r="BI24" s="119"/>
      <c r="BJ24" s="119"/>
      <c r="BK24" s="122"/>
      <c r="BL24" s="122"/>
      <c r="BM24" s="123"/>
      <c r="BN24" s="123"/>
      <c r="BO24" s="124"/>
    </row>
    <row r="25" spans="1:67" ht="27" customHeight="1" x14ac:dyDescent="0.2">
      <c r="P25" s="128"/>
      <c r="Q25" s="129"/>
      <c r="R25" s="129"/>
      <c r="S25" s="129"/>
      <c r="T25" s="130"/>
      <c r="U25" s="130"/>
      <c r="V25" s="130"/>
    </row>
    <row r="26" spans="1:67" ht="27" customHeight="1" x14ac:dyDescent="0.2">
      <c r="T26" s="138"/>
      <c r="U26" s="138"/>
      <c r="V26" s="138"/>
    </row>
    <row r="27" spans="1:67" ht="63" customHeight="1" x14ac:dyDescent="0.2">
      <c r="C27" s="103"/>
      <c r="D27" s="103"/>
      <c r="E27" s="103"/>
      <c r="F27" s="103"/>
      <c r="G27" s="103"/>
      <c r="H27" s="139"/>
      <c r="T27" s="138"/>
      <c r="U27" s="138"/>
      <c r="V27" s="138"/>
    </row>
    <row r="28" spans="1:67" ht="27" customHeight="1" x14ac:dyDescent="0.25">
      <c r="C28" s="140" t="s">
        <v>128</v>
      </c>
      <c r="D28" s="125"/>
      <c r="H28" s="4"/>
    </row>
    <row r="29" spans="1:67" ht="27" customHeight="1" x14ac:dyDescent="0.25">
      <c r="C29" s="140" t="s">
        <v>129</v>
      </c>
      <c r="D29" s="125"/>
      <c r="H29" s="4"/>
    </row>
    <row r="30" spans="1:67" ht="27" customHeight="1" x14ac:dyDescent="0.2">
      <c r="W30" s="142"/>
    </row>
  </sheetData>
  <sheetProtection password="A60F" sheet="1" objects="1" scenarios="1"/>
  <mergeCells count="111">
    <mergeCell ref="BM17:BM22"/>
    <mergeCell ref="BN17:BN22"/>
    <mergeCell ref="BO17:BO22"/>
    <mergeCell ref="B19:C19"/>
    <mergeCell ref="E19:F19"/>
    <mergeCell ref="BG17:BG22"/>
    <mergeCell ref="BH17:BH22"/>
    <mergeCell ref="BI17:BI22"/>
    <mergeCell ref="BJ17:BJ22"/>
    <mergeCell ref="BK17:BK22"/>
    <mergeCell ref="BL17:BL22"/>
    <mergeCell ref="BA17:BA22"/>
    <mergeCell ref="BB17:BB22"/>
    <mergeCell ref="BC17:BC22"/>
    <mergeCell ref="BD17:BD22"/>
    <mergeCell ref="BE17:BE22"/>
    <mergeCell ref="BF17:BF22"/>
    <mergeCell ref="AU17:AU22"/>
    <mergeCell ref="AV17:AV22"/>
    <mergeCell ref="AW17:AW22"/>
    <mergeCell ref="AX17:AX22"/>
    <mergeCell ref="AY17:AY22"/>
    <mergeCell ref="AZ17:AZ22"/>
    <mergeCell ref="AO17:AO22"/>
    <mergeCell ref="AP17:AP22"/>
    <mergeCell ref="AQ17:AQ22"/>
    <mergeCell ref="AR17:AR22"/>
    <mergeCell ref="AS17:AS22"/>
    <mergeCell ref="AT17:AT22"/>
    <mergeCell ref="AI17:AI22"/>
    <mergeCell ref="AJ17:AJ22"/>
    <mergeCell ref="AK17:AK22"/>
    <mergeCell ref="AL17:AL22"/>
    <mergeCell ref="AM17:AM22"/>
    <mergeCell ref="AN17:AN22"/>
    <mergeCell ref="AC17:AC22"/>
    <mergeCell ref="AD17:AD22"/>
    <mergeCell ref="AE17:AE22"/>
    <mergeCell ref="AF17:AF22"/>
    <mergeCell ref="AG17:AG22"/>
    <mergeCell ref="AH17:AH22"/>
    <mergeCell ref="W17:W22"/>
    <mergeCell ref="X17:X22"/>
    <mergeCell ref="Y17:Y22"/>
    <mergeCell ref="Z17:Z22"/>
    <mergeCell ref="AA17:AA22"/>
    <mergeCell ref="AB17:AB22"/>
    <mergeCell ref="BK7:BL8"/>
    <mergeCell ref="BM7:BN8"/>
    <mergeCell ref="BO7:BO9"/>
    <mergeCell ref="BF8:BF9"/>
    <mergeCell ref="BG8:BG9"/>
    <mergeCell ref="BH8:BH9"/>
    <mergeCell ref="BI8:BI9"/>
    <mergeCell ref="BJ8:BJ9"/>
    <mergeCell ref="B17:C17"/>
    <mergeCell ref="E17:F17"/>
    <mergeCell ref="L17:L22"/>
    <mergeCell ref="M17:M22"/>
    <mergeCell ref="N17:N22"/>
    <mergeCell ref="P17:P22"/>
    <mergeCell ref="Q17:Q22"/>
    <mergeCell ref="R17:R22"/>
    <mergeCell ref="S17:S22"/>
    <mergeCell ref="AS8:AT8"/>
    <mergeCell ref="AU8:AV8"/>
    <mergeCell ref="AW8:AX8"/>
    <mergeCell ref="AY8:AZ8"/>
    <mergeCell ref="BA8:BB8"/>
    <mergeCell ref="BE8:BE9"/>
    <mergeCell ref="AG8:AH8"/>
    <mergeCell ref="P7:P9"/>
    <mergeCell ref="Q7:Q9"/>
    <mergeCell ref="R7:R9"/>
    <mergeCell ref="S7:S9"/>
    <mergeCell ref="T7:T9"/>
    <mergeCell ref="U7:U9"/>
    <mergeCell ref="AW7:BB7"/>
    <mergeCell ref="BC7:BD8"/>
    <mergeCell ref="BE7:BJ7"/>
    <mergeCell ref="AI8:AJ8"/>
    <mergeCell ref="AK8:AL8"/>
    <mergeCell ref="AM8:AN8"/>
    <mergeCell ref="AO8:AP8"/>
    <mergeCell ref="AQ8:AR8"/>
    <mergeCell ref="V7:V9"/>
    <mergeCell ref="W7:W9"/>
    <mergeCell ref="I7:I9"/>
    <mergeCell ref="J7:K8"/>
    <mergeCell ref="L7:L9"/>
    <mergeCell ref="M7:M9"/>
    <mergeCell ref="N7:N9"/>
    <mergeCell ref="O7:O9"/>
    <mergeCell ref="A1:BM4"/>
    <mergeCell ref="A5:J6"/>
    <mergeCell ref="L5:BO5"/>
    <mergeCell ref="Y6:BD6"/>
    <mergeCell ref="A7:A9"/>
    <mergeCell ref="B7:C9"/>
    <mergeCell ref="D7:D9"/>
    <mergeCell ref="E7:F9"/>
    <mergeCell ref="G7:G9"/>
    <mergeCell ref="H7:H9"/>
    <mergeCell ref="X7:X9"/>
    <mergeCell ref="Y7:AB7"/>
    <mergeCell ref="AC7:AJ7"/>
    <mergeCell ref="AK7:AV7"/>
    <mergeCell ref="Y8:Z8"/>
    <mergeCell ref="AA8:AB8"/>
    <mergeCell ref="AC8:AD8"/>
    <mergeCell ref="AE8:AF8"/>
  </mergeCells>
  <pageMargins left="1.1023622047244095" right="0.11811023622047245" top="0.35433070866141736" bottom="0.35433070866141736" header="0.31496062992125984" footer="0.31496062992125984"/>
  <pageSetup paperSize="5" scale="65"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F59"/>
  <sheetViews>
    <sheetView showGridLines="0" zoomScale="60" zoomScaleNormal="60" workbookViewId="0">
      <selection activeCell="O13" sqref="O13"/>
    </sheetView>
  </sheetViews>
  <sheetFormatPr baseColWidth="10" defaultColWidth="11.42578125" defaultRowHeight="27" customHeight="1" x14ac:dyDescent="0.2"/>
  <cols>
    <col min="1" max="1" width="13.140625" style="222" customWidth="1"/>
    <col min="2" max="2" width="4" style="146" customWidth="1"/>
    <col min="3" max="3" width="15.42578125" style="146" customWidth="1"/>
    <col min="4" max="4" width="14.7109375" style="146" customWidth="1"/>
    <col min="5" max="5" width="10" style="146" customWidth="1"/>
    <col min="6" max="6" width="7.7109375" style="146" customWidth="1"/>
    <col min="7" max="7" width="16.85546875" style="346" customWidth="1"/>
    <col min="8" max="8" width="37.140625" style="225" customWidth="1"/>
    <col min="9" max="9" width="39.85546875" style="844" customWidth="1"/>
    <col min="10" max="11" width="21.140625" style="145" customWidth="1"/>
    <col min="12" max="12" width="36.5703125" style="600" customWidth="1"/>
    <col min="13" max="13" width="28.5703125" style="224" customWidth="1"/>
    <col min="14" max="14" width="46.140625" style="225" customWidth="1"/>
    <col min="15" max="15" width="21.42578125" style="845" customWidth="1"/>
    <col min="16" max="16" width="28" style="227" customWidth="1"/>
    <col min="17" max="17" width="39.140625" style="225" customWidth="1"/>
    <col min="18" max="18" width="46.28515625" style="225" customWidth="1"/>
    <col min="19" max="19" width="45.28515625" style="225" customWidth="1"/>
    <col min="20" max="22" width="31.5703125" style="235" customWidth="1"/>
    <col min="23" max="23" width="21.28515625" style="229" customWidth="1"/>
    <col min="24" max="24" width="35.7109375" style="223" customWidth="1"/>
    <col min="25" max="26" width="11.7109375" style="346" hidden="1" customWidth="1"/>
    <col min="27" max="28" width="10.85546875" style="346" hidden="1" customWidth="1"/>
    <col min="29" max="30" width="11.28515625" style="346" hidden="1" customWidth="1"/>
    <col min="31" max="32" width="9.140625" style="346" hidden="1" customWidth="1"/>
    <col min="33" max="34" width="11.7109375" style="346" hidden="1" customWidth="1"/>
    <col min="35" max="54" width="9.140625" style="346" hidden="1" customWidth="1"/>
    <col min="55" max="56" width="14.5703125" style="346" hidden="1" customWidth="1"/>
    <col min="57" max="57" width="22.42578125" style="346" customWidth="1"/>
    <col min="58" max="58" width="26.7109375" style="346" customWidth="1"/>
    <col min="59" max="59" width="28.140625" style="346" customWidth="1"/>
    <col min="60" max="62" width="22.42578125" style="346" customWidth="1"/>
    <col min="63" max="64" width="18.85546875" style="231" customWidth="1"/>
    <col min="65" max="66" width="21.140625" style="232" customWidth="1"/>
    <col min="67" max="67" width="26.85546875" style="233" customWidth="1"/>
    <col min="68" max="16384" width="11.42578125" style="146"/>
  </cols>
  <sheetData>
    <row r="1" spans="1:84" ht="21" customHeight="1" x14ac:dyDescent="0.2">
      <c r="A1" s="1318" t="s">
        <v>682</v>
      </c>
      <c r="B1" s="1318"/>
      <c r="C1" s="1318"/>
      <c r="D1" s="1318"/>
      <c r="E1" s="1318"/>
      <c r="F1" s="1318"/>
      <c r="G1" s="1318"/>
      <c r="H1" s="1318"/>
      <c r="I1" s="1318"/>
      <c r="J1" s="1318"/>
      <c r="K1" s="1318"/>
      <c r="L1" s="1318"/>
      <c r="M1" s="1318"/>
      <c r="N1" s="1318"/>
      <c r="O1" s="1318"/>
      <c r="P1" s="1318"/>
      <c r="Q1" s="1318"/>
      <c r="R1" s="1318"/>
      <c r="S1" s="1318"/>
      <c r="T1" s="1318"/>
      <c r="U1" s="1318"/>
      <c r="V1" s="1318"/>
      <c r="W1" s="1318"/>
      <c r="X1" s="1318"/>
      <c r="Y1" s="1318"/>
      <c r="Z1" s="1318"/>
      <c r="AA1" s="1318"/>
      <c r="AB1" s="1318"/>
      <c r="AC1" s="1318"/>
      <c r="AD1" s="1318"/>
      <c r="AE1" s="1318"/>
      <c r="AF1" s="1318"/>
      <c r="AG1" s="1318"/>
      <c r="AH1" s="1318"/>
      <c r="AI1" s="1318"/>
      <c r="AJ1" s="1318"/>
      <c r="AK1" s="1318"/>
      <c r="AL1" s="1318"/>
      <c r="AM1" s="1318"/>
      <c r="AN1" s="1318"/>
      <c r="AO1" s="1318"/>
      <c r="AP1" s="1318"/>
      <c r="AQ1" s="1318"/>
      <c r="AR1" s="1318"/>
      <c r="AS1" s="1318"/>
      <c r="AT1" s="1318"/>
      <c r="AU1" s="1318"/>
      <c r="AV1" s="1318"/>
      <c r="AW1" s="1318"/>
      <c r="AX1" s="1318"/>
      <c r="AY1" s="1318"/>
      <c r="AZ1" s="1318"/>
      <c r="BA1" s="1318"/>
      <c r="BB1" s="1318"/>
      <c r="BC1" s="1318"/>
      <c r="BD1" s="1318"/>
      <c r="BE1" s="1318"/>
      <c r="BF1" s="1318"/>
      <c r="BG1" s="1318"/>
      <c r="BH1" s="1318"/>
      <c r="BI1" s="1318"/>
      <c r="BJ1" s="1318"/>
      <c r="BK1" s="1318"/>
      <c r="BL1" s="1318"/>
      <c r="BM1" s="1319"/>
      <c r="BN1" s="143" t="s">
        <v>1</v>
      </c>
      <c r="BO1" s="144" t="s">
        <v>131</v>
      </c>
      <c r="BP1" s="145"/>
      <c r="BQ1" s="145"/>
      <c r="BR1" s="145"/>
      <c r="BS1" s="145"/>
      <c r="BT1" s="145"/>
      <c r="BU1" s="145"/>
    </row>
    <row r="2" spans="1:84" ht="17.25" customHeight="1" x14ac:dyDescent="0.2">
      <c r="A2" s="1318"/>
      <c r="B2" s="1318"/>
      <c r="C2" s="1318"/>
      <c r="D2" s="1318"/>
      <c r="E2" s="1318"/>
      <c r="F2" s="1318"/>
      <c r="G2" s="1318"/>
      <c r="H2" s="1318"/>
      <c r="I2" s="1318"/>
      <c r="J2" s="1318"/>
      <c r="K2" s="1318"/>
      <c r="L2" s="1318"/>
      <c r="M2" s="1318"/>
      <c r="N2" s="1318"/>
      <c r="O2" s="1318"/>
      <c r="P2" s="1318"/>
      <c r="Q2" s="1318"/>
      <c r="R2" s="1318"/>
      <c r="S2" s="1318"/>
      <c r="T2" s="1318"/>
      <c r="U2" s="1318"/>
      <c r="V2" s="1318"/>
      <c r="W2" s="1318"/>
      <c r="X2" s="1318"/>
      <c r="Y2" s="1318"/>
      <c r="Z2" s="1318"/>
      <c r="AA2" s="1318"/>
      <c r="AB2" s="1318"/>
      <c r="AC2" s="1318"/>
      <c r="AD2" s="1318"/>
      <c r="AE2" s="1318"/>
      <c r="AF2" s="1318"/>
      <c r="AG2" s="1318"/>
      <c r="AH2" s="1318"/>
      <c r="AI2" s="1318"/>
      <c r="AJ2" s="1318"/>
      <c r="AK2" s="1318"/>
      <c r="AL2" s="1318"/>
      <c r="AM2" s="1318"/>
      <c r="AN2" s="1318"/>
      <c r="AO2" s="1318"/>
      <c r="AP2" s="1318"/>
      <c r="AQ2" s="1318"/>
      <c r="AR2" s="1318"/>
      <c r="AS2" s="1318"/>
      <c r="AT2" s="1318"/>
      <c r="AU2" s="1318"/>
      <c r="AV2" s="1318"/>
      <c r="AW2" s="1318"/>
      <c r="AX2" s="1318"/>
      <c r="AY2" s="1318"/>
      <c r="AZ2" s="1318"/>
      <c r="BA2" s="1318"/>
      <c r="BB2" s="1318"/>
      <c r="BC2" s="1318"/>
      <c r="BD2" s="1318"/>
      <c r="BE2" s="1318"/>
      <c r="BF2" s="1318"/>
      <c r="BG2" s="1318"/>
      <c r="BH2" s="1318"/>
      <c r="BI2" s="1318"/>
      <c r="BJ2" s="1318"/>
      <c r="BK2" s="1318"/>
      <c r="BL2" s="1318"/>
      <c r="BM2" s="1319"/>
      <c r="BN2" s="143" t="s">
        <v>3</v>
      </c>
      <c r="BO2" s="144" t="s">
        <v>4</v>
      </c>
      <c r="BP2" s="145"/>
      <c r="BQ2" s="145"/>
      <c r="BR2" s="145"/>
      <c r="BS2" s="145"/>
      <c r="BT2" s="145"/>
      <c r="BU2" s="145"/>
    </row>
    <row r="3" spans="1:84" ht="15.75" customHeight="1" x14ac:dyDescent="0.2">
      <c r="A3" s="1318"/>
      <c r="B3" s="1318"/>
      <c r="C3" s="1318"/>
      <c r="D3" s="1318"/>
      <c r="E3" s="1318"/>
      <c r="F3" s="1318"/>
      <c r="G3" s="1318"/>
      <c r="H3" s="1318"/>
      <c r="I3" s="1318"/>
      <c r="J3" s="1318"/>
      <c r="K3" s="1318"/>
      <c r="L3" s="1318"/>
      <c r="M3" s="1318"/>
      <c r="N3" s="1318"/>
      <c r="O3" s="1318"/>
      <c r="P3" s="1318"/>
      <c r="Q3" s="1318"/>
      <c r="R3" s="1318"/>
      <c r="S3" s="1318"/>
      <c r="T3" s="1318"/>
      <c r="U3" s="1318"/>
      <c r="V3" s="1318"/>
      <c r="W3" s="1318"/>
      <c r="X3" s="1318"/>
      <c r="Y3" s="1318"/>
      <c r="Z3" s="1318"/>
      <c r="AA3" s="1318"/>
      <c r="AB3" s="1318"/>
      <c r="AC3" s="1318"/>
      <c r="AD3" s="1318"/>
      <c r="AE3" s="1318"/>
      <c r="AF3" s="1318"/>
      <c r="AG3" s="1318"/>
      <c r="AH3" s="1318"/>
      <c r="AI3" s="1318"/>
      <c r="AJ3" s="1318"/>
      <c r="AK3" s="1318"/>
      <c r="AL3" s="1318"/>
      <c r="AM3" s="1318"/>
      <c r="AN3" s="1318"/>
      <c r="AO3" s="1318"/>
      <c r="AP3" s="1318"/>
      <c r="AQ3" s="1318"/>
      <c r="AR3" s="1318"/>
      <c r="AS3" s="1318"/>
      <c r="AT3" s="1318"/>
      <c r="AU3" s="1318"/>
      <c r="AV3" s="1318"/>
      <c r="AW3" s="1318"/>
      <c r="AX3" s="1318"/>
      <c r="AY3" s="1318"/>
      <c r="AZ3" s="1318"/>
      <c r="BA3" s="1318"/>
      <c r="BB3" s="1318"/>
      <c r="BC3" s="1318"/>
      <c r="BD3" s="1318"/>
      <c r="BE3" s="1318"/>
      <c r="BF3" s="1318"/>
      <c r="BG3" s="1318"/>
      <c r="BH3" s="1318"/>
      <c r="BI3" s="1318"/>
      <c r="BJ3" s="1318"/>
      <c r="BK3" s="1318"/>
      <c r="BL3" s="1318"/>
      <c r="BM3" s="1319"/>
      <c r="BN3" s="143" t="s">
        <v>5</v>
      </c>
      <c r="BO3" s="147" t="s">
        <v>6</v>
      </c>
      <c r="BP3" s="145"/>
      <c r="BQ3" s="145"/>
      <c r="BR3" s="145"/>
      <c r="BS3" s="145"/>
      <c r="BT3" s="145"/>
      <c r="BU3" s="145"/>
    </row>
    <row r="4" spans="1:84" ht="18" customHeight="1" x14ac:dyDescent="0.2">
      <c r="A4" s="1320"/>
      <c r="B4" s="1320"/>
      <c r="C4" s="1320"/>
      <c r="D4" s="1320"/>
      <c r="E4" s="1320"/>
      <c r="F4" s="1320"/>
      <c r="G4" s="1320"/>
      <c r="H4" s="1320"/>
      <c r="I4" s="1320"/>
      <c r="J4" s="1320"/>
      <c r="K4" s="1320"/>
      <c r="L4" s="1320"/>
      <c r="M4" s="1320"/>
      <c r="N4" s="1320"/>
      <c r="O4" s="1320"/>
      <c r="P4" s="1320"/>
      <c r="Q4" s="1320"/>
      <c r="R4" s="1320"/>
      <c r="S4" s="1320"/>
      <c r="T4" s="1320"/>
      <c r="U4" s="1320"/>
      <c r="V4" s="1320"/>
      <c r="W4" s="1320"/>
      <c r="X4" s="1320"/>
      <c r="Y4" s="1320"/>
      <c r="Z4" s="1320"/>
      <c r="AA4" s="1320"/>
      <c r="AB4" s="1320"/>
      <c r="AC4" s="1320"/>
      <c r="AD4" s="1320"/>
      <c r="AE4" s="1320"/>
      <c r="AF4" s="1320"/>
      <c r="AG4" s="1320"/>
      <c r="AH4" s="1320"/>
      <c r="AI4" s="1320"/>
      <c r="AJ4" s="1320"/>
      <c r="AK4" s="1320"/>
      <c r="AL4" s="1320"/>
      <c r="AM4" s="1320"/>
      <c r="AN4" s="1320"/>
      <c r="AO4" s="1320"/>
      <c r="AP4" s="1320"/>
      <c r="AQ4" s="1320"/>
      <c r="AR4" s="1320"/>
      <c r="AS4" s="1320"/>
      <c r="AT4" s="1320"/>
      <c r="AU4" s="1320"/>
      <c r="AV4" s="1320"/>
      <c r="AW4" s="1320"/>
      <c r="AX4" s="1320"/>
      <c r="AY4" s="1320"/>
      <c r="AZ4" s="1320"/>
      <c r="BA4" s="1320"/>
      <c r="BB4" s="1320"/>
      <c r="BC4" s="1320"/>
      <c r="BD4" s="1320"/>
      <c r="BE4" s="1320"/>
      <c r="BF4" s="1320"/>
      <c r="BG4" s="1320"/>
      <c r="BH4" s="1320"/>
      <c r="BI4" s="1320"/>
      <c r="BJ4" s="1320"/>
      <c r="BK4" s="1320"/>
      <c r="BL4" s="1320"/>
      <c r="BM4" s="1321"/>
      <c r="BN4" s="143" t="s">
        <v>7</v>
      </c>
      <c r="BO4" s="148" t="s">
        <v>8</v>
      </c>
      <c r="BP4" s="145"/>
      <c r="BQ4" s="145"/>
      <c r="BR4" s="145"/>
      <c r="BS4" s="145"/>
      <c r="BT4" s="145"/>
      <c r="BU4" s="145"/>
    </row>
    <row r="5" spans="1:84" s="4" customFormat="1" ht="27" customHeight="1" x14ac:dyDescent="0.2">
      <c r="A5" s="1231" t="s">
        <v>9</v>
      </c>
      <c r="B5" s="1231"/>
      <c r="C5" s="1231"/>
      <c r="D5" s="1231"/>
      <c r="E5" s="1231"/>
      <c r="F5" s="1231"/>
      <c r="G5" s="1231"/>
      <c r="H5" s="1231"/>
      <c r="I5" s="1231"/>
      <c r="J5" s="1231"/>
      <c r="K5" s="7"/>
      <c r="L5" s="1233" t="s">
        <v>10</v>
      </c>
      <c r="M5" s="1233"/>
      <c r="N5" s="1233"/>
      <c r="O5" s="1233"/>
      <c r="P5" s="1233"/>
      <c r="Q5" s="1233"/>
      <c r="R5" s="1233"/>
      <c r="S5" s="1233"/>
      <c r="T5" s="1233"/>
      <c r="U5" s="1233"/>
      <c r="V5" s="1233"/>
      <c r="W5" s="1233"/>
      <c r="X5" s="1233"/>
      <c r="Y5" s="1233"/>
      <c r="Z5" s="1233"/>
      <c r="AA5" s="1233"/>
      <c r="AB5" s="1233"/>
      <c r="AC5" s="1233"/>
      <c r="AD5" s="1233"/>
      <c r="AE5" s="1233"/>
      <c r="AF5" s="1233"/>
      <c r="AG5" s="1233"/>
      <c r="AH5" s="1233"/>
      <c r="AI5" s="1233"/>
      <c r="AJ5" s="1233"/>
      <c r="AK5" s="1233"/>
      <c r="AL5" s="1233"/>
      <c r="AM5" s="1233"/>
      <c r="AN5" s="1233"/>
      <c r="AO5" s="1233"/>
      <c r="AP5" s="1233"/>
      <c r="AQ5" s="1233"/>
      <c r="AR5" s="1233"/>
      <c r="AS5" s="1233"/>
      <c r="AT5" s="1233"/>
      <c r="AU5" s="1233"/>
      <c r="AV5" s="1233"/>
      <c r="AW5" s="1233"/>
      <c r="AX5" s="1233"/>
      <c r="AY5" s="1233"/>
      <c r="AZ5" s="1233"/>
      <c r="BA5" s="1233"/>
      <c r="BB5" s="1233"/>
      <c r="BC5" s="1233"/>
      <c r="BD5" s="1233"/>
      <c r="BE5" s="1233"/>
      <c r="BF5" s="1233"/>
      <c r="BG5" s="1233"/>
      <c r="BH5" s="1233"/>
      <c r="BI5" s="1233"/>
      <c r="BJ5" s="1233"/>
      <c r="BK5" s="1233"/>
      <c r="BL5" s="1233"/>
      <c r="BM5" s="1233"/>
      <c r="BN5" s="1233"/>
      <c r="BO5" s="1233"/>
      <c r="BP5" s="3"/>
      <c r="BQ5" s="3"/>
      <c r="BR5" s="3"/>
      <c r="BS5" s="3"/>
      <c r="BT5" s="3"/>
      <c r="BU5" s="3"/>
      <c r="BV5" s="3"/>
      <c r="BW5" s="3"/>
      <c r="BX5" s="3"/>
      <c r="BY5" s="3"/>
      <c r="BZ5" s="3"/>
      <c r="CA5" s="3"/>
      <c r="CB5" s="3"/>
      <c r="CC5" s="3"/>
      <c r="CD5" s="3"/>
      <c r="CE5" s="3"/>
      <c r="CF5" s="3"/>
    </row>
    <row r="6" spans="1:84" s="4" customFormat="1" ht="27" customHeight="1" thickBot="1" x14ac:dyDescent="0.25">
      <c r="A6" s="1232"/>
      <c r="B6" s="1232"/>
      <c r="C6" s="1232"/>
      <c r="D6" s="1232"/>
      <c r="E6" s="1232"/>
      <c r="F6" s="1232"/>
      <c r="G6" s="1232"/>
      <c r="H6" s="1232"/>
      <c r="I6" s="1232"/>
      <c r="J6" s="1232"/>
      <c r="K6" s="8"/>
      <c r="L6" s="239"/>
      <c r="M6" s="10"/>
      <c r="N6" s="240"/>
      <c r="O6" s="8"/>
      <c r="P6" s="10"/>
      <c r="Q6" s="240"/>
      <c r="R6" s="240"/>
      <c r="S6" s="240"/>
      <c r="T6" s="10"/>
      <c r="U6" s="10"/>
      <c r="V6" s="10"/>
      <c r="W6" s="10"/>
      <c r="X6" s="10"/>
      <c r="Y6" s="1233" t="s">
        <v>11</v>
      </c>
      <c r="Z6" s="1233"/>
      <c r="AA6" s="1233"/>
      <c r="AB6" s="1233"/>
      <c r="AC6" s="1233"/>
      <c r="AD6" s="1233"/>
      <c r="AE6" s="1233"/>
      <c r="AF6" s="1233"/>
      <c r="AG6" s="1233"/>
      <c r="AH6" s="1233"/>
      <c r="AI6" s="1233"/>
      <c r="AJ6" s="1233"/>
      <c r="AK6" s="1233"/>
      <c r="AL6" s="1233"/>
      <c r="AM6" s="1233"/>
      <c r="AN6" s="1233"/>
      <c r="AO6" s="1233"/>
      <c r="AP6" s="1233"/>
      <c r="AQ6" s="1233"/>
      <c r="AR6" s="1233"/>
      <c r="AS6" s="1233"/>
      <c r="AT6" s="1233"/>
      <c r="AU6" s="1233"/>
      <c r="AV6" s="1233"/>
      <c r="AW6" s="1233"/>
      <c r="AX6" s="1233"/>
      <c r="AY6" s="1233"/>
      <c r="AZ6" s="1233"/>
      <c r="BA6" s="1233"/>
      <c r="BB6" s="1233"/>
      <c r="BC6" s="1233"/>
      <c r="BD6" s="1233"/>
      <c r="BE6" s="8"/>
      <c r="BF6" s="8"/>
      <c r="BG6" s="8"/>
      <c r="BH6" s="8"/>
      <c r="BI6" s="8"/>
      <c r="BJ6" s="8"/>
      <c r="BK6" s="8"/>
      <c r="BL6" s="8"/>
      <c r="BM6" s="8"/>
      <c r="BN6" s="8"/>
      <c r="BO6" s="541"/>
      <c r="BP6" s="3"/>
      <c r="BQ6" s="3"/>
      <c r="BR6" s="3"/>
      <c r="BS6" s="3"/>
      <c r="BT6" s="3"/>
      <c r="BU6" s="3"/>
      <c r="BV6" s="3"/>
      <c r="BW6" s="3"/>
      <c r="BX6" s="3"/>
      <c r="BY6" s="3"/>
      <c r="BZ6" s="3"/>
      <c r="CA6" s="3"/>
      <c r="CB6" s="3"/>
      <c r="CC6" s="3"/>
      <c r="CD6" s="3"/>
      <c r="CE6" s="3"/>
      <c r="CF6" s="3"/>
    </row>
    <row r="7" spans="1:84" s="4" customFormat="1" ht="43.5" customHeight="1" x14ac:dyDescent="0.2">
      <c r="A7" s="1234" t="s">
        <v>12</v>
      </c>
      <c r="B7" s="1221" t="s">
        <v>13</v>
      </c>
      <c r="C7" s="1221"/>
      <c r="D7" s="1221" t="s">
        <v>12</v>
      </c>
      <c r="E7" s="1221" t="s">
        <v>14</v>
      </c>
      <c r="F7" s="1221"/>
      <c r="G7" s="1237" t="s">
        <v>12</v>
      </c>
      <c r="H7" s="1221" t="s">
        <v>15</v>
      </c>
      <c r="I7" s="1221" t="s">
        <v>16</v>
      </c>
      <c r="J7" s="1222" t="s">
        <v>17</v>
      </c>
      <c r="K7" s="1223"/>
      <c r="L7" s="1221" t="s">
        <v>18</v>
      </c>
      <c r="M7" s="1221" t="s">
        <v>19</v>
      </c>
      <c r="N7" s="1221" t="s">
        <v>10</v>
      </c>
      <c r="O7" s="1226" t="s">
        <v>20</v>
      </c>
      <c r="P7" s="1253" t="s">
        <v>21</v>
      </c>
      <c r="Q7" s="1221" t="s">
        <v>22</v>
      </c>
      <c r="R7" s="1221" t="s">
        <v>23</v>
      </c>
      <c r="S7" s="1221" t="s">
        <v>24</v>
      </c>
      <c r="T7" s="1253" t="s">
        <v>21</v>
      </c>
      <c r="U7" s="1253" t="s">
        <v>25</v>
      </c>
      <c r="V7" s="1253" t="s">
        <v>26</v>
      </c>
      <c r="W7" s="1264" t="s">
        <v>12</v>
      </c>
      <c r="X7" s="1221" t="s">
        <v>27</v>
      </c>
      <c r="Y7" s="1240" t="s">
        <v>28</v>
      </c>
      <c r="Z7" s="1241"/>
      <c r="AA7" s="1241"/>
      <c r="AB7" s="1242"/>
      <c r="AC7" s="1243" t="s">
        <v>29</v>
      </c>
      <c r="AD7" s="1244"/>
      <c r="AE7" s="1244"/>
      <c r="AF7" s="1244"/>
      <c r="AG7" s="1244"/>
      <c r="AH7" s="1244"/>
      <c r="AI7" s="1244"/>
      <c r="AJ7" s="1245"/>
      <c r="AK7" s="1246" t="s">
        <v>30</v>
      </c>
      <c r="AL7" s="1247"/>
      <c r="AM7" s="1247"/>
      <c r="AN7" s="1247"/>
      <c r="AO7" s="1247"/>
      <c r="AP7" s="1247"/>
      <c r="AQ7" s="1247"/>
      <c r="AR7" s="1247"/>
      <c r="AS7" s="1247"/>
      <c r="AT7" s="1247"/>
      <c r="AU7" s="1247"/>
      <c r="AV7" s="1248"/>
      <c r="AW7" s="1254" t="s">
        <v>31</v>
      </c>
      <c r="AX7" s="1255"/>
      <c r="AY7" s="1255"/>
      <c r="AZ7" s="1255"/>
      <c r="BA7" s="1255"/>
      <c r="BB7" s="1256"/>
      <c r="BC7" s="1257" t="s">
        <v>32</v>
      </c>
      <c r="BD7" s="1258"/>
      <c r="BE7" s="1261" t="s">
        <v>33</v>
      </c>
      <c r="BF7" s="1262"/>
      <c r="BG7" s="1262"/>
      <c r="BH7" s="1262"/>
      <c r="BI7" s="1262"/>
      <c r="BJ7" s="1263"/>
      <c r="BK7" s="1266" t="s">
        <v>34</v>
      </c>
      <c r="BL7" s="1267"/>
      <c r="BM7" s="1266" t="s">
        <v>35</v>
      </c>
      <c r="BN7" s="1267"/>
      <c r="BO7" s="1270" t="s">
        <v>36</v>
      </c>
      <c r="BP7" s="3"/>
      <c r="BQ7" s="3"/>
      <c r="BR7" s="3"/>
      <c r="BS7" s="3"/>
      <c r="BT7" s="3"/>
      <c r="BU7" s="3"/>
      <c r="BV7" s="3"/>
      <c r="BW7" s="3"/>
      <c r="BX7" s="3"/>
      <c r="BY7" s="3"/>
      <c r="BZ7" s="3"/>
      <c r="CA7" s="3"/>
      <c r="CB7" s="3"/>
      <c r="CC7" s="3"/>
      <c r="CD7" s="3"/>
    </row>
    <row r="8" spans="1:84" s="4" customFormat="1" ht="120.75" customHeight="1" x14ac:dyDescent="0.2">
      <c r="A8" s="1235"/>
      <c r="B8" s="1221"/>
      <c r="C8" s="1221"/>
      <c r="D8" s="1221"/>
      <c r="E8" s="1221"/>
      <c r="F8" s="1221"/>
      <c r="G8" s="1238"/>
      <c r="H8" s="1221"/>
      <c r="I8" s="1221"/>
      <c r="J8" s="1224"/>
      <c r="K8" s="1225"/>
      <c r="L8" s="1221"/>
      <c r="M8" s="1221"/>
      <c r="N8" s="1221"/>
      <c r="O8" s="1226"/>
      <c r="P8" s="1253"/>
      <c r="Q8" s="1221"/>
      <c r="R8" s="1221"/>
      <c r="S8" s="1221"/>
      <c r="T8" s="1253"/>
      <c r="U8" s="1253"/>
      <c r="V8" s="1253"/>
      <c r="W8" s="1264"/>
      <c r="X8" s="1221"/>
      <c r="Y8" s="1249" t="s">
        <v>37</v>
      </c>
      <c r="Z8" s="1250"/>
      <c r="AA8" s="1251" t="s">
        <v>38</v>
      </c>
      <c r="AB8" s="1252"/>
      <c r="AC8" s="1249" t="s">
        <v>39</v>
      </c>
      <c r="AD8" s="1250"/>
      <c r="AE8" s="1249" t="s">
        <v>40</v>
      </c>
      <c r="AF8" s="1250"/>
      <c r="AG8" s="1249" t="s">
        <v>41</v>
      </c>
      <c r="AH8" s="1250"/>
      <c r="AI8" s="1249" t="s">
        <v>42</v>
      </c>
      <c r="AJ8" s="1250"/>
      <c r="AK8" s="1249" t="s">
        <v>43</v>
      </c>
      <c r="AL8" s="1250"/>
      <c r="AM8" s="1249" t="s">
        <v>44</v>
      </c>
      <c r="AN8" s="1250"/>
      <c r="AO8" s="1249" t="s">
        <v>45</v>
      </c>
      <c r="AP8" s="1250"/>
      <c r="AQ8" s="1249" t="s">
        <v>46</v>
      </c>
      <c r="AR8" s="1250"/>
      <c r="AS8" s="1249" t="s">
        <v>47</v>
      </c>
      <c r="AT8" s="1250"/>
      <c r="AU8" s="1249" t="s">
        <v>48</v>
      </c>
      <c r="AV8" s="1250"/>
      <c r="AW8" s="1249" t="s">
        <v>49</v>
      </c>
      <c r="AX8" s="1250"/>
      <c r="AY8" s="1249" t="s">
        <v>50</v>
      </c>
      <c r="AZ8" s="1250"/>
      <c r="BA8" s="1302" t="s">
        <v>51</v>
      </c>
      <c r="BB8" s="1302"/>
      <c r="BC8" s="1259"/>
      <c r="BD8" s="1260"/>
      <c r="BE8" s="1274" t="s">
        <v>52</v>
      </c>
      <c r="BF8" s="1273" t="s">
        <v>53</v>
      </c>
      <c r="BG8" s="1274" t="s">
        <v>54</v>
      </c>
      <c r="BH8" s="1275" t="s">
        <v>55</v>
      </c>
      <c r="BI8" s="1274" t="s">
        <v>56</v>
      </c>
      <c r="BJ8" s="1276" t="s">
        <v>57</v>
      </c>
      <c r="BK8" s="1509"/>
      <c r="BL8" s="1510"/>
      <c r="BM8" s="1268"/>
      <c r="BN8" s="1269"/>
      <c r="BO8" s="1271"/>
      <c r="BP8" s="3"/>
      <c r="BQ8" s="3"/>
      <c r="BR8" s="3"/>
      <c r="BS8" s="3"/>
      <c r="BT8" s="3"/>
      <c r="BU8" s="3"/>
      <c r="BV8" s="3"/>
      <c r="BW8" s="3"/>
      <c r="BX8" s="3"/>
      <c r="BY8" s="3"/>
      <c r="BZ8" s="3"/>
      <c r="CA8" s="3"/>
      <c r="CB8" s="3"/>
      <c r="CC8" s="3"/>
      <c r="CD8" s="3"/>
    </row>
    <row r="9" spans="1:84" s="4" customFormat="1" ht="21.75" customHeight="1" x14ac:dyDescent="0.2">
      <c r="A9" s="1236"/>
      <c r="B9" s="1221"/>
      <c r="C9" s="1221"/>
      <c r="D9" s="1221"/>
      <c r="E9" s="1221"/>
      <c r="F9" s="1221"/>
      <c r="G9" s="1239"/>
      <c r="H9" s="1221"/>
      <c r="I9" s="1221"/>
      <c r="J9" s="12" t="s">
        <v>58</v>
      </c>
      <c r="K9" s="12" t="s">
        <v>59</v>
      </c>
      <c r="L9" s="1221"/>
      <c r="M9" s="1221"/>
      <c r="N9" s="1221"/>
      <c r="O9" s="1226"/>
      <c r="P9" s="1253"/>
      <c r="Q9" s="1221"/>
      <c r="R9" s="1221"/>
      <c r="S9" s="1221"/>
      <c r="T9" s="1253"/>
      <c r="U9" s="1253"/>
      <c r="V9" s="1253"/>
      <c r="W9" s="1264"/>
      <c r="X9" s="1221"/>
      <c r="Y9" s="12" t="s">
        <v>58</v>
      </c>
      <c r="Z9" s="12" t="s">
        <v>60</v>
      </c>
      <c r="AA9" s="12" t="s">
        <v>58</v>
      </c>
      <c r="AB9" s="12" t="s">
        <v>60</v>
      </c>
      <c r="AC9" s="12" t="s">
        <v>58</v>
      </c>
      <c r="AD9" s="12" t="s">
        <v>60</v>
      </c>
      <c r="AE9" s="12" t="s">
        <v>58</v>
      </c>
      <c r="AF9" s="12" t="s">
        <v>60</v>
      </c>
      <c r="AG9" s="12" t="s">
        <v>58</v>
      </c>
      <c r="AH9" s="12" t="s">
        <v>60</v>
      </c>
      <c r="AI9" s="12" t="s">
        <v>58</v>
      </c>
      <c r="AJ9" s="12" t="s">
        <v>60</v>
      </c>
      <c r="AK9" s="12" t="s">
        <v>58</v>
      </c>
      <c r="AL9" s="12" t="s">
        <v>60</v>
      </c>
      <c r="AM9" s="12" t="s">
        <v>58</v>
      </c>
      <c r="AN9" s="12" t="s">
        <v>60</v>
      </c>
      <c r="AO9" s="12" t="s">
        <v>58</v>
      </c>
      <c r="AP9" s="12" t="s">
        <v>60</v>
      </c>
      <c r="AQ9" s="12" t="s">
        <v>58</v>
      </c>
      <c r="AR9" s="12" t="s">
        <v>60</v>
      </c>
      <c r="AS9" s="12" t="s">
        <v>58</v>
      </c>
      <c r="AT9" s="12" t="s">
        <v>60</v>
      </c>
      <c r="AU9" s="12" t="s">
        <v>58</v>
      </c>
      <c r="AV9" s="12" t="s">
        <v>60</v>
      </c>
      <c r="AW9" s="12" t="s">
        <v>58</v>
      </c>
      <c r="AX9" s="12" t="s">
        <v>60</v>
      </c>
      <c r="AY9" s="12" t="s">
        <v>58</v>
      </c>
      <c r="AZ9" s="12" t="s">
        <v>60</v>
      </c>
      <c r="BA9" s="12" t="s">
        <v>58</v>
      </c>
      <c r="BB9" s="12" t="s">
        <v>60</v>
      </c>
      <c r="BC9" s="12" t="s">
        <v>58</v>
      </c>
      <c r="BD9" s="12" t="s">
        <v>60</v>
      </c>
      <c r="BE9" s="1274"/>
      <c r="BF9" s="1273"/>
      <c r="BG9" s="1274"/>
      <c r="BH9" s="1275"/>
      <c r="BI9" s="1274"/>
      <c r="BJ9" s="1277"/>
      <c r="BK9" s="13" t="s">
        <v>58</v>
      </c>
      <c r="BL9" s="13" t="s">
        <v>60</v>
      </c>
      <c r="BM9" s="13" t="s">
        <v>58</v>
      </c>
      <c r="BN9" s="13" t="s">
        <v>60</v>
      </c>
      <c r="BO9" s="1272"/>
      <c r="BP9" s="3"/>
      <c r="BQ9" s="3"/>
      <c r="BR9" s="3"/>
      <c r="BS9" s="3"/>
      <c r="BT9" s="3"/>
      <c r="BU9" s="3"/>
      <c r="BV9" s="3"/>
      <c r="BW9" s="3"/>
      <c r="BX9" s="3"/>
      <c r="BY9" s="3"/>
      <c r="BZ9" s="3"/>
      <c r="CA9" s="3"/>
      <c r="CB9" s="3"/>
      <c r="CC9" s="3"/>
      <c r="CD9" s="3"/>
    </row>
    <row r="10" spans="1:84" s="4" customFormat="1" ht="23.25" customHeight="1" x14ac:dyDescent="0.2">
      <c r="A10" s="691">
        <v>1</v>
      </c>
      <c r="B10" s="472" t="s">
        <v>683</v>
      </c>
      <c r="C10" s="692"/>
      <c r="D10" s="307"/>
      <c r="E10" s="693"/>
      <c r="F10" s="693"/>
      <c r="G10" s="693"/>
      <c r="H10" s="693"/>
      <c r="I10" s="694"/>
      <c r="J10" s="693"/>
      <c r="K10" s="693"/>
      <c r="L10" s="695"/>
      <c r="M10" s="693"/>
      <c r="N10" s="694"/>
      <c r="O10" s="696"/>
      <c r="P10" s="693"/>
      <c r="Q10" s="693"/>
      <c r="R10" s="693"/>
      <c r="S10" s="694"/>
      <c r="T10" s="693"/>
      <c r="U10" s="693"/>
      <c r="V10" s="693"/>
      <c r="W10" s="693"/>
      <c r="X10" s="697"/>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3"/>
      <c r="AY10" s="693"/>
      <c r="AZ10" s="693"/>
      <c r="BA10" s="693"/>
      <c r="BB10" s="693"/>
      <c r="BC10" s="693"/>
      <c r="BD10" s="693"/>
      <c r="BE10" s="693"/>
      <c r="BF10" s="693"/>
      <c r="BG10" s="693"/>
      <c r="BH10" s="693"/>
      <c r="BI10" s="693"/>
      <c r="BJ10" s="693"/>
      <c r="BK10" s="693"/>
      <c r="BL10" s="693"/>
      <c r="BM10" s="693"/>
      <c r="BN10" s="693"/>
      <c r="BO10" s="693"/>
    </row>
    <row r="11" spans="1:84" s="4" customFormat="1" ht="23.25" customHeight="1" x14ac:dyDescent="0.2">
      <c r="A11" s="698"/>
      <c r="B11" s="698"/>
      <c r="C11" s="698"/>
      <c r="D11" s="493">
        <v>12</v>
      </c>
      <c r="E11" s="256" t="s">
        <v>684</v>
      </c>
      <c r="F11" s="259"/>
      <c r="G11" s="401"/>
      <c r="H11" s="259"/>
      <c r="I11" s="699"/>
      <c r="J11" s="261"/>
      <c r="K11" s="261"/>
      <c r="L11" s="281"/>
      <c r="M11" s="401"/>
      <c r="N11" s="700"/>
      <c r="O11" s="701"/>
      <c r="P11" s="702"/>
      <c r="Q11" s="702"/>
      <c r="R11" s="702"/>
      <c r="S11" s="259"/>
      <c r="T11" s="259"/>
      <c r="U11" s="259"/>
      <c r="V11" s="259"/>
      <c r="W11" s="702"/>
      <c r="X11" s="703"/>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2"/>
      <c r="AY11" s="702"/>
      <c r="AZ11" s="702"/>
      <c r="BA11" s="702"/>
      <c r="BB11" s="702"/>
      <c r="BC11" s="702"/>
      <c r="BD11" s="702"/>
      <c r="BE11" s="702"/>
      <c r="BF11" s="702"/>
      <c r="BG11" s="702"/>
      <c r="BH11" s="702"/>
      <c r="BI11" s="702"/>
      <c r="BJ11" s="702"/>
      <c r="BK11" s="702"/>
      <c r="BL11" s="702"/>
      <c r="BM11" s="702"/>
      <c r="BN11" s="702"/>
      <c r="BO11" s="702"/>
    </row>
    <row r="12" spans="1:84" s="221" customFormat="1" ht="105" customHeight="1" x14ac:dyDescent="0.2">
      <c r="A12" s="557"/>
      <c r="B12" s="558"/>
      <c r="C12" s="558"/>
      <c r="D12" s="704"/>
      <c r="E12" s="705"/>
      <c r="F12" s="706"/>
      <c r="G12" s="707" t="s">
        <v>685</v>
      </c>
      <c r="H12" s="40" t="s">
        <v>686</v>
      </c>
      <c r="I12" s="40" t="s">
        <v>687</v>
      </c>
      <c r="J12" s="36">
        <v>12</v>
      </c>
      <c r="K12" s="34">
        <v>0</v>
      </c>
      <c r="L12" s="1281" t="s">
        <v>688</v>
      </c>
      <c r="M12" s="1486" t="s">
        <v>689</v>
      </c>
      <c r="N12" s="1669" t="s">
        <v>690</v>
      </c>
      <c r="O12" s="199">
        <f>+T12/$P$12</f>
        <v>0.45890391534067143</v>
      </c>
      <c r="P12" s="1639">
        <f>+T12+T13</f>
        <v>54477635</v>
      </c>
      <c r="Q12" s="1669" t="s">
        <v>691</v>
      </c>
      <c r="R12" s="1455" t="s">
        <v>692</v>
      </c>
      <c r="S12" s="40" t="s">
        <v>686</v>
      </c>
      <c r="T12" s="708">
        <v>25000000</v>
      </c>
      <c r="U12" s="709"/>
      <c r="V12" s="709"/>
      <c r="W12" s="1656" t="s">
        <v>70</v>
      </c>
      <c r="X12" s="1658" t="s">
        <v>282</v>
      </c>
      <c r="Y12" s="1660">
        <v>4500</v>
      </c>
      <c r="Z12" s="710"/>
      <c r="AA12" s="1660">
        <v>4500</v>
      </c>
      <c r="AB12" s="710"/>
      <c r="AC12" s="1660">
        <v>1560</v>
      </c>
      <c r="AD12" s="710"/>
      <c r="AE12" s="1660">
        <v>1560</v>
      </c>
      <c r="AF12" s="710"/>
      <c r="AG12" s="1660">
        <v>1560</v>
      </c>
      <c r="AH12" s="710"/>
      <c r="AI12" s="1660">
        <v>2000</v>
      </c>
      <c r="AJ12" s="710"/>
      <c r="AK12" s="1660">
        <v>400</v>
      </c>
      <c r="AL12" s="710"/>
      <c r="AM12" s="1660">
        <v>400</v>
      </c>
      <c r="AN12" s="710"/>
      <c r="AO12" s="1660">
        <v>400</v>
      </c>
      <c r="AP12" s="710"/>
      <c r="AQ12" s="1660">
        <v>50</v>
      </c>
      <c r="AR12" s="710"/>
      <c r="AS12" s="1660">
        <v>50</v>
      </c>
      <c r="AT12" s="710"/>
      <c r="AU12" s="1660">
        <v>70</v>
      </c>
      <c r="AV12" s="710"/>
      <c r="AW12" s="1660">
        <v>50</v>
      </c>
      <c r="AX12" s="710"/>
      <c r="AY12" s="1660">
        <v>500</v>
      </c>
      <c r="AZ12" s="710"/>
      <c r="BA12" s="1660">
        <v>400</v>
      </c>
      <c r="BB12" s="710"/>
      <c r="BC12" s="1660">
        <f>SUM(AC12:BA12)</f>
        <v>9000</v>
      </c>
      <c r="BD12" s="710"/>
      <c r="BE12" s="1660"/>
      <c r="BF12" s="1660"/>
      <c r="BG12" s="1660"/>
      <c r="BH12" s="1660"/>
      <c r="BI12" s="1660"/>
      <c r="BJ12" s="1660"/>
      <c r="BK12" s="1667">
        <v>44033</v>
      </c>
      <c r="BL12" s="1660"/>
      <c r="BM12" s="1306">
        <v>44195</v>
      </c>
      <c r="BN12" s="1660"/>
      <c r="BO12" s="1662" t="s">
        <v>693</v>
      </c>
    </row>
    <row r="13" spans="1:84" s="221" customFormat="1" ht="125.25" customHeight="1" x14ac:dyDescent="0.2">
      <c r="A13" s="557"/>
      <c r="B13" s="1653"/>
      <c r="C13" s="1653"/>
      <c r="D13" s="704"/>
      <c r="E13" s="1663"/>
      <c r="F13" s="1664"/>
      <c r="G13" s="711">
        <v>1905022</v>
      </c>
      <c r="H13" s="201" t="s">
        <v>694</v>
      </c>
      <c r="I13" s="83" t="s">
        <v>695</v>
      </c>
      <c r="J13" s="325">
        <v>12</v>
      </c>
      <c r="K13" s="34">
        <v>0</v>
      </c>
      <c r="L13" s="1283"/>
      <c r="M13" s="1487"/>
      <c r="N13" s="1670"/>
      <c r="O13" s="199">
        <f>+T13/$P$12</f>
        <v>0.54109608465932857</v>
      </c>
      <c r="P13" s="1640"/>
      <c r="Q13" s="1670"/>
      <c r="R13" s="1456"/>
      <c r="S13" s="201" t="s">
        <v>694</v>
      </c>
      <c r="T13" s="709">
        <v>29477635</v>
      </c>
      <c r="U13" s="712"/>
      <c r="V13" s="712"/>
      <c r="W13" s="1657"/>
      <c r="X13" s="1659"/>
      <c r="Y13" s="1661"/>
      <c r="Z13" s="713"/>
      <c r="AA13" s="1661"/>
      <c r="AB13" s="713"/>
      <c r="AC13" s="1661"/>
      <c r="AD13" s="713"/>
      <c r="AE13" s="1661"/>
      <c r="AF13" s="713"/>
      <c r="AG13" s="1661"/>
      <c r="AH13" s="713"/>
      <c r="AI13" s="1661"/>
      <c r="AJ13" s="713"/>
      <c r="AK13" s="1661"/>
      <c r="AL13" s="713"/>
      <c r="AM13" s="1661"/>
      <c r="AN13" s="713"/>
      <c r="AO13" s="1661"/>
      <c r="AP13" s="713"/>
      <c r="AQ13" s="1661"/>
      <c r="AR13" s="713"/>
      <c r="AS13" s="1661"/>
      <c r="AT13" s="713"/>
      <c r="AU13" s="1661"/>
      <c r="AV13" s="713"/>
      <c r="AW13" s="1661"/>
      <c r="AX13" s="713"/>
      <c r="AY13" s="1661"/>
      <c r="AZ13" s="713"/>
      <c r="BA13" s="1661"/>
      <c r="BB13" s="713"/>
      <c r="BC13" s="1661"/>
      <c r="BD13" s="713"/>
      <c r="BE13" s="1661"/>
      <c r="BF13" s="1661"/>
      <c r="BG13" s="1661"/>
      <c r="BH13" s="1661"/>
      <c r="BI13" s="1661"/>
      <c r="BJ13" s="1661"/>
      <c r="BK13" s="1668"/>
      <c r="BL13" s="1661"/>
      <c r="BM13" s="1308"/>
      <c r="BN13" s="1661"/>
      <c r="BO13" s="1662"/>
    </row>
    <row r="14" spans="1:84" s="3" customFormat="1" ht="28.5" customHeight="1" x14ac:dyDescent="0.2">
      <c r="A14" s="28"/>
      <c r="B14" s="73"/>
      <c r="C14" s="73"/>
      <c r="D14" s="493">
        <v>25</v>
      </c>
      <c r="E14" s="256" t="s">
        <v>186</v>
      </c>
      <c r="F14" s="50"/>
      <c r="G14" s="714"/>
      <c r="H14" s="52"/>
      <c r="I14" s="52"/>
      <c r="J14" s="50"/>
      <c r="K14" s="50"/>
      <c r="L14" s="50"/>
      <c r="M14" s="715"/>
      <c r="N14" s="716"/>
      <c r="O14" s="717"/>
      <c r="P14" s="718"/>
      <c r="Q14" s="716"/>
      <c r="R14" s="716"/>
      <c r="S14" s="716"/>
      <c r="T14" s="719"/>
      <c r="U14" s="719"/>
      <c r="V14" s="719"/>
      <c r="W14" s="715"/>
      <c r="X14" s="716"/>
      <c r="Y14" s="715"/>
      <c r="Z14" s="715"/>
      <c r="AA14" s="715"/>
      <c r="AB14" s="715"/>
      <c r="AC14" s="715"/>
      <c r="AD14" s="715"/>
      <c r="AE14" s="715"/>
      <c r="AF14" s="715"/>
      <c r="AG14" s="715"/>
      <c r="AH14" s="715"/>
      <c r="AI14" s="715"/>
      <c r="AJ14" s="715"/>
      <c r="AK14" s="715"/>
      <c r="AL14" s="715"/>
      <c r="AM14" s="715"/>
      <c r="AN14" s="715"/>
      <c r="AO14" s="715"/>
      <c r="AP14" s="715"/>
      <c r="AQ14" s="715"/>
      <c r="AR14" s="715"/>
      <c r="AS14" s="715"/>
      <c r="AT14" s="715"/>
      <c r="AU14" s="715"/>
      <c r="AV14" s="715"/>
      <c r="AW14" s="715"/>
      <c r="AX14" s="715"/>
      <c r="AY14" s="715"/>
      <c r="AZ14" s="715"/>
      <c r="BA14" s="715"/>
      <c r="BB14" s="715"/>
      <c r="BC14" s="715"/>
      <c r="BD14" s="715"/>
      <c r="BE14" s="715"/>
      <c r="BF14" s="715"/>
      <c r="BG14" s="715"/>
      <c r="BH14" s="715"/>
      <c r="BI14" s="715"/>
      <c r="BJ14" s="715"/>
      <c r="BK14" s="715"/>
      <c r="BL14" s="715"/>
      <c r="BM14" s="715"/>
      <c r="BN14" s="715"/>
      <c r="BO14" s="716"/>
    </row>
    <row r="15" spans="1:84" s="221" customFormat="1" ht="129" customHeight="1" x14ac:dyDescent="0.2">
      <c r="A15" s="557"/>
      <c r="B15" s="558"/>
      <c r="C15" s="558"/>
      <c r="D15" s="704"/>
      <c r="E15" s="720"/>
      <c r="F15" s="721"/>
      <c r="G15" s="334">
        <v>3301051</v>
      </c>
      <c r="H15" s="335" t="s">
        <v>696</v>
      </c>
      <c r="I15" s="84" t="s">
        <v>697</v>
      </c>
      <c r="J15" s="722">
        <v>50</v>
      </c>
      <c r="K15" s="325">
        <v>0</v>
      </c>
      <c r="L15" s="325" t="s">
        <v>698</v>
      </c>
      <c r="M15" s="326" t="s">
        <v>699</v>
      </c>
      <c r="N15" s="723" t="s">
        <v>700</v>
      </c>
      <c r="O15" s="563">
        <f>+T15/(P15+P21+P26)</f>
        <v>0.18503937007874016</v>
      </c>
      <c r="P15" s="724">
        <f>+T15</f>
        <v>47000000</v>
      </c>
      <c r="Q15" s="723" t="s">
        <v>701</v>
      </c>
      <c r="R15" s="213" t="s">
        <v>702</v>
      </c>
      <c r="S15" s="327" t="s">
        <v>696</v>
      </c>
      <c r="T15" s="725">
        <v>47000000</v>
      </c>
      <c r="U15" s="726"/>
      <c r="V15" s="726"/>
      <c r="W15" s="724" t="s">
        <v>70</v>
      </c>
      <c r="X15" s="726" t="s">
        <v>282</v>
      </c>
      <c r="Y15" s="326">
        <v>4600</v>
      </c>
      <c r="Z15" s="326"/>
      <c r="AA15" s="326">
        <v>3810</v>
      </c>
      <c r="AB15" s="326"/>
      <c r="AC15" s="326">
        <v>0</v>
      </c>
      <c r="AD15" s="326"/>
      <c r="AE15" s="326">
        <v>5300</v>
      </c>
      <c r="AF15" s="326"/>
      <c r="AG15" s="326">
        <v>2900</v>
      </c>
      <c r="AH15" s="326"/>
      <c r="AI15" s="326">
        <v>0</v>
      </c>
      <c r="AJ15" s="326"/>
      <c r="AK15" s="326" t="s">
        <v>703</v>
      </c>
      <c r="AL15" s="326"/>
      <c r="AM15" s="326">
        <v>110</v>
      </c>
      <c r="AN15" s="326"/>
      <c r="AO15" s="326">
        <v>0</v>
      </c>
      <c r="AP15" s="326"/>
      <c r="AQ15" s="326">
        <v>0</v>
      </c>
      <c r="AR15" s="326"/>
      <c r="AS15" s="326">
        <v>0</v>
      </c>
      <c r="AT15" s="326"/>
      <c r="AU15" s="326">
        <v>0</v>
      </c>
      <c r="AV15" s="326"/>
      <c r="AW15" s="326">
        <v>0</v>
      </c>
      <c r="AX15" s="326"/>
      <c r="AY15" s="326">
        <v>100</v>
      </c>
      <c r="AZ15" s="326"/>
      <c r="BA15" s="326">
        <v>0</v>
      </c>
      <c r="BB15" s="326"/>
      <c r="BC15" s="326">
        <v>8410</v>
      </c>
      <c r="BD15" s="326"/>
      <c r="BE15" s="326"/>
      <c r="BF15" s="326"/>
      <c r="BG15" s="326"/>
      <c r="BH15" s="326"/>
      <c r="BI15" s="326"/>
      <c r="BJ15" s="326"/>
      <c r="BK15" s="727">
        <v>43832</v>
      </c>
      <c r="BL15" s="727"/>
      <c r="BM15" s="727">
        <v>44195</v>
      </c>
      <c r="BN15" s="727"/>
      <c r="BO15" s="503" t="s">
        <v>693</v>
      </c>
    </row>
    <row r="16" spans="1:84" s="3" customFormat="1" ht="27" customHeight="1" x14ac:dyDescent="0.2">
      <c r="A16" s="28"/>
      <c r="B16" s="73"/>
      <c r="C16" s="73"/>
      <c r="D16" s="493">
        <v>36</v>
      </c>
      <c r="E16" s="340" t="s">
        <v>704</v>
      </c>
      <c r="F16" s="340"/>
      <c r="G16" s="281"/>
      <c r="H16" s="259"/>
      <c r="I16" s="259"/>
      <c r="J16" s="261"/>
      <c r="K16" s="261"/>
      <c r="L16" s="281"/>
      <c r="M16" s="261"/>
      <c r="N16" s="259"/>
      <c r="O16" s="701"/>
      <c r="P16" s="728"/>
      <c r="Q16" s="297"/>
      <c r="R16" s="297"/>
      <c r="S16" s="297"/>
      <c r="T16" s="729"/>
      <c r="U16" s="729"/>
      <c r="V16" s="729"/>
      <c r="W16" s="730"/>
      <c r="X16" s="731"/>
      <c r="Y16" s="261"/>
      <c r="Z16" s="261"/>
      <c r="AA16" s="261"/>
      <c r="AB16" s="261"/>
      <c r="AC16" s="261"/>
      <c r="AD16" s="261"/>
      <c r="AE16" s="261"/>
      <c r="AF16" s="261"/>
      <c r="AG16" s="261"/>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261"/>
      <c r="BG16" s="261"/>
      <c r="BH16" s="261"/>
      <c r="BI16" s="261"/>
      <c r="BJ16" s="261"/>
      <c r="BK16" s="261"/>
      <c r="BL16" s="261"/>
      <c r="BM16" s="261"/>
      <c r="BN16" s="261"/>
      <c r="BO16" s="435"/>
    </row>
    <row r="17" spans="1:68" s="3" customFormat="1" ht="126" customHeight="1" x14ac:dyDescent="0.2">
      <c r="A17" s="28"/>
      <c r="B17" s="73"/>
      <c r="C17" s="73"/>
      <c r="D17" s="60"/>
      <c r="E17" s="60"/>
      <c r="F17" s="178"/>
      <c r="G17" s="496" t="s">
        <v>328</v>
      </c>
      <c r="H17" s="97" t="s">
        <v>705</v>
      </c>
      <c r="I17" s="97" t="s">
        <v>706</v>
      </c>
      <c r="J17" s="324">
        <v>1</v>
      </c>
      <c r="K17" s="34">
        <v>0</v>
      </c>
      <c r="L17" s="1281" t="s">
        <v>707</v>
      </c>
      <c r="M17" s="1487" t="s">
        <v>708</v>
      </c>
      <c r="N17" s="1665" t="s">
        <v>709</v>
      </c>
      <c r="O17" s="101">
        <f>+T17/P17</f>
        <v>0.54545454545454541</v>
      </c>
      <c r="P17" s="1640">
        <f>+T17+T18</f>
        <v>55000000</v>
      </c>
      <c r="Q17" s="1489" t="s">
        <v>710</v>
      </c>
      <c r="R17" s="1293" t="s">
        <v>711</v>
      </c>
      <c r="S17" s="97" t="s">
        <v>705</v>
      </c>
      <c r="T17" s="708">
        <v>30000000</v>
      </c>
      <c r="U17" s="708"/>
      <c r="V17" s="708"/>
      <c r="W17" s="1656" t="s">
        <v>70</v>
      </c>
      <c r="X17" s="1658" t="s">
        <v>282</v>
      </c>
      <c r="Y17" s="1486">
        <v>2000</v>
      </c>
      <c r="Z17" s="497"/>
      <c r="AA17" s="1486">
        <v>1900</v>
      </c>
      <c r="AB17" s="497"/>
      <c r="AC17" s="1486">
        <v>2500</v>
      </c>
      <c r="AD17" s="497"/>
      <c r="AE17" s="1486">
        <v>700</v>
      </c>
      <c r="AF17" s="497"/>
      <c r="AG17" s="1486">
        <v>700</v>
      </c>
      <c r="AH17" s="497"/>
      <c r="AI17" s="1486">
        <v>0</v>
      </c>
      <c r="AJ17" s="497"/>
      <c r="AK17" s="1486">
        <v>0</v>
      </c>
      <c r="AL17" s="497"/>
      <c r="AM17" s="1486">
        <v>0</v>
      </c>
      <c r="AN17" s="497"/>
      <c r="AO17" s="1486">
        <v>0</v>
      </c>
      <c r="AP17" s="497"/>
      <c r="AQ17" s="1486">
        <v>0</v>
      </c>
      <c r="AR17" s="497"/>
      <c r="AS17" s="1486">
        <v>0</v>
      </c>
      <c r="AT17" s="497"/>
      <c r="AU17" s="1486">
        <v>0</v>
      </c>
      <c r="AV17" s="497"/>
      <c r="AW17" s="1486">
        <v>0</v>
      </c>
      <c r="AX17" s="497"/>
      <c r="AY17" s="1486">
        <v>0</v>
      </c>
      <c r="AZ17" s="497"/>
      <c r="BA17" s="1486">
        <v>0</v>
      </c>
      <c r="BB17" s="497"/>
      <c r="BC17" s="1486">
        <v>3900</v>
      </c>
      <c r="BD17" s="497"/>
      <c r="BE17" s="1486">
        <v>2</v>
      </c>
      <c r="BF17" s="1627">
        <f>SUM(U17:U18)</f>
        <v>8533333</v>
      </c>
      <c r="BG17" s="1627">
        <f>SUM(V17:V18)</f>
        <v>8533333</v>
      </c>
      <c r="BH17" s="1630">
        <f>BG17/BF17</f>
        <v>1</v>
      </c>
      <c r="BI17" s="1486" t="s">
        <v>72</v>
      </c>
      <c r="BJ17" s="1486" t="s">
        <v>712</v>
      </c>
      <c r="BK17" s="1625">
        <v>43832</v>
      </c>
      <c r="BL17" s="732"/>
      <c r="BM17" s="1625">
        <v>44195</v>
      </c>
      <c r="BN17" s="733"/>
      <c r="BO17" s="1501" t="s">
        <v>693</v>
      </c>
    </row>
    <row r="18" spans="1:68" s="3" customFormat="1" ht="93.75" customHeight="1" x14ac:dyDescent="0.2">
      <c r="A18" s="28"/>
      <c r="B18" s="1279"/>
      <c r="C18" s="1279"/>
      <c r="D18" s="436"/>
      <c r="E18" s="1448"/>
      <c r="F18" s="1280"/>
      <c r="G18" s="496" t="s">
        <v>328</v>
      </c>
      <c r="H18" s="40" t="s">
        <v>713</v>
      </c>
      <c r="I18" s="40" t="s">
        <v>714</v>
      </c>
      <c r="J18" s="36">
        <v>12</v>
      </c>
      <c r="K18" s="34">
        <v>12</v>
      </c>
      <c r="L18" s="1283"/>
      <c r="M18" s="1626"/>
      <c r="N18" s="1666"/>
      <c r="O18" s="101">
        <f>+T18/P17</f>
        <v>0.45454545454545453</v>
      </c>
      <c r="P18" s="1645"/>
      <c r="Q18" s="1501"/>
      <c r="R18" s="1295"/>
      <c r="S18" s="40" t="s">
        <v>713</v>
      </c>
      <c r="T18" s="708">
        <v>25000000</v>
      </c>
      <c r="U18" s="708">
        <v>8533333</v>
      </c>
      <c r="V18" s="708">
        <v>8533333</v>
      </c>
      <c r="W18" s="1657"/>
      <c r="X18" s="1659"/>
      <c r="Y18" s="1626"/>
      <c r="Z18" s="734"/>
      <c r="AA18" s="1626"/>
      <c r="AB18" s="734"/>
      <c r="AC18" s="1626"/>
      <c r="AD18" s="734"/>
      <c r="AE18" s="1626"/>
      <c r="AF18" s="734"/>
      <c r="AG18" s="1626"/>
      <c r="AH18" s="734"/>
      <c r="AI18" s="1626"/>
      <c r="AJ18" s="734"/>
      <c r="AK18" s="1626"/>
      <c r="AL18" s="734"/>
      <c r="AM18" s="1626"/>
      <c r="AN18" s="734"/>
      <c r="AO18" s="1626"/>
      <c r="AP18" s="734"/>
      <c r="AQ18" s="1626"/>
      <c r="AR18" s="734"/>
      <c r="AS18" s="1626"/>
      <c r="AT18" s="734"/>
      <c r="AU18" s="1626"/>
      <c r="AV18" s="734"/>
      <c r="AW18" s="1626"/>
      <c r="AX18" s="734"/>
      <c r="AY18" s="1626"/>
      <c r="AZ18" s="734"/>
      <c r="BA18" s="1626"/>
      <c r="BB18" s="734"/>
      <c r="BC18" s="1626"/>
      <c r="BD18" s="734"/>
      <c r="BE18" s="1626"/>
      <c r="BF18" s="1626"/>
      <c r="BG18" s="1626"/>
      <c r="BH18" s="1632"/>
      <c r="BI18" s="1626"/>
      <c r="BJ18" s="1626"/>
      <c r="BK18" s="1652"/>
      <c r="BL18" s="735"/>
      <c r="BM18" s="1652"/>
      <c r="BN18" s="735"/>
      <c r="BO18" s="1499"/>
    </row>
    <row r="19" spans="1:68" s="221" customFormat="1" ht="173.25" customHeight="1" x14ac:dyDescent="0.2">
      <c r="A19" s="736"/>
      <c r="B19" s="1653"/>
      <c r="C19" s="1653"/>
      <c r="D19" s="704"/>
      <c r="E19" s="1654"/>
      <c r="F19" s="1655"/>
      <c r="G19" s="496" t="s">
        <v>328</v>
      </c>
      <c r="H19" s="40" t="s">
        <v>715</v>
      </c>
      <c r="I19" s="40" t="s">
        <v>716</v>
      </c>
      <c r="J19" s="36">
        <v>1</v>
      </c>
      <c r="K19" s="34">
        <v>1</v>
      </c>
      <c r="L19" s="34" t="s">
        <v>717</v>
      </c>
      <c r="M19" s="533" t="s">
        <v>718</v>
      </c>
      <c r="N19" s="737" t="s">
        <v>719</v>
      </c>
      <c r="O19" s="38">
        <f>+P19/T19</f>
        <v>1</v>
      </c>
      <c r="P19" s="738">
        <f>+T19</f>
        <v>180000000</v>
      </c>
      <c r="Q19" s="737" t="s">
        <v>720</v>
      </c>
      <c r="R19" s="40" t="s">
        <v>721</v>
      </c>
      <c r="S19" s="40" t="s">
        <v>715</v>
      </c>
      <c r="T19" s="708">
        <v>180000000</v>
      </c>
      <c r="U19" s="708">
        <v>29896166</v>
      </c>
      <c r="V19" s="708">
        <v>29896166</v>
      </c>
      <c r="W19" s="739" t="s">
        <v>70</v>
      </c>
      <c r="X19" s="708" t="s">
        <v>282</v>
      </c>
      <c r="Y19" s="533">
        <v>3900</v>
      </c>
      <c r="Z19" s="533"/>
      <c r="AA19" s="533">
        <v>3600</v>
      </c>
      <c r="AB19" s="533"/>
      <c r="AC19" s="533">
        <v>2000</v>
      </c>
      <c r="AD19" s="533"/>
      <c r="AE19" s="533">
        <v>4000</v>
      </c>
      <c r="AF19" s="533"/>
      <c r="AG19" s="533">
        <v>1000</v>
      </c>
      <c r="AH19" s="533"/>
      <c r="AI19" s="533">
        <v>500</v>
      </c>
      <c r="AJ19" s="533"/>
      <c r="AK19" s="533">
        <v>0</v>
      </c>
      <c r="AL19" s="533"/>
      <c r="AM19" s="533">
        <v>0</v>
      </c>
      <c r="AN19" s="533"/>
      <c r="AO19" s="533">
        <v>0</v>
      </c>
      <c r="AP19" s="533"/>
      <c r="AQ19" s="533">
        <v>0</v>
      </c>
      <c r="AR19" s="533"/>
      <c r="AS19" s="533">
        <v>0</v>
      </c>
      <c r="AT19" s="533"/>
      <c r="AU19" s="533">
        <v>0</v>
      </c>
      <c r="AV19" s="533"/>
      <c r="AW19" s="533">
        <v>0</v>
      </c>
      <c r="AX19" s="533"/>
      <c r="AY19" s="533">
        <v>0</v>
      </c>
      <c r="AZ19" s="533"/>
      <c r="BA19" s="533">
        <v>0</v>
      </c>
      <c r="BB19" s="533"/>
      <c r="BC19" s="533">
        <v>7500</v>
      </c>
      <c r="BD19" s="740"/>
      <c r="BE19" s="740">
        <v>6</v>
      </c>
      <c r="BF19" s="741">
        <f t="shared" ref="BF19:BG21" si="0">U19</f>
        <v>29896166</v>
      </c>
      <c r="BG19" s="741">
        <f t="shared" si="0"/>
        <v>29896166</v>
      </c>
      <c r="BH19" s="742">
        <f>BG19/BF19</f>
        <v>1</v>
      </c>
      <c r="BI19" s="533" t="s">
        <v>72</v>
      </c>
      <c r="BJ19" s="533" t="s">
        <v>712</v>
      </c>
      <c r="BK19" s="743">
        <v>43832</v>
      </c>
      <c r="BL19" s="743"/>
      <c r="BM19" s="743">
        <v>44195</v>
      </c>
      <c r="BN19" s="743"/>
      <c r="BO19" s="534" t="s">
        <v>693</v>
      </c>
      <c r="BP19" s="3"/>
    </row>
    <row r="20" spans="1:68" s="221" customFormat="1" ht="123.75" customHeight="1" x14ac:dyDescent="0.2">
      <c r="A20" s="744"/>
      <c r="B20" s="287"/>
      <c r="C20" s="287"/>
      <c r="D20" s="468"/>
      <c r="E20" s="468"/>
      <c r="F20" s="288"/>
      <c r="G20" s="496" t="s">
        <v>328</v>
      </c>
      <c r="H20" s="40" t="s">
        <v>722</v>
      </c>
      <c r="I20" s="40" t="s">
        <v>723</v>
      </c>
      <c r="J20" s="36">
        <v>1</v>
      </c>
      <c r="K20" s="34">
        <v>1</v>
      </c>
      <c r="L20" s="34" t="s">
        <v>724</v>
      </c>
      <c r="M20" s="497" t="s">
        <v>725</v>
      </c>
      <c r="N20" s="745" t="s">
        <v>726</v>
      </c>
      <c r="O20" s="285">
        <f>+P20/T20</f>
        <v>1</v>
      </c>
      <c r="P20" s="746">
        <f>+T20</f>
        <v>240000000</v>
      </c>
      <c r="Q20" s="745" t="s">
        <v>727</v>
      </c>
      <c r="R20" s="40" t="s">
        <v>728</v>
      </c>
      <c r="S20" s="40" t="s">
        <v>722</v>
      </c>
      <c r="T20" s="747">
        <v>240000000</v>
      </c>
      <c r="U20" s="747">
        <v>58602499</v>
      </c>
      <c r="V20" s="747">
        <v>55002499</v>
      </c>
      <c r="W20" s="748" t="s">
        <v>70</v>
      </c>
      <c r="X20" s="708" t="s">
        <v>282</v>
      </c>
      <c r="Y20" s="497">
        <v>8900</v>
      </c>
      <c r="Z20" s="497"/>
      <c r="AA20" s="497">
        <v>8600</v>
      </c>
      <c r="AB20" s="497"/>
      <c r="AC20" s="497">
        <v>12000</v>
      </c>
      <c r="AD20" s="497"/>
      <c r="AE20" s="497">
        <v>4000</v>
      </c>
      <c r="AF20" s="497"/>
      <c r="AG20" s="497">
        <v>1500</v>
      </c>
      <c r="AH20" s="497"/>
      <c r="AI20" s="497">
        <v>0</v>
      </c>
      <c r="AJ20" s="497"/>
      <c r="AK20" s="497">
        <v>0</v>
      </c>
      <c r="AL20" s="497"/>
      <c r="AM20" s="497">
        <v>0</v>
      </c>
      <c r="AN20" s="497"/>
      <c r="AO20" s="497">
        <v>0</v>
      </c>
      <c r="AP20" s="497"/>
      <c r="AQ20" s="497">
        <v>0</v>
      </c>
      <c r="AR20" s="497"/>
      <c r="AS20" s="497">
        <v>0</v>
      </c>
      <c r="AT20" s="497"/>
      <c r="AU20" s="497">
        <v>0</v>
      </c>
      <c r="AV20" s="497"/>
      <c r="AW20" s="497">
        <v>0</v>
      </c>
      <c r="AX20" s="497"/>
      <c r="AY20" s="497">
        <v>0</v>
      </c>
      <c r="AZ20" s="497"/>
      <c r="BA20" s="497">
        <v>0</v>
      </c>
      <c r="BB20" s="497"/>
      <c r="BC20" s="497">
        <v>17500</v>
      </c>
      <c r="BD20" s="749"/>
      <c r="BE20" s="749">
        <v>9</v>
      </c>
      <c r="BF20" s="741">
        <f t="shared" si="0"/>
        <v>58602499</v>
      </c>
      <c r="BG20" s="741">
        <f t="shared" si="0"/>
        <v>55002499</v>
      </c>
      <c r="BH20" s="742">
        <f>BG20/BF20</f>
        <v>0.93856917262180239</v>
      </c>
      <c r="BI20" s="533" t="s">
        <v>72</v>
      </c>
      <c r="BJ20" s="533" t="s">
        <v>712</v>
      </c>
      <c r="BK20" s="743">
        <v>43832</v>
      </c>
      <c r="BL20" s="743"/>
      <c r="BM20" s="743">
        <v>44195</v>
      </c>
      <c r="BN20" s="743"/>
      <c r="BO20" s="534" t="s">
        <v>693</v>
      </c>
      <c r="BP20" s="3"/>
    </row>
    <row r="21" spans="1:68" s="221" customFormat="1" ht="109.5" customHeight="1" x14ac:dyDescent="0.2">
      <c r="A21" s="744"/>
      <c r="B21" s="287"/>
      <c r="C21" s="287"/>
      <c r="D21" s="468"/>
      <c r="E21" s="468"/>
      <c r="F21" s="288"/>
      <c r="G21" s="496" t="s">
        <v>328</v>
      </c>
      <c r="H21" s="40" t="s">
        <v>729</v>
      </c>
      <c r="I21" s="40" t="s">
        <v>730</v>
      </c>
      <c r="J21" s="36">
        <v>1</v>
      </c>
      <c r="K21" s="34">
        <v>1</v>
      </c>
      <c r="L21" s="34" t="s">
        <v>731</v>
      </c>
      <c r="M21" s="497" t="s">
        <v>699</v>
      </c>
      <c r="N21" s="750" t="s">
        <v>700</v>
      </c>
      <c r="O21" s="285">
        <f>+P21/(T21+T15+T26)</f>
        <v>0.70866141732283461</v>
      </c>
      <c r="P21" s="746">
        <f>+T21</f>
        <v>180000000</v>
      </c>
      <c r="Q21" s="737" t="s">
        <v>701</v>
      </c>
      <c r="R21" s="40" t="s">
        <v>702</v>
      </c>
      <c r="S21" s="40" t="s">
        <v>729</v>
      </c>
      <c r="T21" s="747">
        <v>180000000</v>
      </c>
      <c r="U21" s="747">
        <v>40401666</v>
      </c>
      <c r="V21" s="747">
        <v>40401666</v>
      </c>
      <c r="W21" s="738" t="s">
        <v>70</v>
      </c>
      <c r="X21" s="751" t="s">
        <v>282</v>
      </c>
      <c r="Y21" s="497">
        <v>4600</v>
      </c>
      <c r="Z21" s="497"/>
      <c r="AA21" s="497">
        <v>3810</v>
      </c>
      <c r="AB21" s="497"/>
      <c r="AC21" s="497">
        <v>0</v>
      </c>
      <c r="AD21" s="497"/>
      <c r="AE21" s="497">
        <v>5300</v>
      </c>
      <c r="AF21" s="497"/>
      <c r="AG21" s="497">
        <v>2900</v>
      </c>
      <c r="AH21" s="497"/>
      <c r="AI21" s="497">
        <v>0</v>
      </c>
      <c r="AJ21" s="497"/>
      <c r="AK21" s="497" t="s">
        <v>703</v>
      </c>
      <c r="AL21" s="497"/>
      <c r="AM21" s="497">
        <v>110</v>
      </c>
      <c r="AN21" s="497"/>
      <c r="AO21" s="497">
        <v>0</v>
      </c>
      <c r="AP21" s="497"/>
      <c r="AQ21" s="497">
        <v>0</v>
      </c>
      <c r="AR21" s="497"/>
      <c r="AS21" s="497">
        <v>0</v>
      </c>
      <c r="AT21" s="497"/>
      <c r="AU21" s="497">
        <v>0</v>
      </c>
      <c r="AV21" s="497"/>
      <c r="AW21" s="497">
        <v>0</v>
      </c>
      <c r="AX21" s="497"/>
      <c r="AY21" s="497">
        <v>100</v>
      </c>
      <c r="AZ21" s="497"/>
      <c r="BA21" s="497">
        <v>0</v>
      </c>
      <c r="BB21" s="497"/>
      <c r="BC21" s="497">
        <v>8410</v>
      </c>
      <c r="BD21" s="497"/>
      <c r="BE21" s="497">
        <v>4</v>
      </c>
      <c r="BF21" s="741">
        <f t="shared" si="0"/>
        <v>40401666</v>
      </c>
      <c r="BG21" s="741">
        <f t="shared" si="0"/>
        <v>40401666</v>
      </c>
      <c r="BH21" s="742">
        <f>BG21/BF21</f>
        <v>1</v>
      </c>
      <c r="BI21" s="533" t="s">
        <v>72</v>
      </c>
      <c r="BJ21" s="497" t="s">
        <v>732</v>
      </c>
      <c r="BK21" s="752">
        <v>43832</v>
      </c>
      <c r="BL21" s="752"/>
      <c r="BM21" s="752">
        <v>44195</v>
      </c>
      <c r="BN21" s="752"/>
      <c r="BO21" s="534" t="s">
        <v>693</v>
      </c>
      <c r="BP21" s="3"/>
    </row>
    <row r="22" spans="1:68" s="221" customFormat="1" ht="123" customHeight="1" x14ac:dyDescent="0.2">
      <c r="A22" s="753"/>
      <c r="D22" s="468"/>
      <c r="E22" s="468"/>
      <c r="F22" s="288"/>
      <c r="G22" s="496" t="s">
        <v>328</v>
      </c>
      <c r="H22" s="40" t="s">
        <v>733</v>
      </c>
      <c r="I22" s="40" t="s">
        <v>734</v>
      </c>
      <c r="J22" s="36">
        <v>12</v>
      </c>
      <c r="K22" s="34">
        <v>0</v>
      </c>
      <c r="L22" s="34" t="s">
        <v>735</v>
      </c>
      <c r="M22" s="497" t="s">
        <v>736</v>
      </c>
      <c r="N22" s="754" t="s">
        <v>737</v>
      </c>
      <c r="O22" s="285">
        <f>+P22/(T22+T28)</f>
        <v>0.34210526315789475</v>
      </c>
      <c r="P22" s="746">
        <f>+T22</f>
        <v>13000000</v>
      </c>
      <c r="Q22" s="754" t="s">
        <v>738</v>
      </c>
      <c r="R22" s="40" t="s">
        <v>739</v>
      </c>
      <c r="S22" s="40" t="s">
        <v>733</v>
      </c>
      <c r="T22" s="747">
        <v>13000000</v>
      </c>
      <c r="U22" s="747"/>
      <c r="V22" s="747"/>
      <c r="W22" s="755">
        <v>88</v>
      </c>
      <c r="X22" s="725" t="s">
        <v>462</v>
      </c>
      <c r="Y22" s="756">
        <v>4500</v>
      </c>
      <c r="Z22" s="756"/>
      <c r="AA22" s="757">
        <v>4500</v>
      </c>
      <c r="AB22" s="757"/>
      <c r="AC22" s="757">
        <v>1560</v>
      </c>
      <c r="AD22" s="757"/>
      <c r="AE22" s="757">
        <v>1560</v>
      </c>
      <c r="AF22" s="757"/>
      <c r="AG22" s="757">
        <v>1560</v>
      </c>
      <c r="AH22" s="757"/>
      <c r="AI22" s="92">
        <v>2000</v>
      </c>
      <c r="AJ22" s="92"/>
      <c r="AK22" s="92">
        <v>400</v>
      </c>
      <c r="AL22" s="92"/>
      <c r="AM22" s="92">
        <v>400</v>
      </c>
      <c r="AN22" s="92"/>
      <c r="AO22" s="92">
        <v>400</v>
      </c>
      <c r="AP22" s="92"/>
      <c r="AQ22" s="92">
        <v>50</v>
      </c>
      <c r="AR22" s="92"/>
      <c r="AS22" s="92">
        <v>50</v>
      </c>
      <c r="AT22" s="92"/>
      <c r="AU22" s="92">
        <v>70</v>
      </c>
      <c r="AV22" s="92"/>
      <c r="AW22" s="92">
        <v>50</v>
      </c>
      <c r="AX22" s="92"/>
      <c r="AY22" s="92">
        <v>500</v>
      </c>
      <c r="AZ22" s="92"/>
      <c r="BA22" s="92">
        <v>400</v>
      </c>
      <c r="BB22" s="92"/>
      <c r="BC22" s="758">
        <f>SUM(AC22:BA22)</f>
        <v>9000</v>
      </c>
      <c r="BD22" s="759"/>
      <c r="BE22" s="759"/>
      <c r="BF22" s="759"/>
      <c r="BG22" s="759"/>
      <c r="BH22" s="759"/>
      <c r="BI22" s="759"/>
      <c r="BJ22" s="759"/>
      <c r="BK22" s="760">
        <v>44033</v>
      </c>
      <c r="BL22" s="760"/>
      <c r="BM22" s="760">
        <v>44195</v>
      </c>
      <c r="BN22" s="760"/>
      <c r="BO22" s="534" t="s">
        <v>693</v>
      </c>
      <c r="BP22" s="3"/>
    </row>
    <row r="23" spans="1:68" s="221" customFormat="1" ht="98.25" customHeight="1" x14ac:dyDescent="0.2">
      <c r="A23" s="753"/>
      <c r="D23" s="468"/>
      <c r="E23" s="468"/>
      <c r="F23" s="288"/>
      <c r="G23" s="496">
        <v>4102022</v>
      </c>
      <c r="H23" s="40" t="s">
        <v>740</v>
      </c>
      <c r="I23" s="40" t="s">
        <v>741</v>
      </c>
      <c r="J23" s="36">
        <v>6</v>
      </c>
      <c r="K23" s="34">
        <v>0</v>
      </c>
      <c r="L23" s="196" t="s">
        <v>742</v>
      </c>
      <c r="M23" s="761" t="s">
        <v>743</v>
      </c>
      <c r="N23" s="762" t="s">
        <v>744</v>
      </c>
      <c r="O23" s="285">
        <f>+T23/(P23+P50)</f>
        <v>0.6875</v>
      </c>
      <c r="P23" s="763">
        <v>55000000</v>
      </c>
      <c r="Q23" s="763" t="s">
        <v>745</v>
      </c>
      <c r="R23" s="763" t="s">
        <v>746</v>
      </c>
      <c r="S23" s="764" t="s">
        <v>740</v>
      </c>
      <c r="T23" s="765">
        <v>55000000</v>
      </c>
      <c r="U23" s="765"/>
      <c r="V23" s="765"/>
      <c r="W23" s="763" t="s">
        <v>70</v>
      </c>
      <c r="X23" s="763" t="s">
        <v>282</v>
      </c>
      <c r="Y23" s="713"/>
      <c r="Z23" s="713"/>
      <c r="AA23" s="713"/>
      <c r="AB23" s="713"/>
      <c r="AC23" s="713"/>
      <c r="AD23" s="713"/>
      <c r="AE23" s="713"/>
      <c r="AF23" s="713"/>
      <c r="AG23" s="713"/>
      <c r="AH23" s="713"/>
      <c r="AI23" s="713"/>
      <c r="AJ23" s="713"/>
      <c r="AK23" s="713"/>
      <c r="AL23" s="713"/>
      <c r="AM23" s="713"/>
      <c r="AN23" s="713"/>
      <c r="AO23" s="713"/>
      <c r="AP23" s="713"/>
      <c r="AQ23" s="713"/>
      <c r="AR23" s="713"/>
      <c r="AS23" s="713"/>
      <c r="AT23" s="713"/>
      <c r="AU23" s="713"/>
      <c r="AV23" s="713"/>
      <c r="AW23" s="713"/>
      <c r="AX23" s="713"/>
      <c r="AY23" s="713"/>
      <c r="AZ23" s="713"/>
      <c r="BA23" s="713"/>
      <c r="BB23" s="713"/>
      <c r="BC23" s="713"/>
      <c r="BD23" s="766"/>
      <c r="BE23" s="764"/>
      <c r="BF23" s="764"/>
      <c r="BG23" s="764"/>
      <c r="BH23" s="764"/>
      <c r="BI23" s="764"/>
      <c r="BJ23" s="764"/>
      <c r="BK23" s="767">
        <v>44033</v>
      </c>
      <c r="BL23" s="768"/>
      <c r="BM23" s="769">
        <v>44195</v>
      </c>
      <c r="BN23" s="768"/>
      <c r="BO23" s="770" t="s">
        <v>693</v>
      </c>
      <c r="BP23" s="3"/>
    </row>
    <row r="24" spans="1:68" s="221" customFormat="1" ht="119.25" customHeight="1" x14ac:dyDescent="0.2">
      <c r="A24" s="753"/>
      <c r="D24" s="771"/>
      <c r="E24" s="468"/>
      <c r="F24" s="288"/>
      <c r="G24" s="496">
        <v>4102038</v>
      </c>
      <c r="H24" s="201" t="s">
        <v>747</v>
      </c>
      <c r="I24" s="40" t="s">
        <v>748</v>
      </c>
      <c r="J24" s="36">
        <v>10</v>
      </c>
      <c r="K24" s="34">
        <v>0</v>
      </c>
      <c r="L24" s="34" t="s">
        <v>749</v>
      </c>
      <c r="M24" s="497" t="s">
        <v>750</v>
      </c>
      <c r="N24" s="772" t="s">
        <v>751</v>
      </c>
      <c r="O24" s="773">
        <f>+P24/T24</f>
        <v>1</v>
      </c>
      <c r="P24" s="746">
        <f>+T24</f>
        <v>14000000</v>
      </c>
      <c r="Q24" s="772" t="s">
        <v>752</v>
      </c>
      <c r="R24" s="201" t="s">
        <v>753</v>
      </c>
      <c r="S24" s="201" t="s">
        <v>747</v>
      </c>
      <c r="T24" s="747">
        <v>14000000</v>
      </c>
      <c r="U24" s="747"/>
      <c r="V24" s="747"/>
      <c r="W24" s="774" t="s">
        <v>70</v>
      </c>
      <c r="X24" s="709" t="s">
        <v>282</v>
      </c>
      <c r="Y24" s="775">
        <v>0</v>
      </c>
      <c r="Z24" s="775"/>
      <c r="AA24" s="775">
        <v>40</v>
      </c>
      <c r="AB24" s="775"/>
      <c r="AC24" s="775">
        <v>0</v>
      </c>
      <c r="AD24" s="775"/>
      <c r="AE24" s="775">
        <v>40</v>
      </c>
      <c r="AF24" s="775"/>
      <c r="AG24" s="775">
        <v>0</v>
      </c>
      <c r="AH24" s="775"/>
      <c r="AI24" s="775">
        <v>0</v>
      </c>
      <c r="AJ24" s="775"/>
      <c r="AK24" s="775">
        <v>0</v>
      </c>
      <c r="AL24" s="775"/>
      <c r="AM24" s="775">
        <v>2</v>
      </c>
      <c r="AN24" s="775"/>
      <c r="AO24" s="775">
        <v>0</v>
      </c>
      <c r="AP24" s="775"/>
      <c r="AQ24" s="775">
        <v>0</v>
      </c>
      <c r="AR24" s="775"/>
      <c r="AS24" s="775">
        <v>0</v>
      </c>
      <c r="AT24" s="775"/>
      <c r="AU24" s="775">
        <v>0</v>
      </c>
      <c r="AV24" s="775"/>
      <c r="AW24" s="775">
        <v>2</v>
      </c>
      <c r="AX24" s="775"/>
      <c r="AY24" s="775">
        <v>0</v>
      </c>
      <c r="AZ24" s="775"/>
      <c r="BA24" s="92">
        <v>2</v>
      </c>
      <c r="BB24" s="92"/>
      <c r="BC24" s="775">
        <f>SUM(AC24:BA24)</f>
        <v>46</v>
      </c>
      <c r="BD24" s="776"/>
      <c r="BE24" s="776"/>
      <c r="BF24" s="776"/>
      <c r="BG24" s="776"/>
      <c r="BH24" s="776"/>
      <c r="BI24" s="776"/>
      <c r="BJ24" s="776"/>
      <c r="BK24" s="760">
        <v>44033</v>
      </c>
      <c r="BL24" s="760"/>
      <c r="BM24" s="760">
        <v>44195</v>
      </c>
      <c r="BN24" s="760"/>
      <c r="BO24" s="534" t="s">
        <v>693</v>
      </c>
      <c r="BP24" s="3"/>
    </row>
    <row r="25" spans="1:68" s="4" customFormat="1" ht="21.75" customHeight="1" x14ac:dyDescent="0.2">
      <c r="A25" s="88"/>
      <c r="D25" s="494">
        <v>37</v>
      </c>
      <c r="E25" s="777" t="s">
        <v>327</v>
      </c>
      <c r="F25" s="778"/>
      <c r="G25" s="715"/>
      <c r="H25" s="716"/>
      <c r="I25" s="716"/>
      <c r="J25" s="779"/>
      <c r="K25" s="779"/>
      <c r="L25" s="715"/>
      <c r="M25" s="780"/>
      <c r="N25" s="716"/>
      <c r="O25" s="781"/>
      <c r="P25" s="782"/>
      <c r="Q25" s="716"/>
      <c r="R25" s="716"/>
      <c r="S25" s="716"/>
      <c r="T25" s="783"/>
      <c r="U25" s="783"/>
      <c r="V25" s="783"/>
      <c r="W25" s="784"/>
      <c r="X25" s="785"/>
      <c r="Y25" s="780"/>
      <c r="Z25" s="780"/>
      <c r="AA25" s="780"/>
      <c r="AB25" s="780"/>
      <c r="AC25" s="780"/>
      <c r="AD25" s="780"/>
      <c r="AE25" s="780"/>
      <c r="AF25" s="780"/>
      <c r="AG25" s="780"/>
      <c r="AH25" s="780"/>
      <c r="AI25" s="780"/>
      <c r="AJ25" s="780"/>
      <c r="AK25" s="780"/>
      <c r="AL25" s="780"/>
      <c r="AM25" s="780"/>
      <c r="AN25" s="780"/>
      <c r="AO25" s="780"/>
      <c r="AP25" s="780"/>
      <c r="AQ25" s="780"/>
      <c r="AR25" s="780"/>
      <c r="AS25" s="780"/>
      <c r="AT25" s="780"/>
      <c r="AU25" s="780"/>
      <c r="AV25" s="780"/>
      <c r="AW25" s="780"/>
      <c r="AX25" s="780"/>
      <c r="AY25" s="780"/>
      <c r="AZ25" s="780"/>
      <c r="BA25" s="780"/>
      <c r="BB25" s="780"/>
      <c r="BC25" s="780"/>
      <c r="BD25" s="780"/>
      <c r="BE25" s="780"/>
      <c r="BF25" s="780"/>
      <c r="BG25" s="780"/>
      <c r="BH25" s="780"/>
      <c r="BI25" s="780"/>
      <c r="BJ25" s="780"/>
      <c r="BK25" s="779"/>
      <c r="BL25" s="779"/>
      <c r="BM25" s="779"/>
      <c r="BN25" s="779"/>
      <c r="BO25" s="716"/>
    </row>
    <row r="26" spans="1:68" s="221" customFormat="1" ht="108.75" customHeight="1" x14ac:dyDescent="0.2">
      <c r="A26" s="753"/>
      <c r="D26" s="458"/>
      <c r="E26" s="463"/>
      <c r="F26" s="465"/>
      <c r="G26" s="786">
        <v>4103059</v>
      </c>
      <c r="H26" s="534" t="s">
        <v>754</v>
      </c>
      <c r="I26" s="40" t="s">
        <v>755</v>
      </c>
      <c r="J26" s="36">
        <v>8</v>
      </c>
      <c r="K26" s="34">
        <v>0</v>
      </c>
      <c r="L26" s="34" t="s">
        <v>756</v>
      </c>
      <c r="M26" s="497" t="s">
        <v>699</v>
      </c>
      <c r="N26" s="534" t="s">
        <v>700</v>
      </c>
      <c r="O26" s="742">
        <f>+T26/(P26+P32+P38)</f>
        <v>0.11392405063291139</v>
      </c>
      <c r="P26" s="746">
        <f>+T26</f>
        <v>27000000</v>
      </c>
      <c r="Q26" s="737" t="s">
        <v>701</v>
      </c>
      <c r="R26" s="40" t="s">
        <v>702</v>
      </c>
      <c r="S26" s="534" t="s">
        <v>754</v>
      </c>
      <c r="T26" s="751">
        <v>27000000</v>
      </c>
      <c r="U26" s="725"/>
      <c r="V26" s="725"/>
      <c r="W26" s="787" t="s">
        <v>70</v>
      </c>
      <c r="X26" s="725" t="s">
        <v>282</v>
      </c>
      <c r="Y26" s="497">
        <v>4600</v>
      </c>
      <c r="Z26" s="497"/>
      <c r="AA26" s="497">
        <v>3810</v>
      </c>
      <c r="AB26" s="497"/>
      <c r="AC26" s="497">
        <v>0</v>
      </c>
      <c r="AD26" s="497"/>
      <c r="AE26" s="497">
        <v>5300</v>
      </c>
      <c r="AF26" s="497"/>
      <c r="AG26" s="497">
        <v>2900</v>
      </c>
      <c r="AH26" s="497"/>
      <c r="AI26" s="497">
        <v>0</v>
      </c>
      <c r="AJ26" s="497"/>
      <c r="AK26" s="497" t="s">
        <v>703</v>
      </c>
      <c r="AL26" s="497"/>
      <c r="AM26" s="497">
        <v>110</v>
      </c>
      <c r="AN26" s="497"/>
      <c r="AO26" s="497">
        <v>0</v>
      </c>
      <c r="AP26" s="497"/>
      <c r="AQ26" s="497">
        <v>0</v>
      </c>
      <c r="AR26" s="497"/>
      <c r="AS26" s="497">
        <v>0</v>
      </c>
      <c r="AT26" s="497"/>
      <c r="AU26" s="497">
        <v>0</v>
      </c>
      <c r="AV26" s="497"/>
      <c r="AW26" s="497">
        <v>0</v>
      </c>
      <c r="AX26" s="497"/>
      <c r="AY26" s="497">
        <v>100</v>
      </c>
      <c r="AZ26" s="497"/>
      <c r="BA26" s="497">
        <v>0</v>
      </c>
      <c r="BB26" s="497"/>
      <c r="BC26" s="497">
        <v>8410</v>
      </c>
      <c r="BD26" s="497"/>
      <c r="BE26" s="497"/>
      <c r="BF26" s="497"/>
      <c r="BG26" s="497"/>
      <c r="BH26" s="497"/>
      <c r="BI26" s="497"/>
      <c r="BJ26" s="497"/>
      <c r="BK26" s="752">
        <v>43832</v>
      </c>
      <c r="BL26" s="752"/>
      <c r="BM26" s="752">
        <v>44195</v>
      </c>
      <c r="BN26" s="752"/>
      <c r="BO26" s="534" t="s">
        <v>693</v>
      </c>
      <c r="BP26" s="3"/>
    </row>
    <row r="27" spans="1:68" s="221" customFormat="1" ht="89.25" customHeight="1" x14ac:dyDescent="0.2">
      <c r="A27" s="753"/>
      <c r="D27" s="788"/>
      <c r="E27" s="468"/>
      <c r="F27" s="288"/>
      <c r="G27" s="34">
        <v>4103052</v>
      </c>
      <c r="H27" s="40" t="s">
        <v>757</v>
      </c>
      <c r="I27" s="40" t="s">
        <v>758</v>
      </c>
      <c r="J27" s="36">
        <v>1</v>
      </c>
      <c r="K27" s="34">
        <v>1</v>
      </c>
      <c r="L27" s="34" t="s">
        <v>759</v>
      </c>
      <c r="M27" s="533" t="s">
        <v>760</v>
      </c>
      <c r="N27" s="534" t="s">
        <v>761</v>
      </c>
      <c r="O27" s="742">
        <f>+P27/T27</f>
        <v>1</v>
      </c>
      <c r="P27" s="746">
        <f t="shared" ref="P27:P29" si="1">+T27</f>
        <v>44520000</v>
      </c>
      <c r="Q27" s="534" t="s">
        <v>762</v>
      </c>
      <c r="R27" s="534" t="s">
        <v>763</v>
      </c>
      <c r="S27" s="40" t="s">
        <v>757</v>
      </c>
      <c r="T27" s="708">
        <v>44520000</v>
      </c>
      <c r="U27" s="708">
        <v>44520000</v>
      </c>
      <c r="V27" s="708">
        <v>9520000</v>
      </c>
      <c r="W27" s="789">
        <v>20</v>
      </c>
      <c r="X27" s="708" t="s">
        <v>764</v>
      </c>
      <c r="Y27" s="533">
        <v>704</v>
      </c>
      <c r="Z27" s="533"/>
      <c r="AA27" s="533">
        <v>896</v>
      </c>
      <c r="AB27" s="533"/>
      <c r="AC27" s="533">
        <v>0</v>
      </c>
      <c r="AD27" s="533"/>
      <c r="AE27" s="533">
        <v>0</v>
      </c>
      <c r="AF27" s="533"/>
      <c r="AG27" s="533">
        <v>1600</v>
      </c>
      <c r="AH27" s="533"/>
      <c r="AI27" s="533">
        <v>0</v>
      </c>
      <c r="AJ27" s="533"/>
      <c r="AK27" s="533">
        <v>0</v>
      </c>
      <c r="AL27" s="533"/>
      <c r="AM27" s="533">
        <v>0</v>
      </c>
      <c r="AN27" s="533"/>
      <c r="AO27" s="533">
        <v>0</v>
      </c>
      <c r="AP27" s="533"/>
      <c r="AQ27" s="533">
        <v>0</v>
      </c>
      <c r="AR27" s="533"/>
      <c r="AS27" s="533">
        <v>0</v>
      </c>
      <c r="AT27" s="533"/>
      <c r="AU27" s="533">
        <v>0</v>
      </c>
      <c r="AV27" s="533"/>
      <c r="AW27" s="533">
        <v>0</v>
      </c>
      <c r="AX27" s="533"/>
      <c r="AY27" s="533">
        <v>0</v>
      </c>
      <c r="AZ27" s="533"/>
      <c r="BA27" s="533">
        <v>0</v>
      </c>
      <c r="BB27" s="533"/>
      <c r="BC27" s="533">
        <v>1600</v>
      </c>
      <c r="BD27" s="533"/>
      <c r="BE27" s="533">
        <v>2</v>
      </c>
      <c r="BF27" s="741">
        <f>U27</f>
        <v>44520000</v>
      </c>
      <c r="BG27" s="741">
        <f>V27</f>
        <v>9520000</v>
      </c>
      <c r="BH27" s="742">
        <f>BG27/BF27</f>
        <v>0.21383647798742139</v>
      </c>
      <c r="BI27" s="533" t="s">
        <v>72</v>
      </c>
      <c r="BJ27" s="533" t="s">
        <v>765</v>
      </c>
      <c r="BK27" s="752">
        <v>43832</v>
      </c>
      <c r="BL27" s="752"/>
      <c r="BM27" s="752">
        <v>44195</v>
      </c>
      <c r="BN27" s="752"/>
      <c r="BO27" s="534" t="s">
        <v>693</v>
      </c>
      <c r="BP27" s="3"/>
    </row>
    <row r="28" spans="1:68" s="221" customFormat="1" ht="117.75" customHeight="1" thickBot="1" x14ac:dyDescent="0.25">
      <c r="A28" s="753"/>
      <c r="D28" s="788"/>
      <c r="E28" s="468"/>
      <c r="F28" s="288"/>
      <c r="G28" s="497">
        <v>4103050</v>
      </c>
      <c r="H28" s="498" t="s">
        <v>766</v>
      </c>
      <c r="I28" s="40" t="s">
        <v>767</v>
      </c>
      <c r="J28" s="36">
        <v>12</v>
      </c>
      <c r="K28" s="34">
        <v>0</v>
      </c>
      <c r="L28" s="34" t="s">
        <v>768</v>
      </c>
      <c r="M28" s="734" t="s">
        <v>736</v>
      </c>
      <c r="N28" s="790" t="s">
        <v>737</v>
      </c>
      <c r="O28" s="791">
        <f>+P28/(T28+T22)</f>
        <v>0.65789473684210531</v>
      </c>
      <c r="P28" s="746">
        <f t="shared" si="1"/>
        <v>25000000</v>
      </c>
      <c r="Q28" s="754" t="s">
        <v>738</v>
      </c>
      <c r="R28" s="40" t="s">
        <v>739</v>
      </c>
      <c r="S28" s="498" t="s">
        <v>766</v>
      </c>
      <c r="T28" s="792">
        <v>25000000</v>
      </c>
      <c r="U28" s="751"/>
      <c r="V28" s="751"/>
      <c r="W28" s="793">
        <v>88</v>
      </c>
      <c r="X28" s="751" t="s">
        <v>462</v>
      </c>
      <c r="Y28" s="756">
        <v>4500</v>
      </c>
      <c r="Z28" s="756"/>
      <c r="AA28" s="757">
        <v>4500</v>
      </c>
      <c r="AB28" s="757"/>
      <c r="AC28" s="757">
        <v>1560</v>
      </c>
      <c r="AD28" s="757"/>
      <c r="AE28" s="757">
        <v>1560</v>
      </c>
      <c r="AF28" s="757"/>
      <c r="AG28" s="757">
        <v>1560</v>
      </c>
      <c r="AH28" s="757"/>
      <c r="AI28" s="92">
        <v>2000</v>
      </c>
      <c r="AJ28" s="92"/>
      <c r="AK28" s="92">
        <v>400</v>
      </c>
      <c r="AL28" s="92"/>
      <c r="AM28" s="92">
        <v>400</v>
      </c>
      <c r="AN28" s="92"/>
      <c r="AO28" s="92">
        <v>400</v>
      </c>
      <c r="AP28" s="92"/>
      <c r="AQ28" s="92">
        <v>50</v>
      </c>
      <c r="AR28" s="92"/>
      <c r="AS28" s="92">
        <v>50</v>
      </c>
      <c r="AT28" s="92"/>
      <c r="AU28" s="92">
        <v>70</v>
      </c>
      <c r="AV28" s="92"/>
      <c r="AW28" s="92">
        <v>50</v>
      </c>
      <c r="AX28" s="92"/>
      <c r="AY28" s="92">
        <v>500</v>
      </c>
      <c r="AZ28" s="92"/>
      <c r="BA28" s="92">
        <v>400</v>
      </c>
      <c r="BB28" s="92"/>
      <c r="BC28" s="794">
        <f>SUM(AC28:BA28)</f>
        <v>9000</v>
      </c>
      <c r="BD28" s="795"/>
      <c r="BE28" s="794"/>
      <c r="BF28" s="794"/>
      <c r="BG28" s="794"/>
      <c r="BH28" s="794"/>
      <c r="BI28" s="794"/>
      <c r="BJ28" s="794"/>
      <c r="BK28" s="760">
        <v>44033</v>
      </c>
      <c r="BL28" s="760"/>
      <c r="BM28" s="760">
        <v>44195</v>
      </c>
      <c r="BN28" s="760"/>
      <c r="BO28" s="534" t="s">
        <v>693</v>
      </c>
      <c r="BP28" s="3"/>
    </row>
    <row r="29" spans="1:68" s="221" customFormat="1" ht="158.25" customHeight="1" x14ac:dyDescent="0.2">
      <c r="A29" s="753"/>
      <c r="D29" s="788"/>
      <c r="E29" s="468"/>
      <c r="F29" s="288"/>
      <c r="G29" s="786">
        <v>4103058</v>
      </c>
      <c r="H29" s="534" t="s">
        <v>769</v>
      </c>
      <c r="I29" s="40" t="s">
        <v>770</v>
      </c>
      <c r="J29" s="36">
        <v>1</v>
      </c>
      <c r="K29" s="34">
        <v>0</v>
      </c>
      <c r="L29" s="34" t="s">
        <v>771</v>
      </c>
      <c r="M29" s="734" t="s">
        <v>772</v>
      </c>
      <c r="N29" s="534" t="s">
        <v>773</v>
      </c>
      <c r="O29" s="742">
        <f>+T29/(P29+P34)</f>
        <v>0.51923076923076927</v>
      </c>
      <c r="P29" s="746">
        <f t="shared" si="1"/>
        <v>27000000</v>
      </c>
      <c r="Q29" s="534" t="s">
        <v>774</v>
      </c>
      <c r="R29" s="534" t="s">
        <v>775</v>
      </c>
      <c r="S29" s="534" t="s">
        <v>769</v>
      </c>
      <c r="T29" s="751">
        <v>27000000</v>
      </c>
      <c r="U29" s="725"/>
      <c r="V29" s="725"/>
      <c r="W29" s="787" t="s">
        <v>70</v>
      </c>
      <c r="X29" s="725" t="s">
        <v>282</v>
      </c>
      <c r="Y29" s="796">
        <v>2360</v>
      </c>
      <c r="Z29" s="796"/>
      <c r="AA29" s="796">
        <v>2360</v>
      </c>
      <c r="AB29" s="796"/>
      <c r="AC29" s="796">
        <v>1500</v>
      </c>
      <c r="AD29" s="796"/>
      <c r="AE29" s="796">
        <v>480</v>
      </c>
      <c r="AF29" s="796"/>
      <c r="AG29" s="796">
        <v>1200</v>
      </c>
      <c r="AH29" s="796"/>
      <c r="AI29" s="796">
        <v>1500</v>
      </c>
      <c r="AJ29" s="796"/>
      <c r="AK29" s="796">
        <v>20</v>
      </c>
      <c r="AL29" s="796"/>
      <c r="AM29" s="796">
        <v>20</v>
      </c>
      <c r="AN29" s="796"/>
      <c r="AO29" s="796">
        <v>0</v>
      </c>
      <c r="AP29" s="796"/>
      <c r="AQ29" s="796">
        <v>0</v>
      </c>
      <c r="AR29" s="796"/>
      <c r="AS29" s="796">
        <v>0</v>
      </c>
      <c r="AT29" s="796"/>
      <c r="AU29" s="796">
        <v>0</v>
      </c>
      <c r="AV29" s="796"/>
      <c r="AW29" s="796">
        <v>1000</v>
      </c>
      <c r="AX29" s="796"/>
      <c r="AY29" s="796">
        <v>0</v>
      </c>
      <c r="AZ29" s="796"/>
      <c r="BA29" s="796">
        <v>0</v>
      </c>
      <c r="BB29" s="796"/>
      <c r="BC29" s="796">
        <f>SUM(AC29:AO29)</f>
        <v>4720</v>
      </c>
      <c r="BD29" s="797"/>
      <c r="BE29" s="797"/>
      <c r="BF29" s="797"/>
      <c r="BG29" s="797"/>
      <c r="BH29" s="797"/>
      <c r="BI29" s="797"/>
      <c r="BJ29" s="797"/>
      <c r="BK29" s="760">
        <v>44033</v>
      </c>
      <c r="BL29" s="760"/>
      <c r="BM29" s="760">
        <v>44195</v>
      </c>
      <c r="BN29" s="760"/>
      <c r="BO29" s="534" t="s">
        <v>693</v>
      </c>
      <c r="BP29" s="3"/>
    </row>
    <row r="30" spans="1:68" s="221" customFormat="1" ht="123.75" customHeight="1" x14ac:dyDescent="0.2">
      <c r="A30" s="753"/>
      <c r="D30" s="788"/>
      <c r="E30" s="468"/>
      <c r="F30" s="288"/>
      <c r="G30" s="786" t="s">
        <v>328</v>
      </c>
      <c r="H30" s="534" t="s">
        <v>776</v>
      </c>
      <c r="I30" s="40" t="s">
        <v>777</v>
      </c>
      <c r="J30" s="36">
        <v>2</v>
      </c>
      <c r="K30" s="34">
        <v>1</v>
      </c>
      <c r="L30" s="1281" t="s">
        <v>778</v>
      </c>
      <c r="M30" s="1486" t="s">
        <v>779</v>
      </c>
      <c r="N30" s="1499" t="s">
        <v>780</v>
      </c>
      <c r="O30" s="742">
        <f>+T30/P30</f>
        <v>0.37735849056603776</v>
      </c>
      <c r="P30" s="1639">
        <f>+T30+T31</f>
        <v>79500000</v>
      </c>
      <c r="Q30" s="1499" t="s">
        <v>781</v>
      </c>
      <c r="R30" s="1499" t="s">
        <v>782</v>
      </c>
      <c r="S30" s="534" t="s">
        <v>776</v>
      </c>
      <c r="T30" s="751">
        <v>30000000</v>
      </c>
      <c r="U30" s="751"/>
      <c r="V30" s="751"/>
      <c r="W30" s="1639" t="s">
        <v>70</v>
      </c>
      <c r="X30" s="1646" t="s">
        <v>282</v>
      </c>
      <c r="Y30" s="761">
        <v>0</v>
      </c>
      <c r="Z30" s="761"/>
      <c r="AA30" s="761">
        <v>0</v>
      </c>
      <c r="AB30" s="761"/>
      <c r="AC30" s="761">
        <v>0</v>
      </c>
      <c r="AD30" s="761"/>
      <c r="AE30" s="761">
        <v>0</v>
      </c>
      <c r="AF30" s="761"/>
      <c r="AG30" s="761">
        <v>0</v>
      </c>
      <c r="AH30" s="761"/>
      <c r="AI30" s="761">
        <v>0</v>
      </c>
      <c r="AJ30" s="761"/>
      <c r="AK30" s="761">
        <v>0</v>
      </c>
      <c r="AL30" s="761"/>
      <c r="AM30" s="761">
        <v>0</v>
      </c>
      <c r="AN30" s="761"/>
      <c r="AO30" s="761">
        <v>0</v>
      </c>
      <c r="AP30" s="761"/>
      <c r="AQ30" s="761">
        <v>0</v>
      </c>
      <c r="AR30" s="761"/>
      <c r="AS30" s="761">
        <v>0</v>
      </c>
      <c r="AT30" s="761"/>
      <c r="AU30" s="761">
        <v>0</v>
      </c>
      <c r="AV30" s="761"/>
      <c r="AW30" s="761">
        <v>0</v>
      </c>
      <c r="AX30" s="761"/>
      <c r="AY30" s="761">
        <v>0</v>
      </c>
      <c r="AZ30" s="761"/>
      <c r="BA30" s="761">
        <v>0</v>
      </c>
      <c r="BB30" s="761"/>
      <c r="BC30" s="761">
        <v>500</v>
      </c>
      <c r="BD30" s="761"/>
      <c r="BE30" s="1486">
        <v>0</v>
      </c>
      <c r="BF30" s="1486"/>
      <c r="BG30" s="1486"/>
      <c r="BH30" s="1486"/>
      <c r="BI30" s="1486"/>
      <c r="BJ30" s="1486"/>
      <c r="BK30" s="1651">
        <v>44033</v>
      </c>
      <c r="BL30" s="1486"/>
      <c r="BM30" s="1651">
        <v>44195</v>
      </c>
      <c r="BN30" s="1625"/>
      <c r="BO30" s="1499" t="s">
        <v>693</v>
      </c>
      <c r="BP30" s="3"/>
    </row>
    <row r="31" spans="1:68" s="221" customFormat="1" ht="97.5" customHeight="1" x14ac:dyDescent="0.2">
      <c r="A31" s="753"/>
      <c r="D31" s="788"/>
      <c r="E31" s="468"/>
      <c r="F31" s="288"/>
      <c r="G31" s="798" t="s">
        <v>328</v>
      </c>
      <c r="H31" s="498" t="s">
        <v>783</v>
      </c>
      <c r="I31" s="40" t="s">
        <v>784</v>
      </c>
      <c r="J31" s="36">
        <v>2</v>
      </c>
      <c r="K31" s="34">
        <v>1</v>
      </c>
      <c r="L31" s="1283"/>
      <c r="M31" s="1626"/>
      <c r="N31" s="1499"/>
      <c r="O31" s="742">
        <f>+T31/P30</f>
        <v>0.62264150943396224</v>
      </c>
      <c r="P31" s="1645"/>
      <c r="Q31" s="1499"/>
      <c r="R31" s="1499"/>
      <c r="S31" s="498" t="s">
        <v>783</v>
      </c>
      <c r="T31" s="792">
        <v>49500000</v>
      </c>
      <c r="U31" s="751"/>
      <c r="V31" s="751"/>
      <c r="W31" s="1645"/>
      <c r="X31" s="1647"/>
      <c r="Y31" s="799"/>
      <c r="Z31" s="799"/>
      <c r="AA31" s="799"/>
      <c r="AB31" s="799"/>
      <c r="AC31" s="799"/>
      <c r="AD31" s="799"/>
      <c r="AE31" s="799"/>
      <c r="AF31" s="799"/>
      <c r="AG31" s="799"/>
      <c r="AH31" s="799"/>
      <c r="AI31" s="799"/>
      <c r="AJ31" s="799"/>
      <c r="AK31" s="799"/>
      <c r="AL31" s="799"/>
      <c r="AM31" s="799"/>
      <c r="AN31" s="799"/>
      <c r="AO31" s="799"/>
      <c r="AP31" s="799"/>
      <c r="AQ31" s="799"/>
      <c r="AR31" s="799"/>
      <c r="AS31" s="799"/>
      <c r="AT31" s="799"/>
      <c r="AU31" s="799"/>
      <c r="AV31" s="799"/>
      <c r="AW31" s="799"/>
      <c r="AX31" s="799"/>
      <c r="AY31" s="799"/>
      <c r="AZ31" s="799"/>
      <c r="BA31" s="799"/>
      <c r="BB31" s="799"/>
      <c r="BC31" s="799"/>
      <c r="BD31" s="799"/>
      <c r="BE31" s="1626"/>
      <c r="BF31" s="1626"/>
      <c r="BG31" s="1626"/>
      <c r="BH31" s="1626"/>
      <c r="BI31" s="1626"/>
      <c r="BJ31" s="1626"/>
      <c r="BK31" s="1498"/>
      <c r="BL31" s="1626"/>
      <c r="BM31" s="1498"/>
      <c r="BN31" s="1652"/>
      <c r="BO31" s="1499"/>
      <c r="BP31" s="3"/>
    </row>
    <row r="32" spans="1:68" s="221" customFormat="1" ht="110.25" customHeight="1" x14ac:dyDescent="0.2">
      <c r="A32" s="753"/>
      <c r="D32" s="460"/>
      <c r="E32" s="771"/>
      <c r="F32" s="539"/>
      <c r="G32" s="786" t="s">
        <v>328</v>
      </c>
      <c r="H32" s="498" t="s">
        <v>785</v>
      </c>
      <c r="I32" s="40" t="s">
        <v>786</v>
      </c>
      <c r="J32" s="36">
        <v>1</v>
      </c>
      <c r="K32" s="34">
        <v>0</v>
      </c>
      <c r="L32" s="34" t="s">
        <v>787</v>
      </c>
      <c r="M32" s="533" t="s">
        <v>788</v>
      </c>
      <c r="N32" s="534" t="s">
        <v>789</v>
      </c>
      <c r="O32" s="742">
        <f>+T32/P32</f>
        <v>1</v>
      </c>
      <c r="P32" s="738">
        <f>+T32</f>
        <v>70000000</v>
      </c>
      <c r="Q32" s="534" t="s">
        <v>790</v>
      </c>
      <c r="R32" s="534" t="s">
        <v>791</v>
      </c>
      <c r="S32" s="498" t="s">
        <v>785</v>
      </c>
      <c r="T32" s="792">
        <v>70000000</v>
      </c>
      <c r="U32" s="751"/>
      <c r="V32" s="751"/>
      <c r="W32" s="787" t="s">
        <v>70</v>
      </c>
      <c r="X32" s="725" t="s">
        <v>282</v>
      </c>
      <c r="Y32" s="533">
        <v>0</v>
      </c>
      <c r="Z32" s="533"/>
      <c r="AA32" s="533">
        <v>0</v>
      </c>
      <c r="AB32" s="533"/>
      <c r="AC32" s="533">
        <v>0</v>
      </c>
      <c r="AD32" s="533"/>
      <c r="AE32" s="533">
        <v>0</v>
      </c>
      <c r="AF32" s="533"/>
      <c r="AG32" s="533">
        <v>0</v>
      </c>
      <c r="AH32" s="533"/>
      <c r="AI32" s="533">
        <v>0</v>
      </c>
      <c r="AJ32" s="533"/>
      <c r="AK32" s="533">
        <v>0</v>
      </c>
      <c r="AL32" s="533"/>
      <c r="AM32" s="533">
        <v>0</v>
      </c>
      <c r="AN32" s="533"/>
      <c r="AO32" s="533">
        <v>0</v>
      </c>
      <c r="AP32" s="533"/>
      <c r="AQ32" s="533">
        <v>0</v>
      </c>
      <c r="AR32" s="533"/>
      <c r="AS32" s="533">
        <v>0</v>
      </c>
      <c r="AT32" s="533"/>
      <c r="AU32" s="533">
        <v>0</v>
      </c>
      <c r="AV32" s="533"/>
      <c r="AW32" s="533">
        <v>0</v>
      </c>
      <c r="AX32" s="533"/>
      <c r="AY32" s="533">
        <v>0</v>
      </c>
      <c r="AZ32" s="533"/>
      <c r="BA32" s="533">
        <v>0</v>
      </c>
      <c r="BB32" s="533"/>
      <c r="BC32" s="533">
        <v>700</v>
      </c>
      <c r="BD32" s="533"/>
      <c r="BE32" s="533">
        <v>0</v>
      </c>
      <c r="BF32" s="533"/>
      <c r="BG32" s="533"/>
      <c r="BH32" s="533"/>
      <c r="BI32" s="533"/>
      <c r="BJ32" s="533"/>
      <c r="BK32" s="752">
        <v>44033</v>
      </c>
      <c r="BL32" s="752"/>
      <c r="BM32" s="752">
        <v>44195</v>
      </c>
      <c r="BN32" s="752"/>
      <c r="BO32" s="534" t="s">
        <v>693</v>
      </c>
      <c r="BP32" s="3"/>
    </row>
    <row r="33" spans="1:68" s="4" customFormat="1" ht="25.5" customHeight="1" thickBot="1" x14ac:dyDescent="0.25">
      <c r="A33" s="88"/>
      <c r="D33" s="494">
        <v>38</v>
      </c>
      <c r="E33" s="777" t="s">
        <v>792</v>
      </c>
      <c r="F33" s="778"/>
      <c r="G33" s="715"/>
      <c r="H33" s="716"/>
      <c r="I33" s="716"/>
      <c r="J33" s="779"/>
      <c r="K33" s="779"/>
      <c r="L33" s="715"/>
      <c r="M33" s="780"/>
      <c r="N33" s="716"/>
      <c r="O33" s="781"/>
      <c r="P33" s="782"/>
      <c r="Q33" s="716"/>
      <c r="R33" s="716"/>
      <c r="S33" s="716"/>
      <c r="T33" s="783"/>
      <c r="U33" s="783"/>
      <c r="V33" s="783"/>
      <c r="W33" s="784"/>
      <c r="X33" s="785"/>
      <c r="Y33" s="780"/>
      <c r="Z33" s="780"/>
      <c r="AA33" s="780"/>
      <c r="AB33" s="780"/>
      <c r="AC33" s="780"/>
      <c r="AD33" s="780"/>
      <c r="AE33" s="780"/>
      <c r="AF33" s="780"/>
      <c r="AG33" s="780"/>
      <c r="AH33" s="780"/>
      <c r="AI33" s="780"/>
      <c r="AJ33" s="780"/>
      <c r="AK33" s="780"/>
      <c r="AL33" s="780"/>
      <c r="AM33" s="780"/>
      <c r="AN33" s="780"/>
      <c r="AO33" s="780"/>
      <c r="AP33" s="780"/>
      <c r="AQ33" s="780"/>
      <c r="AR33" s="780"/>
      <c r="AS33" s="780"/>
      <c r="AT33" s="780"/>
      <c r="AU33" s="780"/>
      <c r="AV33" s="780"/>
      <c r="AW33" s="780"/>
      <c r="AX33" s="780"/>
      <c r="AY33" s="780"/>
      <c r="AZ33" s="780"/>
      <c r="BA33" s="780"/>
      <c r="BB33" s="780"/>
      <c r="BC33" s="780"/>
      <c r="BD33" s="780"/>
      <c r="BE33" s="780"/>
      <c r="BF33" s="780"/>
      <c r="BG33" s="780"/>
      <c r="BH33" s="780"/>
      <c r="BI33" s="780"/>
      <c r="BJ33" s="780"/>
      <c r="BK33" s="779"/>
      <c r="BL33" s="779"/>
      <c r="BM33" s="779"/>
      <c r="BN33" s="779"/>
      <c r="BO33" s="716"/>
    </row>
    <row r="34" spans="1:68" s="221" customFormat="1" ht="54" customHeight="1" x14ac:dyDescent="0.2">
      <c r="A34" s="753"/>
      <c r="D34" s="458"/>
      <c r="E34" s="463"/>
      <c r="F34" s="465"/>
      <c r="G34" s="1648" t="s">
        <v>793</v>
      </c>
      <c r="H34" s="1488" t="s">
        <v>794</v>
      </c>
      <c r="I34" s="40" t="s">
        <v>795</v>
      </c>
      <c r="J34" s="34">
        <v>12</v>
      </c>
      <c r="K34" s="34">
        <v>12</v>
      </c>
      <c r="L34" s="1281" t="s">
        <v>796</v>
      </c>
      <c r="M34" s="1486" t="s">
        <v>772</v>
      </c>
      <c r="N34" s="1488" t="s">
        <v>773</v>
      </c>
      <c r="O34" s="1630">
        <f>+T34/(P34+P29)</f>
        <v>0.48076923076923078</v>
      </c>
      <c r="P34" s="1646">
        <f>+T34</f>
        <v>25000000</v>
      </c>
      <c r="Q34" s="1486" t="s">
        <v>774</v>
      </c>
      <c r="R34" s="1486" t="s">
        <v>775</v>
      </c>
      <c r="S34" s="1488" t="s">
        <v>794</v>
      </c>
      <c r="T34" s="765">
        <v>25000000</v>
      </c>
      <c r="U34" s="746"/>
      <c r="V34" s="746"/>
      <c r="W34" s="1639" t="s">
        <v>70</v>
      </c>
      <c r="X34" s="1646" t="s">
        <v>282</v>
      </c>
      <c r="Y34" s="1641">
        <v>2360</v>
      </c>
      <c r="Z34" s="800"/>
      <c r="AA34" s="1641">
        <v>2360</v>
      </c>
      <c r="AB34" s="800"/>
      <c r="AC34" s="1641">
        <v>1500</v>
      </c>
      <c r="AD34" s="800"/>
      <c r="AE34" s="1641">
        <v>480</v>
      </c>
      <c r="AF34" s="800"/>
      <c r="AG34" s="1641">
        <v>1200</v>
      </c>
      <c r="AH34" s="800"/>
      <c r="AI34" s="1641">
        <v>1500</v>
      </c>
      <c r="AJ34" s="800"/>
      <c r="AK34" s="1641">
        <v>20</v>
      </c>
      <c r="AL34" s="800"/>
      <c r="AM34" s="1641">
        <v>20</v>
      </c>
      <c r="AN34" s="800"/>
      <c r="AO34" s="1641">
        <v>0</v>
      </c>
      <c r="AP34" s="800"/>
      <c r="AQ34" s="1641">
        <v>0</v>
      </c>
      <c r="AR34" s="800"/>
      <c r="AS34" s="1641">
        <v>0</v>
      </c>
      <c r="AT34" s="800"/>
      <c r="AU34" s="1641">
        <v>0</v>
      </c>
      <c r="AV34" s="800"/>
      <c r="AW34" s="1641">
        <v>1000</v>
      </c>
      <c r="AX34" s="800"/>
      <c r="AY34" s="1641">
        <v>0</v>
      </c>
      <c r="AZ34" s="800"/>
      <c r="BA34" s="1641">
        <v>0</v>
      </c>
      <c r="BB34" s="800"/>
      <c r="BC34" s="1641">
        <f>SUM(AC34:AO34)</f>
        <v>4720</v>
      </c>
      <c r="BD34" s="801"/>
      <c r="BE34" s="1643"/>
      <c r="BF34" s="801"/>
      <c r="BG34" s="801"/>
      <c r="BH34" s="801"/>
      <c r="BI34" s="801"/>
      <c r="BJ34" s="1644" t="s">
        <v>797</v>
      </c>
      <c r="BK34" s="1625">
        <v>44033</v>
      </c>
      <c r="BL34" s="732"/>
      <c r="BM34" s="1625">
        <v>44195</v>
      </c>
      <c r="BN34" s="732"/>
      <c r="BO34" s="1488" t="s">
        <v>693</v>
      </c>
      <c r="BP34" s="3"/>
    </row>
    <row r="35" spans="1:68" s="221" customFormat="1" ht="81" customHeight="1" thickBot="1" x14ac:dyDescent="0.25">
      <c r="A35" s="753"/>
      <c r="D35" s="788"/>
      <c r="E35" s="468"/>
      <c r="F35" s="288"/>
      <c r="G35" s="1649"/>
      <c r="H35" s="1501"/>
      <c r="I35" s="40" t="s">
        <v>798</v>
      </c>
      <c r="J35" s="802">
        <v>20</v>
      </c>
      <c r="K35" s="34">
        <v>0</v>
      </c>
      <c r="L35" s="1283"/>
      <c r="M35" s="1626"/>
      <c r="N35" s="1501"/>
      <c r="O35" s="1650" t="e">
        <f t="shared" ref="O35" si="2">+T35/(P35+P40)</f>
        <v>#DIV/0!</v>
      </c>
      <c r="P35" s="1647"/>
      <c r="Q35" s="1626"/>
      <c r="R35" s="1626"/>
      <c r="S35" s="1501"/>
      <c r="T35" s="765">
        <v>14000000</v>
      </c>
      <c r="U35" s="803"/>
      <c r="V35" s="803"/>
      <c r="W35" s="1645"/>
      <c r="X35" s="1647"/>
      <c r="Y35" s="1642"/>
      <c r="Z35" s="804"/>
      <c r="AA35" s="1642"/>
      <c r="AB35" s="804"/>
      <c r="AC35" s="1642"/>
      <c r="AD35" s="804"/>
      <c r="AE35" s="1642"/>
      <c r="AF35" s="804"/>
      <c r="AG35" s="1642"/>
      <c r="AH35" s="804"/>
      <c r="AI35" s="1642"/>
      <c r="AJ35" s="804"/>
      <c r="AK35" s="1642"/>
      <c r="AL35" s="804"/>
      <c r="AM35" s="1642"/>
      <c r="AN35" s="804"/>
      <c r="AO35" s="1642"/>
      <c r="AP35" s="804"/>
      <c r="AQ35" s="1642"/>
      <c r="AR35" s="804"/>
      <c r="AS35" s="1642"/>
      <c r="AT35" s="804"/>
      <c r="AU35" s="1642"/>
      <c r="AV35" s="804"/>
      <c r="AW35" s="1642"/>
      <c r="AX35" s="804"/>
      <c r="AY35" s="1642"/>
      <c r="AZ35" s="804"/>
      <c r="BA35" s="1642"/>
      <c r="BB35" s="804"/>
      <c r="BC35" s="1642"/>
      <c r="BD35" s="801"/>
      <c r="BE35" s="1431"/>
      <c r="BF35" s="801"/>
      <c r="BG35" s="801"/>
      <c r="BH35" s="801"/>
      <c r="BI35" s="801"/>
      <c r="BJ35" s="1283"/>
      <c r="BK35" s="1626"/>
      <c r="BL35" s="734"/>
      <c r="BM35" s="1626"/>
      <c r="BN35" s="734"/>
      <c r="BO35" s="1501"/>
      <c r="BP35" s="3"/>
    </row>
    <row r="36" spans="1:68" s="221" customFormat="1" ht="81" customHeight="1" x14ac:dyDescent="0.2">
      <c r="A36" s="753"/>
      <c r="D36" s="788"/>
      <c r="E36" s="468"/>
      <c r="F36" s="288"/>
      <c r="G36" s="786" t="s">
        <v>799</v>
      </c>
      <c r="H36" s="534" t="s">
        <v>800</v>
      </c>
      <c r="I36" s="40" t="s">
        <v>801</v>
      </c>
      <c r="J36" s="34">
        <v>12</v>
      </c>
      <c r="K36" s="34">
        <v>0</v>
      </c>
      <c r="L36" s="34" t="s">
        <v>802</v>
      </c>
      <c r="M36" s="533" t="s">
        <v>803</v>
      </c>
      <c r="N36" s="534" t="s">
        <v>804</v>
      </c>
      <c r="O36" s="742">
        <f>+T36/P36</f>
        <v>1</v>
      </c>
      <c r="P36" s="738">
        <f>+T36</f>
        <v>18000000</v>
      </c>
      <c r="Q36" s="534" t="s">
        <v>805</v>
      </c>
      <c r="R36" s="534" t="s">
        <v>806</v>
      </c>
      <c r="S36" s="534" t="s">
        <v>800</v>
      </c>
      <c r="T36" s="751">
        <v>18000000</v>
      </c>
      <c r="U36" s="751"/>
      <c r="V36" s="751"/>
      <c r="W36" s="793">
        <v>88</v>
      </c>
      <c r="X36" s="751" t="s">
        <v>462</v>
      </c>
      <c r="Y36" s="533">
        <v>0</v>
      </c>
      <c r="Z36" s="533"/>
      <c r="AA36" s="533">
        <v>0</v>
      </c>
      <c r="AB36" s="533"/>
      <c r="AC36" s="533">
        <v>0</v>
      </c>
      <c r="AD36" s="533"/>
      <c r="AE36" s="533">
        <v>0</v>
      </c>
      <c r="AF36" s="533"/>
      <c r="AG36" s="533">
        <v>0</v>
      </c>
      <c r="AH36" s="533"/>
      <c r="AI36" s="533">
        <v>0</v>
      </c>
      <c r="AJ36" s="533"/>
      <c r="AK36" s="533">
        <v>0</v>
      </c>
      <c r="AL36" s="533"/>
      <c r="AM36" s="533">
        <v>0</v>
      </c>
      <c r="AN36" s="533"/>
      <c r="AO36" s="533">
        <v>0</v>
      </c>
      <c r="AP36" s="533"/>
      <c r="AQ36" s="533">
        <v>0</v>
      </c>
      <c r="AR36" s="533"/>
      <c r="AS36" s="533">
        <v>0</v>
      </c>
      <c r="AT36" s="533"/>
      <c r="AU36" s="533">
        <v>0</v>
      </c>
      <c r="AV36" s="533"/>
      <c r="AW36" s="533">
        <v>0</v>
      </c>
      <c r="AX36" s="533"/>
      <c r="AY36" s="533">
        <v>0</v>
      </c>
      <c r="AZ36" s="533"/>
      <c r="BA36" s="533">
        <v>0</v>
      </c>
      <c r="BB36" s="533"/>
      <c r="BC36" s="533">
        <v>1000</v>
      </c>
      <c r="BD36" s="533"/>
      <c r="BE36" s="533">
        <v>0</v>
      </c>
      <c r="BF36" s="533"/>
      <c r="BG36" s="533"/>
      <c r="BH36" s="533"/>
      <c r="BI36" s="533"/>
      <c r="BJ36" s="533"/>
      <c r="BK36" s="752">
        <v>44033</v>
      </c>
      <c r="BL36" s="752"/>
      <c r="BM36" s="752">
        <v>44195</v>
      </c>
      <c r="BN36" s="752"/>
      <c r="BO36" s="534" t="s">
        <v>693</v>
      </c>
      <c r="BP36" s="3"/>
    </row>
    <row r="37" spans="1:68" s="221" customFormat="1" ht="163.5" customHeight="1" x14ac:dyDescent="0.2">
      <c r="A37" s="753"/>
      <c r="D37" s="788"/>
      <c r="E37" s="468"/>
      <c r="F37" s="288"/>
      <c r="G37" s="805" t="s">
        <v>328</v>
      </c>
      <c r="H37" s="40" t="s">
        <v>807</v>
      </c>
      <c r="I37" s="40" t="s">
        <v>808</v>
      </c>
      <c r="J37" s="34">
        <v>1</v>
      </c>
      <c r="K37" s="34">
        <v>1</v>
      </c>
      <c r="L37" s="34" t="s">
        <v>809</v>
      </c>
      <c r="M37" s="533" t="s">
        <v>810</v>
      </c>
      <c r="N37" s="534" t="s">
        <v>811</v>
      </c>
      <c r="O37" s="742">
        <f t="shared" ref="O37:O38" si="3">+T37/P37</f>
        <v>1</v>
      </c>
      <c r="P37" s="738">
        <f t="shared" ref="P37:P38" si="4">+T37</f>
        <v>170000000</v>
      </c>
      <c r="Q37" s="534" t="s">
        <v>812</v>
      </c>
      <c r="R37" s="534" t="s">
        <v>813</v>
      </c>
      <c r="S37" s="40" t="s">
        <v>807</v>
      </c>
      <c r="T37" s="708">
        <v>170000000</v>
      </c>
      <c r="U37" s="708">
        <v>38980000</v>
      </c>
      <c r="V37" s="708">
        <v>38980000</v>
      </c>
      <c r="W37" s="739" t="s">
        <v>70</v>
      </c>
      <c r="X37" s="708" t="s">
        <v>282</v>
      </c>
      <c r="Y37" s="533">
        <v>1323</v>
      </c>
      <c r="Z37" s="533"/>
      <c r="AA37" s="533">
        <v>1377</v>
      </c>
      <c r="AB37" s="533"/>
      <c r="AC37" s="533">
        <v>200</v>
      </c>
      <c r="AD37" s="533"/>
      <c r="AE37" s="533">
        <v>1200</v>
      </c>
      <c r="AF37" s="533"/>
      <c r="AG37" s="533">
        <v>800</v>
      </c>
      <c r="AH37" s="533"/>
      <c r="AI37" s="533">
        <v>300</v>
      </c>
      <c r="AJ37" s="533"/>
      <c r="AK37" s="533">
        <v>0</v>
      </c>
      <c r="AL37" s="533"/>
      <c r="AM37" s="533">
        <v>0</v>
      </c>
      <c r="AN37" s="533"/>
      <c r="AO37" s="533">
        <v>0</v>
      </c>
      <c r="AP37" s="533"/>
      <c r="AQ37" s="533">
        <v>0</v>
      </c>
      <c r="AR37" s="533"/>
      <c r="AS37" s="533">
        <v>0</v>
      </c>
      <c r="AT37" s="533"/>
      <c r="AU37" s="533">
        <v>0</v>
      </c>
      <c r="AV37" s="533"/>
      <c r="AW37" s="533">
        <v>0</v>
      </c>
      <c r="AX37" s="533"/>
      <c r="AY37" s="533">
        <v>0</v>
      </c>
      <c r="AZ37" s="533"/>
      <c r="BA37" s="533">
        <v>200</v>
      </c>
      <c r="BB37" s="533"/>
      <c r="BC37" s="533">
        <v>2700</v>
      </c>
      <c r="BD37" s="533"/>
      <c r="BE37" s="533">
        <v>5</v>
      </c>
      <c r="BF37" s="741">
        <f>U37</f>
        <v>38980000</v>
      </c>
      <c r="BG37" s="741">
        <f>V37</f>
        <v>38980000</v>
      </c>
      <c r="BH37" s="742">
        <f>BG37/BF37</f>
        <v>1</v>
      </c>
      <c r="BI37" s="533" t="s">
        <v>72</v>
      </c>
      <c r="BJ37" s="533" t="s">
        <v>814</v>
      </c>
      <c r="BK37" s="752">
        <v>43832</v>
      </c>
      <c r="BL37" s="752"/>
      <c r="BM37" s="752">
        <v>44195</v>
      </c>
      <c r="BN37" s="752"/>
      <c r="BO37" s="534" t="s">
        <v>693</v>
      </c>
      <c r="BP37" s="3"/>
    </row>
    <row r="38" spans="1:68" s="4" customFormat="1" ht="150.75" customHeight="1" x14ac:dyDescent="0.2">
      <c r="A38" s="88"/>
      <c r="D38" s="806"/>
      <c r="E38" s="90"/>
      <c r="F38" s="89"/>
      <c r="G38" s="805" t="s">
        <v>328</v>
      </c>
      <c r="H38" s="40" t="s">
        <v>815</v>
      </c>
      <c r="I38" s="40" t="s">
        <v>816</v>
      </c>
      <c r="J38" s="34">
        <v>1</v>
      </c>
      <c r="K38" s="34">
        <v>1</v>
      </c>
      <c r="L38" s="34" t="s">
        <v>817</v>
      </c>
      <c r="M38" s="533" t="s">
        <v>818</v>
      </c>
      <c r="N38" s="534" t="s">
        <v>819</v>
      </c>
      <c r="O38" s="742">
        <f t="shared" si="3"/>
        <v>1</v>
      </c>
      <c r="P38" s="738">
        <f t="shared" si="4"/>
        <v>140000000</v>
      </c>
      <c r="Q38" s="534" t="s">
        <v>820</v>
      </c>
      <c r="R38" s="534" t="s">
        <v>821</v>
      </c>
      <c r="S38" s="40" t="s">
        <v>815</v>
      </c>
      <c r="T38" s="708">
        <v>140000000</v>
      </c>
      <c r="U38" s="708">
        <v>34725000</v>
      </c>
      <c r="V38" s="708">
        <v>34725000</v>
      </c>
      <c r="W38" s="739" t="s">
        <v>70</v>
      </c>
      <c r="X38" s="708" t="s">
        <v>282</v>
      </c>
      <c r="Y38" s="533">
        <v>3000</v>
      </c>
      <c r="Z38" s="533"/>
      <c r="AA38" s="533">
        <v>0</v>
      </c>
      <c r="AB38" s="533"/>
      <c r="AC38" s="533">
        <v>500</v>
      </c>
      <c r="AD38" s="533"/>
      <c r="AE38" s="533">
        <v>1500</v>
      </c>
      <c r="AF38" s="533"/>
      <c r="AG38" s="533">
        <v>800</v>
      </c>
      <c r="AH38" s="533"/>
      <c r="AI38" s="533">
        <v>100</v>
      </c>
      <c r="AJ38" s="533"/>
      <c r="AK38" s="533">
        <v>100</v>
      </c>
      <c r="AL38" s="533"/>
      <c r="AM38" s="533">
        <v>0</v>
      </c>
      <c r="AN38" s="533"/>
      <c r="AO38" s="533">
        <v>0</v>
      </c>
      <c r="AP38" s="533"/>
      <c r="AQ38" s="533">
        <v>0</v>
      </c>
      <c r="AR38" s="533"/>
      <c r="AS38" s="533">
        <v>0</v>
      </c>
      <c r="AT38" s="533"/>
      <c r="AU38" s="533">
        <v>0</v>
      </c>
      <c r="AV38" s="533"/>
      <c r="AW38" s="533">
        <v>0</v>
      </c>
      <c r="AX38" s="533"/>
      <c r="AY38" s="533">
        <v>0</v>
      </c>
      <c r="AZ38" s="533"/>
      <c r="BA38" s="533">
        <v>0</v>
      </c>
      <c r="BB38" s="533"/>
      <c r="BC38" s="533">
        <v>3000</v>
      </c>
      <c r="BD38" s="533"/>
      <c r="BE38" s="533">
        <v>4</v>
      </c>
      <c r="BF38" s="741">
        <f>U38</f>
        <v>34725000</v>
      </c>
      <c r="BG38" s="741">
        <f>V38</f>
        <v>34725000</v>
      </c>
      <c r="BH38" s="742">
        <f>BG38/BF38</f>
        <v>1</v>
      </c>
      <c r="BI38" s="533" t="s">
        <v>72</v>
      </c>
      <c r="BJ38" s="533" t="s">
        <v>814</v>
      </c>
      <c r="BK38" s="752">
        <v>43832</v>
      </c>
      <c r="BL38" s="752"/>
      <c r="BM38" s="752">
        <v>44195</v>
      </c>
      <c r="BN38" s="752"/>
      <c r="BO38" s="534" t="s">
        <v>693</v>
      </c>
      <c r="BP38" s="3"/>
    </row>
    <row r="39" spans="1:68" s="4" customFormat="1" ht="63" customHeight="1" x14ac:dyDescent="0.2">
      <c r="A39" s="88"/>
      <c r="D39" s="806"/>
      <c r="E39" s="90"/>
      <c r="F39" s="89"/>
      <c r="G39" s="805" t="s">
        <v>328</v>
      </c>
      <c r="H39" s="790" t="s">
        <v>822</v>
      </c>
      <c r="I39" s="40" t="s">
        <v>823</v>
      </c>
      <c r="J39" s="34">
        <v>1</v>
      </c>
      <c r="K39" s="34">
        <v>1</v>
      </c>
      <c r="L39" s="1281" t="s">
        <v>824</v>
      </c>
      <c r="M39" s="1486" t="s">
        <v>825</v>
      </c>
      <c r="N39" s="1488" t="s">
        <v>826</v>
      </c>
      <c r="O39" s="742">
        <f>+T39/$P$39</f>
        <v>2.1675999248722273E-2</v>
      </c>
      <c r="P39" s="1639">
        <f>+T39+T40+T41</f>
        <v>4382727592.3899994</v>
      </c>
      <c r="Q39" s="1488" t="s">
        <v>827</v>
      </c>
      <c r="R39" s="1488" t="s">
        <v>828</v>
      </c>
      <c r="S39" s="790" t="s">
        <v>822</v>
      </c>
      <c r="T39" s="807">
        <v>95000000</v>
      </c>
      <c r="U39" s="807">
        <v>49325333</v>
      </c>
      <c r="V39" s="807">
        <v>49325333</v>
      </c>
      <c r="W39" s="1633" t="s">
        <v>829</v>
      </c>
      <c r="X39" s="1636" t="s">
        <v>830</v>
      </c>
      <c r="Y39" s="1486">
        <v>3500</v>
      </c>
      <c r="Z39" s="497"/>
      <c r="AA39" s="1486">
        <v>4000</v>
      </c>
      <c r="AB39" s="497"/>
      <c r="AC39" s="1486">
        <v>0</v>
      </c>
      <c r="AD39" s="497"/>
      <c r="AE39" s="1486">
        <v>0</v>
      </c>
      <c r="AF39" s="497"/>
      <c r="AG39" s="1486">
        <v>0</v>
      </c>
      <c r="AH39" s="497"/>
      <c r="AI39" s="1486">
        <v>7500</v>
      </c>
      <c r="AJ39" s="497"/>
      <c r="AK39" s="1486">
        <v>0</v>
      </c>
      <c r="AL39" s="497"/>
      <c r="AM39" s="1486">
        <v>0</v>
      </c>
      <c r="AN39" s="497"/>
      <c r="AO39" s="1486">
        <v>0</v>
      </c>
      <c r="AP39" s="497"/>
      <c r="AQ39" s="1486">
        <v>0</v>
      </c>
      <c r="AR39" s="497"/>
      <c r="AS39" s="1486">
        <v>0</v>
      </c>
      <c r="AT39" s="497"/>
      <c r="AU39" s="1486">
        <v>0</v>
      </c>
      <c r="AV39" s="497"/>
      <c r="AW39" s="1486">
        <v>0</v>
      </c>
      <c r="AX39" s="497"/>
      <c r="AY39" s="1486">
        <v>0</v>
      </c>
      <c r="AZ39" s="497"/>
      <c r="BA39" s="1486">
        <v>0</v>
      </c>
      <c r="BB39" s="497"/>
      <c r="BC39" s="1486">
        <v>7500</v>
      </c>
      <c r="BD39" s="497"/>
      <c r="BE39" s="1486">
        <v>7</v>
      </c>
      <c r="BF39" s="1627">
        <f>SUM(V39:V41)</f>
        <v>1125775573</v>
      </c>
      <c r="BG39" s="1627">
        <f>SUM(V39:V41)</f>
        <v>1125775573</v>
      </c>
      <c r="BH39" s="1630">
        <f t="shared" ref="BH39" si="5">BG39/BF39</f>
        <v>1</v>
      </c>
      <c r="BI39" s="1486" t="s">
        <v>72</v>
      </c>
      <c r="BJ39" s="1486" t="s">
        <v>797</v>
      </c>
      <c r="BK39" s="1625">
        <v>43832</v>
      </c>
      <c r="BL39" s="1486"/>
      <c r="BM39" s="1625">
        <v>44195</v>
      </c>
      <c r="BN39" s="1486"/>
      <c r="BO39" s="1499" t="s">
        <v>693</v>
      </c>
      <c r="BP39" s="3"/>
    </row>
    <row r="40" spans="1:68" s="4" customFormat="1" ht="63" customHeight="1" x14ac:dyDescent="0.2">
      <c r="A40" s="88"/>
      <c r="D40" s="806"/>
      <c r="E40" s="90"/>
      <c r="F40" s="89"/>
      <c r="G40" s="786">
        <v>4104015</v>
      </c>
      <c r="H40" s="790" t="s">
        <v>831</v>
      </c>
      <c r="I40" s="40" t="s">
        <v>832</v>
      </c>
      <c r="J40" s="34">
        <v>7500</v>
      </c>
      <c r="K40" s="36">
        <v>3511</v>
      </c>
      <c r="L40" s="1282"/>
      <c r="M40" s="1487"/>
      <c r="N40" s="1489"/>
      <c r="O40" s="742">
        <f t="shared" ref="O40:O41" si="6">+T40/$P$39</f>
        <v>5.7042103286111239E-3</v>
      </c>
      <c r="P40" s="1640"/>
      <c r="Q40" s="1489"/>
      <c r="R40" s="1489"/>
      <c r="S40" s="790" t="s">
        <v>831</v>
      </c>
      <c r="T40" s="807">
        <v>25000000</v>
      </c>
      <c r="U40" s="807">
        <v>6048000</v>
      </c>
      <c r="V40" s="807">
        <v>6048000</v>
      </c>
      <c r="W40" s="1634"/>
      <c r="X40" s="1637"/>
      <c r="Y40" s="1487"/>
      <c r="Z40" s="500"/>
      <c r="AA40" s="1487"/>
      <c r="AB40" s="500"/>
      <c r="AC40" s="1487"/>
      <c r="AD40" s="500"/>
      <c r="AE40" s="1487"/>
      <c r="AF40" s="500"/>
      <c r="AG40" s="1487"/>
      <c r="AH40" s="500"/>
      <c r="AI40" s="1487"/>
      <c r="AJ40" s="500"/>
      <c r="AK40" s="1487"/>
      <c r="AL40" s="500"/>
      <c r="AM40" s="1487"/>
      <c r="AN40" s="500"/>
      <c r="AO40" s="1487"/>
      <c r="AP40" s="500"/>
      <c r="AQ40" s="1487"/>
      <c r="AR40" s="500"/>
      <c r="AS40" s="1487"/>
      <c r="AT40" s="500"/>
      <c r="AU40" s="1487"/>
      <c r="AV40" s="500"/>
      <c r="AW40" s="1487"/>
      <c r="AX40" s="500"/>
      <c r="AY40" s="1487"/>
      <c r="AZ40" s="500"/>
      <c r="BA40" s="1487"/>
      <c r="BB40" s="500"/>
      <c r="BC40" s="1487"/>
      <c r="BD40" s="500"/>
      <c r="BE40" s="1487"/>
      <c r="BF40" s="1628"/>
      <c r="BG40" s="1628"/>
      <c r="BH40" s="1631"/>
      <c r="BI40" s="1487"/>
      <c r="BJ40" s="1487"/>
      <c r="BK40" s="1487"/>
      <c r="BL40" s="1487"/>
      <c r="BM40" s="1487"/>
      <c r="BN40" s="1487"/>
      <c r="BO40" s="1499"/>
      <c r="BP40" s="3"/>
    </row>
    <row r="41" spans="1:68" s="4" customFormat="1" ht="84.75" customHeight="1" x14ac:dyDescent="0.2">
      <c r="A41" s="88"/>
      <c r="D41" s="806"/>
      <c r="E41" s="90"/>
      <c r="F41" s="89"/>
      <c r="G41" s="34" t="s">
        <v>328</v>
      </c>
      <c r="H41" s="790" t="s">
        <v>833</v>
      </c>
      <c r="I41" s="40" t="s">
        <v>834</v>
      </c>
      <c r="J41" s="34">
        <v>12</v>
      </c>
      <c r="K41" s="34">
        <v>12</v>
      </c>
      <c r="L41" s="1283"/>
      <c r="M41" s="1487"/>
      <c r="N41" s="1489"/>
      <c r="O41" s="742">
        <f t="shared" si="6"/>
        <v>0.97261979042266666</v>
      </c>
      <c r="P41" s="1640"/>
      <c r="Q41" s="1489"/>
      <c r="R41" s="1489"/>
      <c r="S41" s="790" t="s">
        <v>833</v>
      </c>
      <c r="T41" s="807">
        <v>4262727592.3899999</v>
      </c>
      <c r="U41" s="808">
        <v>1070402240</v>
      </c>
      <c r="V41" s="808">
        <v>1070402240</v>
      </c>
      <c r="W41" s="1635"/>
      <c r="X41" s="1638"/>
      <c r="Y41" s="1487"/>
      <c r="Z41" s="500"/>
      <c r="AA41" s="1487"/>
      <c r="AB41" s="500"/>
      <c r="AC41" s="1487"/>
      <c r="AD41" s="500"/>
      <c r="AE41" s="1487"/>
      <c r="AF41" s="500"/>
      <c r="AG41" s="1487"/>
      <c r="AH41" s="500"/>
      <c r="AI41" s="1487"/>
      <c r="AJ41" s="500"/>
      <c r="AK41" s="1487"/>
      <c r="AL41" s="500"/>
      <c r="AM41" s="1487"/>
      <c r="AN41" s="500"/>
      <c r="AO41" s="1487"/>
      <c r="AP41" s="500"/>
      <c r="AQ41" s="1487"/>
      <c r="AR41" s="500"/>
      <c r="AS41" s="1487"/>
      <c r="AT41" s="500"/>
      <c r="AU41" s="1487"/>
      <c r="AV41" s="500"/>
      <c r="AW41" s="1487"/>
      <c r="AX41" s="500"/>
      <c r="AY41" s="1487"/>
      <c r="AZ41" s="500"/>
      <c r="BA41" s="1487"/>
      <c r="BB41" s="500"/>
      <c r="BC41" s="1487"/>
      <c r="BD41" s="500"/>
      <c r="BE41" s="1626"/>
      <c r="BF41" s="1629"/>
      <c r="BG41" s="1629"/>
      <c r="BH41" s="1632"/>
      <c r="BI41" s="1626"/>
      <c r="BJ41" s="1626"/>
      <c r="BK41" s="1487"/>
      <c r="BL41" s="1626"/>
      <c r="BM41" s="1487"/>
      <c r="BN41" s="1626"/>
      <c r="BO41" s="1499"/>
      <c r="BP41" s="3"/>
    </row>
    <row r="42" spans="1:68" s="4" customFormat="1" ht="138.75" customHeight="1" x14ac:dyDescent="0.2">
      <c r="A42" s="88"/>
      <c r="D42" s="809"/>
      <c r="E42" s="102"/>
      <c r="F42" s="104"/>
      <c r="G42" s="810" t="s">
        <v>328</v>
      </c>
      <c r="H42" s="772" t="s">
        <v>835</v>
      </c>
      <c r="I42" s="40" t="s">
        <v>836</v>
      </c>
      <c r="J42" s="34">
        <v>1</v>
      </c>
      <c r="K42" s="34">
        <v>1</v>
      </c>
      <c r="L42" s="34" t="s">
        <v>837</v>
      </c>
      <c r="M42" s="533" t="s">
        <v>838</v>
      </c>
      <c r="N42" s="534" t="s">
        <v>839</v>
      </c>
      <c r="O42" s="742">
        <f t="shared" ref="O42" si="7">+T42/P42</f>
        <v>1</v>
      </c>
      <c r="P42" s="738">
        <f>+T42</f>
        <v>188546842</v>
      </c>
      <c r="Q42" s="534" t="s">
        <v>840</v>
      </c>
      <c r="R42" s="534" t="s">
        <v>841</v>
      </c>
      <c r="S42" s="772" t="s">
        <v>835</v>
      </c>
      <c r="T42" s="811">
        <v>188546842</v>
      </c>
      <c r="U42" s="811">
        <v>32053333</v>
      </c>
      <c r="V42" s="811">
        <v>32053333</v>
      </c>
      <c r="W42" s="739" t="s">
        <v>70</v>
      </c>
      <c r="X42" s="708" t="s">
        <v>282</v>
      </c>
      <c r="Y42" s="533">
        <v>2360</v>
      </c>
      <c r="Z42" s="533"/>
      <c r="AA42" s="533">
        <v>2360</v>
      </c>
      <c r="AB42" s="533"/>
      <c r="AC42" s="533">
        <v>1500</v>
      </c>
      <c r="AD42" s="533"/>
      <c r="AE42" s="533">
        <v>480</v>
      </c>
      <c r="AF42" s="533"/>
      <c r="AG42" s="533">
        <v>1200</v>
      </c>
      <c r="AH42" s="533"/>
      <c r="AI42" s="533">
        <v>1500</v>
      </c>
      <c r="AJ42" s="533"/>
      <c r="AK42" s="533">
        <v>20</v>
      </c>
      <c r="AL42" s="533"/>
      <c r="AM42" s="533">
        <v>20</v>
      </c>
      <c r="AN42" s="533"/>
      <c r="AO42" s="533">
        <v>0</v>
      </c>
      <c r="AP42" s="533"/>
      <c r="AQ42" s="533">
        <v>0</v>
      </c>
      <c r="AR42" s="533"/>
      <c r="AS42" s="533">
        <v>0</v>
      </c>
      <c r="AT42" s="533"/>
      <c r="AU42" s="533">
        <v>0</v>
      </c>
      <c r="AV42" s="533"/>
      <c r="AW42" s="533">
        <v>1000</v>
      </c>
      <c r="AX42" s="533"/>
      <c r="AY42" s="533">
        <v>0</v>
      </c>
      <c r="AZ42" s="533"/>
      <c r="BA42" s="533">
        <v>0</v>
      </c>
      <c r="BB42" s="533"/>
      <c r="BC42" s="533">
        <v>4720</v>
      </c>
      <c r="BD42" s="533"/>
      <c r="BE42" s="533">
        <v>4</v>
      </c>
      <c r="BF42" s="741">
        <f>U42</f>
        <v>32053333</v>
      </c>
      <c r="BG42" s="741">
        <f>V42</f>
        <v>32053333</v>
      </c>
      <c r="BH42" s="742">
        <f t="shared" ref="BH42" si="8">BG42/BF42</f>
        <v>1</v>
      </c>
      <c r="BI42" s="533" t="s">
        <v>72</v>
      </c>
      <c r="BJ42" s="533" t="s">
        <v>797</v>
      </c>
      <c r="BK42" s="752">
        <v>43832</v>
      </c>
      <c r="BL42" s="752"/>
      <c r="BM42" s="752">
        <v>44195</v>
      </c>
      <c r="BN42" s="752"/>
      <c r="BO42" s="534" t="s">
        <v>693</v>
      </c>
      <c r="BP42" s="3"/>
    </row>
    <row r="43" spans="1:68" s="4" customFormat="1" ht="25.5" customHeight="1" x14ac:dyDescent="0.2">
      <c r="A43" s="88"/>
      <c r="D43" s="494">
        <v>41</v>
      </c>
      <c r="E43" s="777" t="s">
        <v>336</v>
      </c>
      <c r="F43" s="778"/>
      <c r="G43" s="715"/>
      <c r="H43" s="716"/>
      <c r="I43" s="716"/>
      <c r="J43" s="779"/>
      <c r="K43" s="779"/>
      <c r="L43" s="715"/>
      <c r="M43" s="780"/>
      <c r="N43" s="716"/>
      <c r="O43" s="781"/>
      <c r="P43" s="782"/>
      <c r="Q43" s="716"/>
      <c r="R43" s="716"/>
      <c r="S43" s="716"/>
      <c r="T43" s="783"/>
      <c r="U43" s="783"/>
      <c r="V43" s="783"/>
      <c r="W43" s="784"/>
      <c r="X43" s="785"/>
      <c r="Y43" s="780"/>
      <c r="Z43" s="780"/>
      <c r="AA43" s="780"/>
      <c r="AB43" s="780"/>
      <c r="AC43" s="780"/>
      <c r="AD43" s="780"/>
      <c r="AE43" s="780"/>
      <c r="AF43" s="780"/>
      <c r="AG43" s="780"/>
      <c r="AH43" s="780"/>
      <c r="AI43" s="780"/>
      <c r="AJ43" s="780"/>
      <c r="AK43" s="780"/>
      <c r="AL43" s="780"/>
      <c r="AM43" s="780"/>
      <c r="AN43" s="780"/>
      <c r="AO43" s="780"/>
      <c r="AP43" s="780"/>
      <c r="AQ43" s="780"/>
      <c r="AR43" s="780"/>
      <c r="AS43" s="780"/>
      <c r="AT43" s="780"/>
      <c r="AU43" s="780"/>
      <c r="AV43" s="780"/>
      <c r="AW43" s="780"/>
      <c r="AX43" s="780"/>
      <c r="AY43" s="780"/>
      <c r="AZ43" s="780"/>
      <c r="BA43" s="780"/>
      <c r="BB43" s="780"/>
      <c r="BC43" s="780"/>
      <c r="BD43" s="780"/>
      <c r="BE43" s="780"/>
      <c r="BF43" s="780"/>
      <c r="BG43" s="780"/>
      <c r="BH43" s="812"/>
      <c r="BI43" s="780"/>
      <c r="BJ43" s="780"/>
      <c r="BK43" s="779"/>
      <c r="BL43" s="779"/>
      <c r="BM43" s="779"/>
      <c r="BN43" s="779"/>
      <c r="BO43" s="716"/>
    </row>
    <row r="44" spans="1:68" s="221" customFormat="1" ht="121.5" customHeight="1" x14ac:dyDescent="0.2">
      <c r="A44" s="753"/>
      <c r="D44" s="458"/>
      <c r="E44" s="463"/>
      <c r="F44" s="465"/>
      <c r="G44" s="315">
        <v>4501024</v>
      </c>
      <c r="H44" s="503" t="s">
        <v>343</v>
      </c>
      <c r="I44" s="213" t="s">
        <v>842</v>
      </c>
      <c r="J44" s="218">
        <v>1</v>
      </c>
      <c r="K44" s="218">
        <v>0</v>
      </c>
      <c r="L44" s="36" t="s">
        <v>843</v>
      </c>
      <c r="M44" s="336" t="s">
        <v>844</v>
      </c>
      <c r="N44" s="323" t="s">
        <v>845</v>
      </c>
      <c r="O44" s="476">
        <f>+T44/($P$44+$P$48+$P$53)</f>
        <v>0.48780487804878048</v>
      </c>
      <c r="P44" s="813">
        <f>+T44</f>
        <v>40000000</v>
      </c>
      <c r="Q44" s="323" t="s">
        <v>846</v>
      </c>
      <c r="R44" s="503" t="s">
        <v>847</v>
      </c>
      <c r="S44" s="503" t="s">
        <v>343</v>
      </c>
      <c r="T44" s="751">
        <v>40000000</v>
      </c>
      <c r="U44" s="814"/>
      <c r="V44" s="814"/>
      <c r="W44" s="815" t="s">
        <v>70</v>
      </c>
      <c r="X44" s="816" t="s">
        <v>282</v>
      </c>
      <c r="Y44" s="817">
        <v>295972</v>
      </c>
      <c r="Z44" s="817"/>
      <c r="AA44" s="817">
        <v>285580</v>
      </c>
      <c r="AB44" s="817"/>
      <c r="AC44" s="817">
        <v>135545</v>
      </c>
      <c r="AD44" s="817"/>
      <c r="AE44" s="817">
        <v>44254</v>
      </c>
      <c r="AF44" s="817"/>
      <c r="AG44" s="817">
        <v>309146</v>
      </c>
      <c r="AH44" s="817"/>
      <c r="AI44" s="817">
        <v>92607</v>
      </c>
      <c r="AJ44" s="817"/>
      <c r="AK44" s="817">
        <v>2145</v>
      </c>
      <c r="AL44" s="817"/>
      <c r="AM44" s="817">
        <v>12718</v>
      </c>
      <c r="AN44" s="817"/>
      <c r="AO44" s="817">
        <v>26</v>
      </c>
      <c r="AP44" s="817"/>
      <c r="AQ44" s="817">
        <v>37</v>
      </c>
      <c r="AR44" s="817"/>
      <c r="AS44" s="817">
        <v>0</v>
      </c>
      <c r="AT44" s="817"/>
      <c r="AU44" s="817">
        <v>0</v>
      </c>
      <c r="AV44" s="817"/>
      <c r="AW44" s="817">
        <v>44350</v>
      </c>
      <c r="AX44" s="817"/>
      <c r="AY44" s="817">
        <v>21944</v>
      </c>
      <c r="AZ44" s="817"/>
      <c r="BA44" s="817">
        <v>75687</v>
      </c>
      <c r="BB44" s="817"/>
      <c r="BC44" s="817">
        <f>SUM(AC44:AI44)</f>
        <v>581552</v>
      </c>
      <c r="BD44" s="817"/>
      <c r="BE44" s="817"/>
      <c r="BF44" s="817"/>
      <c r="BG44" s="817"/>
      <c r="BH44" s="818"/>
      <c r="BI44" s="817"/>
      <c r="BJ44" s="817"/>
      <c r="BK44" s="727">
        <v>44033</v>
      </c>
      <c r="BL44" s="727"/>
      <c r="BM44" s="727">
        <v>44195</v>
      </c>
      <c r="BN44" s="727"/>
      <c r="BO44" s="503" t="s">
        <v>693</v>
      </c>
    </row>
    <row r="45" spans="1:68" s="221" customFormat="1" ht="108" customHeight="1" x14ac:dyDescent="0.2">
      <c r="A45" s="753"/>
      <c r="D45" s="460"/>
      <c r="E45" s="771"/>
      <c r="F45" s="539"/>
      <c r="G45" s="332">
        <v>4501024</v>
      </c>
      <c r="H45" s="323" t="s">
        <v>343</v>
      </c>
      <c r="I45" s="213" t="s">
        <v>848</v>
      </c>
      <c r="J45" s="218">
        <v>1</v>
      </c>
      <c r="K45" s="218">
        <v>0</v>
      </c>
      <c r="L45" s="36" t="s">
        <v>849</v>
      </c>
      <c r="M45" s="322" t="s">
        <v>850</v>
      </c>
      <c r="N45" s="323" t="s">
        <v>851</v>
      </c>
      <c r="O45" s="476">
        <f>+P45/T45</f>
        <v>1</v>
      </c>
      <c r="P45" s="819">
        <f>+T45</f>
        <v>40000000</v>
      </c>
      <c r="Q45" s="323" t="s">
        <v>852</v>
      </c>
      <c r="R45" s="213" t="s">
        <v>853</v>
      </c>
      <c r="S45" s="323" t="s">
        <v>343</v>
      </c>
      <c r="T45" s="792">
        <v>40000000</v>
      </c>
      <c r="U45" s="820"/>
      <c r="V45" s="820"/>
      <c r="W45" s="815" t="s">
        <v>70</v>
      </c>
      <c r="X45" s="816" t="s">
        <v>282</v>
      </c>
      <c r="Y45" s="817">
        <v>2000</v>
      </c>
      <c r="Z45" s="817"/>
      <c r="AA45" s="817">
        <v>0</v>
      </c>
      <c r="AB45" s="817"/>
      <c r="AC45" s="817">
        <v>0</v>
      </c>
      <c r="AD45" s="817"/>
      <c r="AE45" s="817">
        <v>250</v>
      </c>
      <c r="AF45" s="817"/>
      <c r="AG45" s="817">
        <v>500</v>
      </c>
      <c r="AH45" s="817"/>
      <c r="AI45" s="817">
        <v>300</v>
      </c>
      <c r="AJ45" s="817"/>
      <c r="AK45" s="817">
        <v>20</v>
      </c>
      <c r="AL45" s="817"/>
      <c r="AM45" s="817">
        <v>20</v>
      </c>
      <c r="AN45" s="817"/>
      <c r="AO45" s="817">
        <v>20</v>
      </c>
      <c r="AP45" s="817"/>
      <c r="AQ45" s="817">
        <v>20</v>
      </c>
      <c r="AR45" s="817"/>
      <c r="AS45" s="817">
        <v>20</v>
      </c>
      <c r="AT45" s="817"/>
      <c r="AU45" s="817">
        <v>20</v>
      </c>
      <c r="AV45" s="817"/>
      <c r="AW45" s="817">
        <v>20</v>
      </c>
      <c r="AX45" s="817"/>
      <c r="AY45" s="817">
        <v>200</v>
      </c>
      <c r="AZ45" s="817"/>
      <c r="BA45" s="817">
        <v>610</v>
      </c>
      <c r="BB45" s="817"/>
      <c r="BC45" s="817">
        <f>SUM(AC45:BA45)</f>
        <v>2000</v>
      </c>
      <c r="BD45" s="817"/>
      <c r="BE45" s="817"/>
      <c r="BF45" s="817"/>
      <c r="BG45" s="817"/>
      <c r="BH45" s="817"/>
      <c r="BI45" s="817"/>
      <c r="BJ45" s="817"/>
      <c r="BK45" s="727">
        <v>44033</v>
      </c>
      <c r="BL45" s="727"/>
      <c r="BM45" s="727">
        <v>44195</v>
      </c>
      <c r="BN45" s="727"/>
      <c r="BO45" s="503" t="s">
        <v>693</v>
      </c>
    </row>
    <row r="46" spans="1:68" s="4" customFormat="1" ht="23.25" customHeight="1" x14ac:dyDescent="0.2">
      <c r="A46" s="691">
        <v>2</v>
      </c>
      <c r="B46" s="472" t="s">
        <v>204</v>
      </c>
      <c r="C46" s="382"/>
      <c r="D46" s="307"/>
      <c r="E46" s="693"/>
      <c r="F46" s="307"/>
      <c r="G46" s="306"/>
      <c r="H46" s="307"/>
      <c r="I46" s="307"/>
      <c r="J46" s="382"/>
      <c r="K46" s="382"/>
      <c r="L46" s="306"/>
      <c r="M46" s="382"/>
      <c r="N46" s="307"/>
      <c r="O46" s="821"/>
      <c r="P46" s="822"/>
      <c r="Q46" s="307"/>
      <c r="R46" s="307"/>
      <c r="S46" s="307"/>
      <c r="T46" s="822"/>
      <c r="U46" s="822"/>
      <c r="V46" s="822"/>
      <c r="W46" s="823"/>
      <c r="X46" s="824"/>
      <c r="Y46" s="382"/>
      <c r="Z46" s="382"/>
      <c r="AA46" s="382"/>
      <c r="AB46" s="382"/>
      <c r="AC46" s="382"/>
      <c r="AD46" s="382"/>
      <c r="AE46" s="382"/>
      <c r="AF46" s="382"/>
      <c r="AG46" s="382"/>
      <c r="AH46" s="382"/>
      <c r="AI46" s="382"/>
      <c r="AJ46" s="382"/>
      <c r="AK46" s="382"/>
      <c r="AL46" s="382"/>
      <c r="AM46" s="382"/>
      <c r="AN46" s="382"/>
      <c r="AO46" s="382"/>
      <c r="AP46" s="382"/>
      <c r="AQ46" s="382"/>
      <c r="AR46" s="382"/>
      <c r="AS46" s="382"/>
      <c r="AT46" s="382"/>
      <c r="AU46" s="382"/>
      <c r="AV46" s="382"/>
      <c r="AW46" s="382"/>
      <c r="AX46" s="382"/>
      <c r="AY46" s="382"/>
      <c r="AZ46" s="382"/>
      <c r="BA46" s="382"/>
      <c r="BB46" s="382"/>
      <c r="BC46" s="382"/>
      <c r="BD46" s="382"/>
      <c r="BE46" s="382"/>
      <c r="BF46" s="382"/>
      <c r="BG46" s="382"/>
      <c r="BH46" s="382"/>
      <c r="BI46" s="382"/>
      <c r="BJ46" s="382"/>
      <c r="BK46" s="382"/>
      <c r="BL46" s="382"/>
      <c r="BM46" s="382"/>
      <c r="BN46" s="382"/>
      <c r="BO46" s="307"/>
    </row>
    <row r="47" spans="1:68" s="4" customFormat="1" ht="23.25" customHeight="1" x14ac:dyDescent="0.2">
      <c r="A47" s="88"/>
      <c r="D47" s="777">
        <v>4</v>
      </c>
      <c r="E47" s="777" t="s">
        <v>854</v>
      </c>
      <c r="F47" s="778"/>
      <c r="G47" s="715"/>
      <c r="H47" s="716"/>
      <c r="I47" s="716"/>
      <c r="J47" s="779"/>
      <c r="K47" s="779"/>
      <c r="L47" s="715"/>
      <c r="M47" s="779"/>
      <c r="N47" s="825"/>
      <c r="O47" s="781"/>
      <c r="P47" s="783"/>
      <c r="Q47" s="825"/>
      <c r="R47" s="716"/>
      <c r="S47" s="716"/>
      <c r="T47" s="826"/>
      <c r="U47" s="826"/>
      <c r="V47" s="826"/>
      <c r="W47" s="782"/>
      <c r="X47" s="785"/>
      <c r="Y47" s="779"/>
      <c r="Z47" s="779"/>
      <c r="AA47" s="779"/>
      <c r="AB47" s="779"/>
      <c r="AC47" s="779"/>
      <c r="AD47" s="779"/>
      <c r="AE47" s="779"/>
      <c r="AF47" s="779"/>
      <c r="AG47" s="779"/>
      <c r="AH47" s="779"/>
      <c r="AI47" s="779"/>
      <c r="AJ47" s="779"/>
      <c r="AK47" s="779"/>
      <c r="AL47" s="779"/>
      <c r="AM47" s="779"/>
      <c r="AN47" s="779"/>
      <c r="AO47" s="779"/>
      <c r="AP47" s="779"/>
      <c r="AQ47" s="779"/>
      <c r="AR47" s="779"/>
      <c r="AS47" s="779"/>
      <c r="AT47" s="779"/>
      <c r="AU47" s="779"/>
      <c r="AV47" s="779"/>
      <c r="AW47" s="779"/>
      <c r="AX47" s="779"/>
      <c r="AY47" s="779"/>
      <c r="AZ47" s="779"/>
      <c r="BA47" s="779"/>
      <c r="BB47" s="779"/>
      <c r="BC47" s="779"/>
      <c r="BD47" s="779"/>
      <c r="BE47" s="779"/>
      <c r="BF47" s="779"/>
      <c r="BG47" s="779"/>
      <c r="BH47" s="779"/>
      <c r="BI47" s="779"/>
      <c r="BJ47" s="779"/>
      <c r="BK47" s="827"/>
      <c r="BL47" s="827"/>
      <c r="BM47" s="827"/>
      <c r="BN47" s="827"/>
      <c r="BO47" s="825"/>
    </row>
    <row r="48" spans="1:68" s="221" customFormat="1" ht="123.75" customHeight="1" x14ac:dyDescent="0.2">
      <c r="A48" s="753"/>
      <c r="D48" s="212"/>
      <c r="G48" s="828" t="s">
        <v>855</v>
      </c>
      <c r="H48" s="213" t="s">
        <v>856</v>
      </c>
      <c r="I48" s="213" t="s">
        <v>857</v>
      </c>
      <c r="J48" s="218">
        <v>2</v>
      </c>
      <c r="K48" s="218">
        <v>0</v>
      </c>
      <c r="L48" s="272" t="s">
        <v>858</v>
      </c>
      <c r="M48" s="336" t="s">
        <v>844</v>
      </c>
      <c r="N48" s="323" t="s">
        <v>845</v>
      </c>
      <c r="O48" s="476">
        <f>+T48/($P$44+$P$48+$P$53)</f>
        <v>0.32926829268292684</v>
      </c>
      <c r="P48" s="813">
        <f>+T48</f>
        <v>27000000</v>
      </c>
      <c r="Q48" s="323" t="s">
        <v>846</v>
      </c>
      <c r="R48" s="503" t="s">
        <v>847</v>
      </c>
      <c r="S48" s="213" t="s">
        <v>856</v>
      </c>
      <c r="T48" s="708">
        <v>27000000</v>
      </c>
      <c r="U48" s="816"/>
      <c r="V48" s="816"/>
      <c r="W48" s="815" t="s">
        <v>70</v>
      </c>
      <c r="X48" s="816" t="s">
        <v>282</v>
      </c>
      <c r="Y48" s="817">
        <v>295972</v>
      </c>
      <c r="Z48" s="817"/>
      <c r="AA48" s="817">
        <v>285580</v>
      </c>
      <c r="AB48" s="817"/>
      <c r="AC48" s="817">
        <v>135545</v>
      </c>
      <c r="AD48" s="817"/>
      <c r="AE48" s="817">
        <v>44254</v>
      </c>
      <c r="AF48" s="817"/>
      <c r="AG48" s="817">
        <v>309146</v>
      </c>
      <c r="AH48" s="817"/>
      <c r="AI48" s="817">
        <v>92607</v>
      </c>
      <c r="AJ48" s="817"/>
      <c r="AK48" s="817">
        <v>2145</v>
      </c>
      <c r="AL48" s="817"/>
      <c r="AM48" s="817">
        <v>12718</v>
      </c>
      <c r="AN48" s="817"/>
      <c r="AO48" s="817">
        <v>26</v>
      </c>
      <c r="AP48" s="817"/>
      <c r="AQ48" s="817">
        <v>37</v>
      </c>
      <c r="AR48" s="817"/>
      <c r="AS48" s="817">
        <v>0</v>
      </c>
      <c r="AT48" s="817"/>
      <c r="AU48" s="817">
        <v>0</v>
      </c>
      <c r="AV48" s="817"/>
      <c r="AW48" s="817">
        <v>44350</v>
      </c>
      <c r="AX48" s="817"/>
      <c r="AY48" s="817">
        <v>21944</v>
      </c>
      <c r="AZ48" s="817"/>
      <c r="BA48" s="817">
        <v>75687</v>
      </c>
      <c r="BB48" s="817"/>
      <c r="BC48" s="817">
        <f>SUM(AC48:AI48)</f>
        <v>581552</v>
      </c>
      <c r="BD48" s="817"/>
      <c r="BE48" s="817"/>
      <c r="BF48" s="817"/>
      <c r="BG48" s="817"/>
      <c r="BH48" s="817"/>
      <c r="BI48" s="817"/>
      <c r="BJ48" s="817"/>
      <c r="BK48" s="727">
        <v>44033</v>
      </c>
      <c r="BL48" s="727"/>
      <c r="BM48" s="727">
        <v>44195</v>
      </c>
      <c r="BN48" s="727"/>
      <c r="BO48" s="503" t="s">
        <v>693</v>
      </c>
    </row>
    <row r="49" spans="1:67" s="4" customFormat="1" ht="15.75" x14ac:dyDescent="0.2">
      <c r="A49" s="88"/>
      <c r="D49" s="494">
        <v>29</v>
      </c>
      <c r="E49" s="777" t="s">
        <v>859</v>
      </c>
      <c r="F49" s="778"/>
      <c r="G49" s="715"/>
      <c r="H49" s="716"/>
      <c r="I49" s="716"/>
      <c r="J49" s="779"/>
      <c r="K49" s="779"/>
      <c r="L49" s="715"/>
      <c r="M49" s="779"/>
      <c r="N49" s="825"/>
      <c r="O49" s="781"/>
      <c r="P49" s="783"/>
      <c r="Q49" s="825"/>
      <c r="R49" s="716"/>
      <c r="S49" s="716"/>
      <c r="T49" s="826"/>
      <c r="U49" s="826"/>
      <c r="V49" s="826"/>
      <c r="W49" s="782"/>
      <c r="X49" s="785"/>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79"/>
      <c r="AY49" s="779"/>
      <c r="AZ49" s="779"/>
      <c r="BA49" s="779"/>
      <c r="BB49" s="779"/>
      <c r="BC49" s="779"/>
      <c r="BD49" s="779"/>
      <c r="BE49" s="779"/>
      <c r="BF49" s="779"/>
      <c r="BG49" s="779"/>
      <c r="BH49" s="779"/>
      <c r="BI49" s="779"/>
      <c r="BJ49" s="779"/>
      <c r="BK49" s="827"/>
      <c r="BL49" s="827"/>
      <c r="BM49" s="827"/>
      <c r="BN49" s="827"/>
      <c r="BO49" s="825"/>
    </row>
    <row r="50" spans="1:67" s="221" customFormat="1" ht="96" customHeight="1" x14ac:dyDescent="0.2">
      <c r="A50" s="753"/>
      <c r="D50" s="212"/>
      <c r="G50" s="36">
        <v>3604006</v>
      </c>
      <c r="H50" s="213" t="s">
        <v>860</v>
      </c>
      <c r="I50" s="213" t="s">
        <v>358</v>
      </c>
      <c r="J50" s="218">
        <v>50</v>
      </c>
      <c r="K50" s="218">
        <v>0</v>
      </c>
      <c r="L50" s="36" t="s">
        <v>861</v>
      </c>
      <c r="M50" s="326" t="s">
        <v>743</v>
      </c>
      <c r="N50" s="829" t="s">
        <v>862</v>
      </c>
      <c r="O50" s="476">
        <f>+T50/(P50+P23)</f>
        <v>0.3125</v>
      </c>
      <c r="P50" s="724">
        <f>+T50</f>
        <v>25000000</v>
      </c>
      <c r="Q50" s="830" t="s">
        <v>745</v>
      </c>
      <c r="R50" s="831" t="s">
        <v>746</v>
      </c>
      <c r="S50" s="213" t="s">
        <v>860</v>
      </c>
      <c r="T50" s="708">
        <v>25000000</v>
      </c>
      <c r="U50" s="832"/>
      <c r="V50" s="832"/>
      <c r="W50" s="724" t="s">
        <v>70</v>
      </c>
      <c r="X50" s="726" t="s">
        <v>282</v>
      </c>
      <c r="Y50" s="833">
        <v>2080</v>
      </c>
      <c r="Z50" s="833"/>
      <c r="AA50" s="834">
        <v>1920</v>
      </c>
      <c r="AB50" s="834"/>
      <c r="AC50" s="834">
        <v>2500</v>
      </c>
      <c r="AD50" s="834"/>
      <c r="AE50" s="834">
        <v>1500</v>
      </c>
      <c r="AF50" s="834"/>
      <c r="AG50" s="834">
        <v>0</v>
      </c>
      <c r="AH50" s="834"/>
      <c r="AI50" s="218">
        <v>0</v>
      </c>
      <c r="AJ50" s="218"/>
      <c r="AK50" s="218">
        <v>40</v>
      </c>
      <c r="AL50" s="218"/>
      <c r="AM50" s="218">
        <v>40</v>
      </c>
      <c r="AN50" s="218"/>
      <c r="AO50" s="218">
        <v>0</v>
      </c>
      <c r="AP50" s="218"/>
      <c r="AQ50" s="218">
        <v>0</v>
      </c>
      <c r="AR50" s="218"/>
      <c r="AS50" s="218">
        <v>0</v>
      </c>
      <c r="AT50" s="218"/>
      <c r="AU50" s="218">
        <v>0</v>
      </c>
      <c r="AV50" s="218"/>
      <c r="AW50" s="218">
        <v>40</v>
      </c>
      <c r="AX50" s="218"/>
      <c r="AY50" s="218">
        <v>0</v>
      </c>
      <c r="AZ50" s="218"/>
      <c r="BA50" s="218">
        <v>0</v>
      </c>
      <c r="BB50" s="218"/>
      <c r="BC50" s="835">
        <v>4000</v>
      </c>
      <c r="BD50" s="836"/>
      <c r="BE50" s="836"/>
      <c r="BF50" s="836"/>
      <c r="BG50" s="836"/>
      <c r="BH50" s="836"/>
      <c r="BI50" s="836"/>
      <c r="BJ50" s="836"/>
      <c r="BK50" s="837">
        <v>44033</v>
      </c>
      <c r="BL50" s="837"/>
      <c r="BM50" s="837">
        <v>44195</v>
      </c>
      <c r="BN50" s="837"/>
      <c r="BO50" s="503" t="s">
        <v>693</v>
      </c>
    </row>
    <row r="51" spans="1:67" s="4" customFormat="1" ht="21" customHeight="1" x14ac:dyDescent="0.2">
      <c r="A51" s="838">
        <v>4</v>
      </c>
      <c r="B51" s="456" t="s">
        <v>132</v>
      </c>
      <c r="C51" s="241"/>
      <c r="D51" s="307"/>
      <c r="E51" s="693"/>
      <c r="F51" s="307"/>
      <c r="G51" s="306"/>
      <c r="H51" s="307"/>
      <c r="I51" s="307"/>
      <c r="J51" s="382"/>
      <c r="K51" s="382"/>
      <c r="L51" s="306"/>
      <c r="M51" s="382"/>
      <c r="N51" s="307"/>
      <c r="O51" s="821"/>
      <c r="P51" s="822"/>
      <c r="Q51" s="822"/>
      <c r="R51" s="822"/>
      <c r="S51" s="307"/>
      <c r="T51" s="822"/>
      <c r="U51" s="822"/>
      <c r="V51" s="822"/>
      <c r="W51" s="823"/>
      <c r="X51" s="824"/>
      <c r="Y51" s="382"/>
      <c r="Z51" s="382"/>
      <c r="AA51" s="382"/>
      <c r="AB51" s="382"/>
      <c r="AC51" s="382"/>
      <c r="AD51" s="382"/>
      <c r="AE51" s="382"/>
      <c r="AF51" s="382"/>
      <c r="AG51" s="382"/>
      <c r="AH51" s="382"/>
      <c r="AI51" s="382"/>
      <c r="AJ51" s="382"/>
      <c r="AK51" s="382"/>
      <c r="AL51" s="382"/>
      <c r="AM51" s="382"/>
      <c r="AN51" s="382"/>
      <c r="AO51" s="382"/>
      <c r="AP51" s="382"/>
      <c r="AQ51" s="382"/>
      <c r="AR51" s="382"/>
      <c r="AS51" s="382"/>
      <c r="AT51" s="382"/>
      <c r="AU51" s="382"/>
      <c r="AV51" s="382"/>
      <c r="AW51" s="382"/>
      <c r="AX51" s="382"/>
      <c r="AY51" s="382"/>
      <c r="AZ51" s="382"/>
      <c r="BA51" s="382"/>
      <c r="BB51" s="382"/>
      <c r="BC51" s="382"/>
      <c r="BD51" s="382"/>
      <c r="BE51" s="382"/>
      <c r="BF51" s="382"/>
      <c r="BG51" s="382"/>
      <c r="BH51" s="382"/>
      <c r="BI51" s="382"/>
      <c r="BJ51" s="382"/>
      <c r="BK51" s="382"/>
      <c r="BL51" s="382"/>
      <c r="BM51" s="382"/>
      <c r="BN51" s="382"/>
      <c r="BO51" s="307"/>
    </row>
    <row r="52" spans="1:67" s="4" customFormat="1" ht="33" customHeight="1" x14ac:dyDescent="0.2">
      <c r="A52" s="839"/>
      <c r="B52" s="330"/>
      <c r="C52" s="331"/>
      <c r="D52" s="494">
        <v>42</v>
      </c>
      <c r="E52" s="777" t="s">
        <v>61</v>
      </c>
      <c r="F52" s="778"/>
      <c r="G52" s="715"/>
      <c r="H52" s="716"/>
      <c r="I52" s="716"/>
      <c r="J52" s="779"/>
      <c r="K52" s="779"/>
      <c r="L52" s="715"/>
      <c r="M52" s="779"/>
      <c r="N52" s="825"/>
      <c r="O52" s="781"/>
      <c r="P52" s="783"/>
      <c r="Q52" s="825"/>
      <c r="R52" s="716"/>
      <c r="S52" s="716"/>
      <c r="T52" s="826"/>
      <c r="U52" s="826"/>
      <c r="V52" s="826"/>
      <c r="W52" s="782"/>
      <c r="X52" s="785"/>
      <c r="Y52" s="779"/>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79"/>
      <c r="AY52" s="779"/>
      <c r="AZ52" s="779"/>
      <c r="BA52" s="779"/>
      <c r="BB52" s="779"/>
      <c r="BC52" s="779"/>
      <c r="BD52" s="779"/>
      <c r="BE52" s="779"/>
      <c r="BF52" s="779"/>
      <c r="BG52" s="779"/>
      <c r="BH52" s="779"/>
      <c r="BI52" s="779"/>
      <c r="BJ52" s="779"/>
      <c r="BK52" s="827"/>
      <c r="BL52" s="827"/>
      <c r="BM52" s="827"/>
      <c r="BN52" s="827"/>
      <c r="BO52" s="825"/>
    </row>
    <row r="53" spans="1:67" s="221" customFormat="1" ht="153.75" customHeight="1" x14ac:dyDescent="0.2">
      <c r="A53" s="286"/>
      <c r="B53" s="287"/>
      <c r="C53" s="288"/>
      <c r="D53" s="465"/>
      <c r="E53" s="463"/>
      <c r="F53" s="465"/>
      <c r="G53" s="315">
        <v>4502001</v>
      </c>
      <c r="H53" s="503" t="s">
        <v>370</v>
      </c>
      <c r="I53" s="213" t="s">
        <v>863</v>
      </c>
      <c r="J53" s="218">
        <v>1</v>
      </c>
      <c r="K53" s="218">
        <v>0</v>
      </c>
      <c r="L53" s="36" t="s">
        <v>864</v>
      </c>
      <c r="M53" s="336" t="s">
        <v>844</v>
      </c>
      <c r="N53" s="503" t="s">
        <v>845</v>
      </c>
      <c r="O53" s="476">
        <f>+T53/($P$44+$P$48+$P$53)</f>
        <v>0.18292682926829268</v>
      </c>
      <c r="P53" s="813">
        <f>+T53</f>
        <v>15000000</v>
      </c>
      <c r="Q53" s="323" t="s">
        <v>846</v>
      </c>
      <c r="R53" s="503" t="s">
        <v>847</v>
      </c>
      <c r="S53" s="503" t="s">
        <v>370</v>
      </c>
      <c r="T53" s="751">
        <v>15000000</v>
      </c>
      <c r="U53" s="814"/>
      <c r="V53" s="814"/>
      <c r="W53" s="815" t="s">
        <v>70</v>
      </c>
      <c r="X53" s="816" t="s">
        <v>282</v>
      </c>
      <c r="Y53" s="817">
        <v>295972</v>
      </c>
      <c r="Z53" s="817"/>
      <c r="AA53" s="817">
        <v>285580</v>
      </c>
      <c r="AB53" s="817"/>
      <c r="AC53" s="817">
        <v>135545</v>
      </c>
      <c r="AD53" s="817"/>
      <c r="AE53" s="817">
        <v>44254</v>
      </c>
      <c r="AF53" s="817"/>
      <c r="AG53" s="817">
        <v>309146</v>
      </c>
      <c r="AH53" s="817"/>
      <c r="AI53" s="817">
        <v>92607</v>
      </c>
      <c r="AJ53" s="817"/>
      <c r="AK53" s="817">
        <v>2145</v>
      </c>
      <c r="AL53" s="817"/>
      <c r="AM53" s="817">
        <v>12718</v>
      </c>
      <c r="AN53" s="817"/>
      <c r="AO53" s="817">
        <v>26</v>
      </c>
      <c r="AP53" s="817"/>
      <c r="AQ53" s="817">
        <v>37</v>
      </c>
      <c r="AR53" s="817"/>
      <c r="AS53" s="817">
        <v>0</v>
      </c>
      <c r="AT53" s="817"/>
      <c r="AU53" s="817">
        <v>0</v>
      </c>
      <c r="AV53" s="817"/>
      <c r="AW53" s="817">
        <v>44350</v>
      </c>
      <c r="AX53" s="817"/>
      <c r="AY53" s="817">
        <v>21944</v>
      </c>
      <c r="AZ53" s="817"/>
      <c r="BA53" s="817">
        <v>75687</v>
      </c>
      <c r="BB53" s="817"/>
      <c r="BC53" s="817">
        <f>SUM(AC53:AI53)</f>
        <v>581552</v>
      </c>
      <c r="BD53" s="817"/>
      <c r="BE53" s="817"/>
      <c r="BF53" s="817"/>
      <c r="BG53" s="817"/>
      <c r="BH53" s="817"/>
      <c r="BI53" s="817"/>
      <c r="BJ53" s="817"/>
      <c r="BK53" s="727">
        <v>44033</v>
      </c>
      <c r="BL53" s="727"/>
      <c r="BM53" s="727">
        <v>44195</v>
      </c>
      <c r="BN53" s="727"/>
      <c r="BO53" s="503" t="s">
        <v>693</v>
      </c>
    </row>
    <row r="54" spans="1:67" s="221" customFormat="1" ht="24" customHeight="1" x14ac:dyDescent="0.2">
      <c r="A54" s="208"/>
      <c r="B54" s="538"/>
      <c r="C54" s="539"/>
      <c r="D54" s="210"/>
      <c r="E54" s="210"/>
      <c r="F54" s="211"/>
      <c r="G54" s="289"/>
      <c r="H54" s="118"/>
      <c r="I54" s="840"/>
      <c r="J54" s="212"/>
      <c r="K54" s="212"/>
      <c r="L54" s="36"/>
      <c r="M54" s="214"/>
      <c r="N54" s="118"/>
      <c r="O54" s="476"/>
      <c r="P54" s="216">
        <f>SUM(P12:P53)</f>
        <v>6182772069.3899994</v>
      </c>
      <c r="Q54" s="118"/>
      <c r="R54" s="118"/>
      <c r="S54" s="118"/>
      <c r="T54" s="216">
        <f>SUM(T12:T53)</f>
        <v>6196772069.3899994</v>
      </c>
      <c r="U54" s="216">
        <f>SUM(U12:U53)</f>
        <v>1413487570</v>
      </c>
      <c r="V54" s="216">
        <f>SUM(V12:V53)</f>
        <v>1374887570</v>
      </c>
      <c r="W54" s="217"/>
      <c r="X54" s="213"/>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6">
        <f t="shared" ref="BF54:BG54" si="9">SUM(BF12:BF53)</f>
        <v>1413487570</v>
      </c>
      <c r="BG54" s="216">
        <f t="shared" si="9"/>
        <v>1374887570</v>
      </c>
      <c r="BH54" s="476">
        <f>BG54/BF54</f>
        <v>0.97269165939676427</v>
      </c>
      <c r="BI54" s="214"/>
      <c r="BJ54" s="214"/>
      <c r="BK54" s="48"/>
      <c r="BL54" s="48"/>
      <c r="BM54" s="220"/>
      <c r="BN54" s="220"/>
      <c r="BO54" s="118"/>
    </row>
    <row r="55" spans="1:67" ht="27" customHeight="1" x14ac:dyDescent="0.2">
      <c r="A55" s="88"/>
      <c r="B55" s="4"/>
      <c r="C55" s="4"/>
      <c r="D55" s="4"/>
      <c r="E55" s="4"/>
      <c r="F55" s="4"/>
      <c r="G55" s="438"/>
      <c r="H55" s="125"/>
      <c r="I55" s="841"/>
      <c r="J55" s="3"/>
      <c r="K55" s="3"/>
      <c r="L55" s="72"/>
      <c r="M55" s="126"/>
      <c r="N55" s="125"/>
      <c r="O55" s="842"/>
      <c r="P55" s="137"/>
      <c r="Q55" s="125"/>
      <c r="R55" s="125"/>
      <c r="S55" s="125"/>
      <c r="T55" s="141"/>
      <c r="U55" s="141"/>
      <c r="V55" s="141"/>
      <c r="W55" s="131"/>
      <c r="X55" s="489"/>
      <c r="Y55" s="438"/>
      <c r="Z55" s="438"/>
      <c r="AA55" s="438"/>
      <c r="AB55" s="438"/>
      <c r="AC55" s="438"/>
      <c r="AD55" s="438"/>
      <c r="AE55" s="438"/>
      <c r="AF55" s="438"/>
      <c r="AG55" s="438"/>
      <c r="AH55" s="438"/>
      <c r="AI55" s="438"/>
      <c r="AJ55" s="438"/>
      <c r="AK55" s="438"/>
      <c r="AL55" s="438"/>
      <c r="AM55" s="438"/>
      <c r="AN55" s="438"/>
      <c r="AO55" s="438"/>
      <c r="AP55" s="438"/>
      <c r="AQ55" s="438"/>
      <c r="AR55" s="438"/>
      <c r="AS55" s="438"/>
      <c r="AT55" s="438"/>
      <c r="AU55" s="438"/>
      <c r="AV55" s="438"/>
      <c r="AW55" s="438"/>
      <c r="AX55" s="438"/>
      <c r="AY55" s="438"/>
      <c r="AZ55" s="438"/>
      <c r="BA55" s="438"/>
      <c r="BB55" s="438"/>
      <c r="BC55" s="438"/>
      <c r="BD55" s="438"/>
      <c r="BE55" s="438"/>
      <c r="BF55" s="438"/>
      <c r="BG55" s="438"/>
      <c r="BH55" s="438"/>
      <c r="BI55" s="438"/>
      <c r="BJ55" s="438"/>
      <c r="BK55" s="843"/>
      <c r="BL55" s="843"/>
      <c r="BM55" s="135"/>
      <c r="BN55" s="135"/>
      <c r="BO55" s="136"/>
    </row>
    <row r="56" spans="1:67" ht="27" customHeight="1" x14ac:dyDescent="0.2">
      <c r="A56" s="88"/>
      <c r="B56" s="4"/>
      <c r="C56" s="103"/>
      <c r="D56" s="103"/>
      <c r="E56" s="103"/>
      <c r="F56" s="103"/>
      <c r="G56" s="490"/>
      <c r="H56" s="125"/>
      <c r="I56" s="841"/>
      <c r="J56" s="3"/>
      <c r="K56" s="3"/>
      <c r="L56" s="72"/>
      <c r="M56" s="126"/>
      <c r="N56" s="125"/>
      <c r="O56" s="842"/>
      <c r="P56" s="137"/>
      <c r="Q56" s="125"/>
      <c r="R56" s="125"/>
      <c r="S56" s="125"/>
      <c r="T56" s="138"/>
      <c r="U56" s="138"/>
      <c r="V56" s="138"/>
      <c r="W56" s="131"/>
      <c r="X56" s="489"/>
      <c r="Y56" s="438"/>
      <c r="Z56" s="438"/>
      <c r="AA56" s="438"/>
      <c r="AB56" s="438"/>
      <c r="AC56" s="438"/>
      <c r="AD56" s="438"/>
      <c r="AE56" s="438"/>
      <c r="AF56" s="438"/>
      <c r="AG56" s="438"/>
      <c r="AH56" s="438"/>
      <c r="AI56" s="438"/>
      <c r="AJ56" s="438"/>
      <c r="AK56" s="438"/>
      <c r="AL56" s="438"/>
      <c r="AM56" s="438"/>
      <c r="AN56" s="438"/>
      <c r="AO56" s="438"/>
      <c r="AP56" s="438"/>
      <c r="AQ56" s="438"/>
      <c r="AR56" s="438"/>
      <c r="AS56" s="438"/>
      <c r="AT56" s="438"/>
      <c r="AU56" s="438"/>
      <c r="AV56" s="438"/>
      <c r="AW56" s="438"/>
      <c r="AX56" s="438"/>
      <c r="AY56" s="438"/>
      <c r="AZ56" s="438"/>
      <c r="BA56" s="438"/>
      <c r="BB56" s="438"/>
      <c r="BC56" s="438"/>
      <c r="BD56" s="438"/>
      <c r="BE56" s="438"/>
      <c r="BF56" s="438"/>
      <c r="BG56" s="438"/>
      <c r="BH56" s="438"/>
      <c r="BI56" s="438"/>
      <c r="BJ56" s="438"/>
      <c r="BK56" s="843"/>
      <c r="BL56" s="843"/>
      <c r="BM56" s="135"/>
      <c r="BN56" s="135"/>
      <c r="BO56" s="136"/>
    </row>
    <row r="57" spans="1:67" ht="27" customHeight="1" x14ac:dyDescent="0.25">
      <c r="C57" s="1370" t="s">
        <v>865</v>
      </c>
      <c r="D57" s="1370"/>
      <c r="E57" s="1370"/>
      <c r="F57" s="1370"/>
      <c r="G57" s="1370"/>
    </row>
    <row r="58" spans="1:67" ht="27" customHeight="1" x14ac:dyDescent="0.25">
      <c r="C58" s="1370" t="s">
        <v>866</v>
      </c>
      <c r="D58" s="1370"/>
      <c r="E58" s="1370"/>
      <c r="F58" s="1370"/>
      <c r="G58" s="1370"/>
    </row>
    <row r="59" spans="1:67" ht="27" customHeight="1" x14ac:dyDescent="0.2">
      <c r="C59" s="145"/>
      <c r="D59" s="224"/>
      <c r="E59" s="225"/>
      <c r="F59" s="226"/>
      <c r="G59" s="235"/>
      <c r="R59" s="846"/>
      <c r="T59" s="238"/>
      <c r="U59" s="238"/>
      <c r="V59" s="238"/>
    </row>
  </sheetData>
  <sheetProtection password="A60F" sheet="1" objects="1" scenarios="1"/>
  <mergeCells count="218">
    <mergeCell ref="I7:I9"/>
    <mergeCell ref="J7:K8"/>
    <mergeCell ref="L7:L9"/>
    <mergeCell ref="M7:M9"/>
    <mergeCell ref="N7:N9"/>
    <mergeCell ref="O7:O9"/>
    <mergeCell ref="A1:BM4"/>
    <mergeCell ref="A5:J6"/>
    <mergeCell ref="L5:BO5"/>
    <mergeCell ref="Y6:BD6"/>
    <mergeCell ref="A7:A9"/>
    <mergeCell ref="B7:C9"/>
    <mergeCell ref="D7:D9"/>
    <mergeCell ref="E7:F9"/>
    <mergeCell ref="G7:G9"/>
    <mergeCell ref="H7:H9"/>
    <mergeCell ref="X7:X9"/>
    <mergeCell ref="Y7:AB7"/>
    <mergeCell ref="AC7:AJ7"/>
    <mergeCell ref="AK7:AV7"/>
    <mergeCell ref="Y8:Z8"/>
    <mergeCell ref="AA8:AB8"/>
    <mergeCell ref="AC8:AD8"/>
    <mergeCell ref="AE8:AF8"/>
    <mergeCell ref="P7:P9"/>
    <mergeCell ref="Q7:Q9"/>
    <mergeCell ref="R7:R9"/>
    <mergeCell ref="S7:S9"/>
    <mergeCell ref="T7:T9"/>
    <mergeCell ref="U7:U9"/>
    <mergeCell ref="AW7:BB7"/>
    <mergeCell ref="BC7:BD8"/>
    <mergeCell ref="BE7:BJ7"/>
    <mergeCell ref="AI8:AJ8"/>
    <mergeCell ref="AK8:AL8"/>
    <mergeCell ref="AM8:AN8"/>
    <mergeCell ref="AO8:AP8"/>
    <mergeCell ref="AQ8:AR8"/>
    <mergeCell ref="V7:V9"/>
    <mergeCell ref="W7:W9"/>
    <mergeCell ref="BK7:BL8"/>
    <mergeCell ref="BM7:BN8"/>
    <mergeCell ref="BO7:BO9"/>
    <mergeCell ref="BF8:BF9"/>
    <mergeCell ref="BG8:BG9"/>
    <mergeCell ref="BH8:BH9"/>
    <mergeCell ref="BI8:BI9"/>
    <mergeCell ref="BJ8:BJ9"/>
    <mergeCell ref="L12:L13"/>
    <mergeCell ref="M12:M13"/>
    <mergeCell ref="N12:N13"/>
    <mergeCell ref="P12:P13"/>
    <mergeCell ref="Q12:Q13"/>
    <mergeCell ref="R12:R13"/>
    <mergeCell ref="W12:W13"/>
    <mergeCell ref="X12:X13"/>
    <mergeCell ref="Y12:Y13"/>
    <mergeCell ref="AS8:AT8"/>
    <mergeCell ref="AU8:AV8"/>
    <mergeCell ref="AW8:AX8"/>
    <mergeCell ref="AY8:AZ8"/>
    <mergeCell ref="BA8:BB8"/>
    <mergeCell ref="BE8:BE9"/>
    <mergeCell ref="AG8:AH8"/>
    <mergeCell ref="AQ12:AQ13"/>
    <mergeCell ref="AS12:AS13"/>
    <mergeCell ref="AU12:AU13"/>
    <mergeCell ref="AW12:AW13"/>
    <mergeCell ref="AA12:AA13"/>
    <mergeCell ref="AC12:AC13"/>
    <mergeCell ref="AE12:AE13"/>
    <mergeCell ref="AG12:AG13"/>
    <mergeCell ref="AI12:AI13"/>
    <mergeCell ref="AK12:AK13"/>
    <mergeCell ref="BN12:BN13"/>
    <mergeCell ref="BO12:BO13"/>
    <mergeCell ref="B13:C13"/>
    <mergeCell ref="E13:F13"/>
    <mergeCell ref="L17:L18"/>
    <mergeCell ref="M17:M18"/>
    <mergeCell ref="N17:N18"/>
    <mergeCell ref="P17:P18"/>
    <mergeCell ref="Q17:Q18"/>
    <mergeCell ref="R17:R18"/>
    <mergeCell ref="BH12:BH13"/>
    <mergeCell ref="BI12:BI13"/>
    <mergeCell ref="BJ12:BJ13"/>
    <mergeCell ref="BK12:BK13"/>
    <mergeCell ref="BL12:BL13"/>
    <mergeCell ref="BM12:BM13"/>
    <mergeCell ref="AY12:AY13"/>
    <mergeCell ref="BA12:BA13"/>
    <mergeCell ref="BC12:BC13"/>
    <mergeCell ref="BE12:BE13"/>
    <mergeCell ref="BF12:BF13"/>
    <mergeCell ref="BG12:BG13"/>
    <mergeCell ref="AM12:AM13"/>
    <mergeCell ref="AO12:AO13"/>
    <mergeCell ref="AI17:AI18"/>
    <mergeCell ref="AK17:AK18"/>
    <mergeCell ref="AM17:AM18"/>
    <mergeCell ref="AO17:AO18"/>
    <mergeCell ref="AQ17:AQ18"/>
    <mergeCell ref="W17:W18"/>
    <mergeCell ref="X17:X18"/>
    <mergeCell ref="Y17:Y18"/>
    <mergeCell ref="AA17:AA18"/>
    <mergeCell ref="AC17:AC18"/>
    <mergeCell ref="AE17:AE18"/>
    <mergeCell ref="N30:N31"/>
    <mergeCell ref="P30:P31"/>
    <mergeCell ref="Q30:Q31"/>
    <mergeCell ref="R30:R31"/>
    <mergeCell ref="BK17:BK18"/>
    <mergeCell ref="BM17:BM18"/>
    <mergeCell ref="BO17:BO18"/>
    <mergeCell ref="B18:C18"/>
    <mergeCell ref="E18:F18"/>
    <mergeCell ref="B19:C19"/>
    <mergeCell ref="E19:F19"/>
    <mergeCell ref="BE17:BE18"/>
    <mergeCell ref="BF17:BF18"/>
    <mergeCell ref="BG17:BG18"/>
    <mergeCell ref="BH17:BH18"/>
    <mergeCell ref="BI17:BI18"/>
    <mergeCell ref="BJ17:BJ18"/>
    <mergeCell ref="AS17:AS18"/>
    <mergeCell ref="AU17:AU18"/>
    <mergeCell ref="AW17:AW18"/>
    <mergeCell ref="AY17:AY18"/>
    <mergeCell ref="BA17:BA18"/>
    <mergeCell ref="BC17:BC18"/>
    <mergeCell ref="AG17:AG18"/>
    <mergeCell ref="BO30:BO31"/>
    <mergeCell ref="G34:G35"/>
    <mergeCell ref="H34:H35"/>
    <mergeCell ref="L34:L35"/>
    <mergeCell ref="M34:M35"/>
    <mergeCell ref="N34:N35"/>
    <mergeCell ref="O34:O35"/>
    <mergeCell ref="P34:P35"/>
    <mergeCell ref="Q34:Q35"/>
    <mergeCell ref="R34:R35"/>
    <mergeCell ref="BI30:BI31"/>
    <mergeCell ref="BJ30:BJ31"/>
    <mergeCell ref="BK30:BK31"/>
    <mergeCell ref="BL30:BL31"/>
    <mergeCell ref="BM30:BM31"/>
    <mergeCell ref="BN30:BN31"/>
    <mergeCell ref="W30:W31"/>
    <mergeCell ref="X30:X31"/>
    <mergeCell ref="BE30:BE31"/>
    <mergeCell ref="BF30:BF31"/>
    <mergeCell ref="BG30:BG31"/>
    <mergeCell ref="BH30:BH31"/>
    <mergeCell ref="L30:L31"/>
    <mergeCell ref="M30:M31"/>
    <mergeCell ref="AE34:AE35"/>
    <mergeCell ref="AG34:AG35"/>
    <mergeCell ref="AI34:AI35"/>
    <mergeCell ref="AK34:AK35"/>
    <mergeCell ref="AM34:AM35"/>
    <mergeCell ref="AO34:AO35"/>
    <mergeCell ref="S34:S35"/>
    <mergeCell ref="W34:W35"/>
    <mergeCell ref="X34:X35"/>
    <mergeCell ref="Y34:Y35"/>
    <mergeCell ref="AA34:AA35"/>
    <mergeCell ref="AC34:AC35"/>
    <mergeCell ref="BC34:BC35"/>
    <mergeCell ref="BE34:BE35"/>
    <mergeCell ref="BJ34:BJ35"/>
    <mergeCell ref="BK34:BK35"/>
    <mergeCell ref="BM34:BM35"/>
    <mergeCell ref="BO34:BO35"/>
    <mergeCell ref="AQ34:AQ35"/>
    <mergeCell ref="AS34:AS35"/>
    <mergeCell ref="AU34:AU35"/>
    <mergeCell ref="AW34:AW35"/>
    <mergeCell ref="AY34:AY35"/>
    <mergeCell ref="BA34:BA35"/>
    <mergeCell ref="AQ39:AQ41"/>
    <mergeCell ref="W39:W41"/>
    <mergeCell ref="X39:X41"/>
    <mergeCell ref="Y39:Y41"/>
    <mergeCell ref="AA39:AA41"/>
    <mergeCell ref="AC39:AC41"/>
    <mergeCell ref="AE39:AE41"/>
    <mergeCell ref="L39:L41"/>
    <mergeCell ref="M39:M41"/>
    <mergeCell ref="N39:N41"/>
    <mergeCell ref="P39:P41"/>
    <mergeCell ref="Q39:Q41"/>
    <mergeCell ref="R39:R41"/>
    <mergeCell ref="C58:G58"/>
    <mergeCell ref="BK39:BK41"/>
    <mergeCell ref="BL39:BL41"/>
    <mergeCell ref="BM39:BM41"/>
    <mergeCell ref="BN39:BN41"/>
    <mergeCell ref="BO39:BO41"/>
    <mergeCell ref="C57:G57"/>
    <mergeCell ref="BE39:BE41"/>
    <mergeCell ref="BF39:BF41"/>
    <mergeCell ref="BG39:BG41"/>
    <mergeCell ref="BH39:BH41"/>
    <mergeCell ref="BI39:BI41"/>
    <mergeCell ref="BJ39:BJ41"/>
    <mergeCell ref="AS39:AS41"/>
    <mergeCell ref="AU39:AU41"/>
    <mergeCell ref="AW39:AW41"/>
    <mergeCell ref="AY39:AY41"/>
    <mergeCell ref="BA39:BA41"/>
    <mergeCell ref="BC39:BC41"/>
    <mergeCell ref="AG39:AG41"/>
    <mergeCell ref="AI39:AI41"/>
    <mergeCell ref="AK39:AK41"/>
    <mergeCell ref="AM39:AM41"/>
    <mergeCell ref="AO39:AO41"/>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F98"/>
  <sheetViews>
    <sheetView showGridLines="0" zoomScale="60" zoomScaleNormal="60" workbookViewId="0">
      <selection sqref="A1:BM4"/>
    </sheetView>
  </sheetViews>
  <sheetFormatPr baseColWidth="10" defaultColWidth="11.42578125" defaultRowHeight="27" customHeight="1" x14ac:dyDescent="0.2"/>
  <cols>
    <col min="1" max="1" width="14.5703125" style="222" customWidth="1"/>
    <col min="2" max="2" width="4" style="146" customWidth="1"/>
    <col min="3" max="3" width="16.85546875" style="146" customWidth="1"/>
    <col min="4" max="4" width="13.5703125" style="146" customWidth="1"/>
    <col min="5" max="5" width="6.28515625" style="146" customWidth="1"/>
    <col min="6" max="6" width="11.42578125" style="146" customWidth="1"/>
    <col min="7" max="7" width="17.5703125" style="146" customWidth="1"/>
    <col min="8" max="8" width="54.28515625" style="225" customWidth="1"/>
    <col min="9" max="9" width="74.7109375" style="844" customWidth="1"/>
    <col min="10" max="10" width="20.28515625" style="145" customWidth="1"/>
    <col min="11" max="11" width="21.140625" style="230" customWidth="1"/>
    <col min="12" max="12" width="37.5703125" style="230" customWidth="1"/>
    <col min="13" max="13" width="28" style="844" customWidth="1"/>
    <col min="14" max="14" width="41.5703125" style="225" customWidth="1"/>
    <col min="15" max="15" width="20" style="845" customWidth="1"/>
    <col min="16" max="16" width="30.42578125" style="227" customWidth="1"/>
    <col min="17" max="17" width="28.85546875" style="223" customWidth="1"/>
    <col min="18" max="18" width="38.140625" style="223" customWidth="1"/>
    <col min="19" max="19" width="27.85546875" style="225" customWidth="1"/>
    <col min="20" max="20" width="29.5703125" style="235" customWidth="1"/>
    <col min="21" max="21" width="31.42578125" style="235" customWidth="1"/>
    <col min="22" max="22" width="33.85546875" style="235" customWidth="1"/>
    <col min="23" max="23" width="25.5703125" style="1218" customWidth="1"/>
    <col min="24" max="24" width="36" style="225" customWidth="1"/>
    <col min="25" max="25" width="12.140625" style="146" customWidth="1"/>
    <col min="26" max="26" width="14.5703125" style="146" customWidth="1"/>
    <col min="27" max="27" width="13.140625" style="146" customWidth="1"/>
    <col min="28" max="28" width="13.85546875" style="146" customWidth="1"/>
    <col min="29" max="29" width="12.7109375" style="146" customWidth="1"/>
    <col min="30" max="30" width="11" style="146" customWidth="1"/>
    <col min="31" max="32" width="9.5703125" style="146" customWidth="1"/>
    <col min="33" max="33" width="13.140625" style="146" customWidth="1"/>
    <col min="34" max="56" width="9.5703125" style="146" customWidth="1"/>
    <col min="57" max="57" width="16.7109375" style="146" customWidth="1"/>
    <col min="58" max="58" width="29.85546875" style="146" customWidth="1"/>
    <col min="59" max="59" width="28.42578125" style="146" customWidth="1"/>
    <col min="60" max="60" width="15.140625" style="146" customWidth="1"/>
    <col min="61" max="61" width="17.85546875" style="1219" customWidth="1"/>
    <col min="62" max="62" width="19.42578125" style="146" customWidth="1"/>
    <col min="63" max="64" width="13.7109375" style="652" customWidth="1"/>
    <col min="65" max="66" width="15.5703125" style="232" customWidth="1"/>
    <col min="67" max="67" width="20.7109375" style="233" customWidth="1"/>
    <col min="68" max="16384" width="11.42578125" style="146"/>
  </cols>
  <sheetData>
    <row r="1" spans="1:84" ht="30.75" customHeight="1" x14ac:dyDescent="0.2">
      <c r="A1" s="1318" t="s">
        <v>1194</v>
      </c>
      <c r="B1" s="1318"/>
      <c r="C1" s="1318"/>
      <c r="D1" s="1318"/>
      <c r="E1" s="1318"/>
      <c r="F1" s="1318"/>
      <c r="G1" s="1318"/>
      <c r="H1" s="1318"/>
      <c r="I1" s="1318"/>
      <c r="J1" s="1318"/>
      <c r="K1" s="1318"/>
      <c r="L1" s="1318"/>
      <c r="M1" s="1318"/>
      <c r="N1" s="1318"/>
      <c r="O1" s="1318"/>
      <c r="P1" s="1318"/>
      <c r="Q1" s="1318"/>
      <c r="R1" s="1318"/>
      <c r="S1" s="1318"/>
      <c r="T1" s="1318"/>
      <c r="U1" s="1318"/>
      <c r="V1" s="1318"/>
      <c r="W1" s="1318"/>
      <c r="X1" s="1318"/>
      <c r="Y1" s="1318"/>
      <c r="Z1" s="1318"/>
      <c r="AA1" s="1318"/>
      <c r="AB1" s="1318"/>
      <c r="AC1" s="1318"/>
      <c r="AD1" s="1318"/>
      <c r="AE1" s="1318"/>
      <c r="AF1" s="1318"/>
      <c r="AG1" s="1318"/>
      <c r="AH1" s="1318"/>
      <c r="AI1" s="1318"/>
      <c r="AJ1" s="1318"/>
      <c r="AK1" s="1318"/>
      <c r="AL1" s="1318"/>
      <c r="AM1" s="1318"/>
      <c r="AN1" s="1318"/>
      <c r="AO1" s="1318"/>
      <c r="AP1" s="1318"/>
      <c r="AQ1" s="1318"/>
      <c r="AR1" s="1318"/>
      <c r="AS1" s="1318"/>
      <c r="AT1" s="1318"/>
      <c r="AU1" s="1318"/>
      <c r="AV1" s="1318"/>
      <c r="AW1" s="1318"/>
      <c r="AX1" s="1318"/>
      <c r="AY1" s="1318"/>
      <c r="AZ1" s="1318"/>
      <c r="BA1" s="1318"/>
      <c r="BB1" s="1318"/>
      <c r="BC1" s="1318"/>
      <c r="BD1" s="1318"/>
      <c r="BE1" s="1318"/>
      <c r="BF1" s="1318"/>
      <c r="BG1" s="1318"/>
      <c r="BH1" s="1318"/>
      <c r="BI1" s="1318"/>
      <c r="BJ1" s="1318"/>
      <c r="BK1" s="1318"/>
      <c r="BL1" s="1318"/>
      <c r="BM1" s="1319"/>
      <c r="BN1" s="144" t="s">
        <v>1</v>
      </c>
      <c r="BO1" s="144" t="s">
        <v>131</v>
      </c>
      <c r="BP1" s="145"/>
      <c r="BQ1" s="145"/>
    </row>
    <row r="2" spans="1:84" ht="30.75" customHeight="1" x14ac:dyDescent="0.2">
      <c r="A2" s="1318"/>
      <c r="B2" s="1318"/>
      <c r="C2" s="1318"/>
      <c r="D2" s="1318"/>
      <c r="E2" s="1318"/>
      <c r="F2" s="1318"/>
      <c r="G2" s="1318"/>
      <c r="H2" s="1318"/>
      <c r="I2" s="1318"/>
      <c r="J2" s="1318"/>
      <c r="K2" s="1318"/>
      <c r="L2" s="1318"/>
      <c r="M2" s="1318"/>
      <c r="N2" s="1318"/>
      <c r="O2" s="1318"/>
      <c r="P2" s="1318"/>
      <c r="Q2" s="1318"/>
      <c r="R2" s="1318"/>
      <c r="S2" s="1318"/>
      <c r="T2" s="1318"/>
      <c r="U2" s="1318"/>
      <c r="V2" s="1318"/>
      <c r="W2" s="1318"/>
      <c r="X2" s="1318"/>
      <c r="Y2" s="1318"/>
      <c r="Z2" s="1318"/>
      <c r="AA2" s="1318"/>
      <c r="AB2" s="1318"/>
      <c r="AC2" s="1318"/>
      <c r="AD2" s="1318"/>
      <c r="AE2" s="1318"/>
      <c r="AF2" s="1318"/>
      <c r="AG2" s="1318"/>
      <c r="AH2" s="1318"/>
      <c r="AI2" s="1318"/>
      <c r="AJ2" s="1318"/>
      <c r="AK2" s="1318"/>
      <c r="AL2" s="1318"/>
      <c r="AM2" s="1318"/>
      <c r="AN2" s="1318"/>
      <c r="AO2" s="1318"/>
      <c r="AP2" s="1318"/>
      <c r="AQ2" s="1318"/>
      <c r="AR2" s="1318"/>
      <c r="AS2" s="1318"/>
      <c r="AT2" s="1318"/>
      <c r="AU2" s="1318"/>
      <c r="AV2" s="1318"/>
      <c r="AW2" s="1318"/>
      <c r="AX2" s="1318"/>
      <c r="AY2" s="1318"/>
      <c r="AZ2" s="1318"/>
      <c r="BA2" s="1318"/>
      <c r="BB2" s="1318"/>
      <c r="BC2" s="1318"/>
      <c r="BD2" s="1318"/>
      <c r="BE2" s="1318"/>
      <c r="BF2" s="1318"/>
      <c r="BG2" s="1318"/>
      <c r="BH2" s="1318"/>
      <c r="BI2" s="1318"/>
      <c r="BJ2" s="1318"/>
      <c r="BK2" s="1318"/>
      <c r="BL2" s="1318"/>
      <c r="BM2" s="1319"/>
      <c r="BN2" s="610" t="s">
        <v>3</v>
      </c>
      <c r="BO2" s="144" t="s">
        <v>4</v>
      </c>
      <c r="BP2" s="145"/>
      <c r="BQ2" s="145"/>
    </row>
    <row r="3" spans="1:84" ht="30.75" customHeight="1" x14ac:dyDescent="0.2">
      <c r="A3" s="1318"/>
      <c r="B3" s="1318"/>
      <c r="C3" s="1318"/>
      <c r="D3" s="1318"/>
      <c r="E3" s="1318"/>
      <c r="F3" s="1318"/>
      <c r="G3" s="1318"/>
      <c r="H3" s="1318"/>
      <c r="I3" s="1318"/>
      <c r="J3" s="1318"/>
      <c r="K3" s="1318"/>
      <c r="L3" s="1318"/>
      <c r="M3" s="1318"/>
      <c r="N3" s="1318"/>
      <c r="O3" s="1318"/>
      <c r="P3" s="1318"/>
      <c r="Q3" s="1318"/>
      <c r="R3" s="1318"/>
      <c r="S3" s="1318"/>
      <c r="T3" s="1318"/>
      <c r="U3" s="1318"/>
      <c r="V3" s="1318"/>
      <c r="W3" s="1318"/>
      <c r="X3" s="1318"/>
      <c r="Y3" s="1318"/>
      <c r="Z3" s="1318"/>
      <c r="AA3" s="1318"/>
      <c r="AB3" s="1318"/>
      <c r="AC3" s="1318"/>
      <c r="AD3" s="1318"/>
      <c r="AE3" s="1318"/>
      <c r="AF3" s="1318"/>
      <c r="AG3" s="1318"/>
      <c r="AH3" s="1318"/>
      <c r="AI3" s="1318"/>
      <c r="AJ3" s="1318"/>
      <c r="AK3" s="1318"/>
      <c r="AL3" s="1318"/>
      <c r="AM3" s="1318"/>
      <c r="AN3" s="1318"/>
      <c r="AO3" s="1318"/>
      <c r="AP3" s="1318"/>
      <c r="AQ3" s="1318"/>
      <c r="AR3" s="1318"/>
      <c r="AS3" s="1318"/>
      <c r="AT3" s="1318"/>
      <c r="AU3" s="1318"/>
      <c r="AV3" s="1318"/>
      <c r="AW3" s="1318"/>
      <c r="AX3" s="1318"/>
      <c r="AY3" s="1318"/>
      <c r="AZ3" s="1318"/>
      <c r="BA3" s="1318"/>
      <c r="BB3" s="1318"/>
      <c r="BC3" s="1318"/>
      <c r="BD3" s="1318"/>
      <c r="BE3" s="1318"/>
      <c r="BF3" s="1318"/>
      <c r="BG3" s="1318"/>
      <c r="BH3" s="1318"/>
      <c r="BI3" s="1318"/>
      <c r="BJ3" s="1318"/>
      <c r="BK3" s="1318"/>
      <c r="BL3" s="1318"/>
      <c r="BM3" s="1319"/>
      <c r="BN3" s="144" t="s">
        <v>5</v>
      </c>
      <c r="BO3" s="147" t="s">
        <v>6</v>
      </c>
      <c r="BP3" s="145"/>
      <c r="BQ3" s="145"/>
    </row>
    <row r="4" spans="1:84" ht="30.75" customHeight="1" x14ac:dyDescent="0.2">
      <c r="A4" s="1320"/>
      <c r="B4" s="1320"/>
      <c r="C4" s="1320"/>
      <c r="D4" s="1320"/>
      <c r="E4" s="1320"/>
      <c r="F4" s="1320"/>
      <c r="G4" s="1320"/>
      <c r="H4" s="1320"/>
      <c r="I4" s="1320"/>
      <c r="J4" s="1320"/>
      <c r="K4" s="1320"/>
      <c r="L4" s="1320"/>
      <c r="M4" s="1320"/>
      <c r="N4" s="1320"/>
      <c r="O4" s="1320"/>
      <c r="P4" s="1320"/>
      <c r="Q4" s="1320"/>
      <c r="R4" s="1320"/>
      <c r="S4" s="1320"/>
      <c r="T4" s="1320"/>
      <c r="U4" s="1320"/>
      <c r="V4" s="1320"/>
      <c r="W4" s="1320"/>
      <c r="X4" s="1320"/>
      <c r="Y4" s="1320"/>
      <c r="Z4" s="1320"/>
      <c r="AA4" s="1320"/>
      <c r="AB4" s="1320"/>
      <c r="AC4" s="1320"/>
      <c r="AD4" s="1320"/>
      <c r="AE4" s="1320"/>
      <c r="AF4" s="1320"/>
      <c r="AG4" s="1320"/>
      <c r="AH4" s="1320"/>
      <c r="AI4" s="1320"/>
      <c r="AJ4" s="1320"/>
      <c r="AK4" s="1320"/>
      <c r="AL4" s="1320"/>
      <c r="AM4" s="1320"/>
      <c r="AN4" s="1320"/>
      <c r="AO4" s="1320"/>
      <c r="AP4" s="1320"/>
      <c r="AQ4" s="1320"/>
      <c r="AR4" s="1320"/>
      <c r="AS4" s="1320"/>
      <c r="AT4" s="1320"/>
      <c r="AU4" s="1320"/>
      <c r="AV4" s="1320"/>
      <c r="AW4" s="1320"/>
      <c r="AX4" s="1320"/>
      <c r="AY4" s="1320"/>
      <c r="AZ4" s="1320"/>
      <c r="BA4" s="1320"/>
      <c r="BB4" s="1320"/>
      <c r="BC4" s="1320"/>
      <c r="BD4" s="1320"/>
      <c r="BE4" s="1320"/>
      <c r="BF4" s="1320"/>
      <c r="BG4" s="1320"/>
      <c r="BH4" s="1320"/>
      <c r="BI4" s="1320"/>
      <c r="BJ4" s="1320"/>
      <c r="BK4" s="1320"/>
      <c r="BL4" s="1320"/>
      <c r="BM4" s="1321"/>
      <c r="BN4" s="144" t="s">
        <v>7</v>
      </c>
      <c r="BO4" s="148" t="s">
        <v>8</v>
      </c>
      <c r="BP4" s="145"/>
      <c r="BQ4" s="145"/>
    </row>
    <row r="5" spans="1:84" s="4" customFormat="1" ht="30.75" customHeight="1" x14ac:dyDescent="0.2">
      <c r="A5" s="1231" t="s">
        <v>9</v>
      </c>
      <c r="B5" s="1231"/>
      <c r="C5" s="1231"/>
      <c r="D5" s="1231"/>
      <c r="E5" s="1231"/>
      <c r="F5" s="1231"/>
      <c r="G5" s="1231"/>
      <c r="H5" s="1231"/>
      <c r="I5" s="1231"/>
      <c r="J5" s="1231"/>
      <c r="K5" s="1027"/>
      <c r="L5" s="1233" t="s">
        <v>10</v>
      </c>
      <c r="M5" s="1233"/>
      <c r="N5" s="1233"/>
      <c r="O5" s="1233"/>
      <c r="P5" s="1233"/>
      <c r="Q5" s="1233"/>
      <c r="R5" s="1233"/>
      <c r="S5" s="1233"/>
      <c r="T5" s="1233"/>
      <c r="U5" s="1233"/>
      <c r="V5" s="1233"/>
      <c r="W5" s="1233"/>
      <c r="X5" s="1233"/>
      <c r="Y5" s="1233"/>
      <c r="Z5" s="1233"/>
      <c r="AA5" s="1233"/>
      <c r="AB5" s="1233"/>
      <c r="AC5" s="1233"/>
      <c r="AD5" s="1233"/>
      <c r="AE5" s="1233"/>
      <c r="AF5" s="1233"/>
      <c r="AG5" s="1233"/>
      <c r="AH5" s="1233"/>
      <c r="AI5" s="1233"/>
      <c r="AJ5" s="1233"/>
      <c r="AK5" s="1233"/>
      <c r="AL5" s="1233"/>
      <c r="AM5" s="1233"/>
      <c r="AN5" s="1233"/>
      <c r="AO5" s="1233"/>
      <c r="AP5" s="1233"/>
      <c r="AQ5" s="1233"/>
      <c r="AR5" s="1233"/>
      <c r="AS5" s="1233"/>
      <c r="AT5" s="1233"/>
      <c r="AU5" s="1233"/>
      <c r="AV5" s="1233"/>
      <c r="AW5" s="1233"/>
      <c r="AX5" s="1233"/>
      <c r="AY5" s="1233"/>
      <c r="AZ5" s="1233"/>
      <c r="BA5" s="1233"/>
      <c r="BB5" s="1233"/>
      <c r="BC5" s="1233"/>
      <c r="BD5" s="1233"/>
      <c r="BE5" s="1233"/>
      <c r="BF5" s="1233"/>
      <c r="BG5" s="1233"/>
      <c r="BH5" s="1233"/>
      <c r="BI5" s="1233"/>
      <c r="BJ5" s="1233"/>
      <c r="BK5" s="1233"/>
      <c r="BL5" s="1233"/>
      <c r="BM5" s="1233"/>
      <c r="BN5" s="1233"/>
      <c r="BO5" s="1233"/>
      <c r="BP5" s="3"/>
      <c r="BQ5" s="3"/>
      <c r="BR5" s="3"/>
      <c r="BS5" s="3"/>
      <c r="BT5" s="3"/>
      <c r="BU5" s="3"/>
      <c r="BV5" s="3"/>
      <c r="BW5" s="3"/>
      <c r="BX5" s="3"/>
      <c r="BY5" s="3"/>
      <c r="BZ5" s="3"/>
      <c r="CA5" s="3"/>
      <c r="CB5" s="3"/>
      <c r="CC5" s="3"/>
      <c r="CD5" s="3"/>
      <c r="CE5" s="3"/>
      <c r="CF5" s="3"/>
    </row>
    <row r="6" spans="1:84" s="4" customFormat="1" ht="5.0999999999999996" customHeight="1" x14ac:dyDescent="0.2">
      <c r="A6" s="1232"/>
      <c r="B6" s="1232"/>
      <c r="C6" s="1232"/>
      <c r="D6" s="1232"/>
      <c r="E6" s="1232"/>
      <c r="F6" s="1232"/>
      <c r="G6" s="1232"/>
      <c r="H6" s="1232"/>
      <c r="I6" s="1232"/>
      <c r="J6" s="1232"/>
      <c r="K6" s="1028"/>
      <c r="L6" s="1029"/>
      <c r="M6" s="2"/>
      <c r="N6" s="1149"/>
      <c r="O6" s="1029"/>
      <c r="P6" s="2"/>
      <c r="Q6" s="1149"/>
      <c r="R6" s="1149"/>
      <c r="S6" s="1149"/>
      <c r="T6" s="2"/>
      <c r="U6" s="2"/>
      <c r="V6" s="2"/>
      <c r="W6" s="2"/>
      <c r="X6" s="2"/>
      <c r="Y6" s="1233" t="s">
        <v>11</v>
      </c>
      <c r="Z6" s="1233"/>
      <c r="AA6" s="1233"/>
      <c r="AB6" s="1233"/>
      <c r="AC6" s="1233"/>
      <c r="AD6" s="1233"/>
      <c r="AE6" s="1233"/>
      <c r="AF6" s="1233"/>
      <c r="AG6" s="1233"/>
      <c r="AH6" s="1233"/>
      <c r="AI6" s="1233"/>
      <c r="AJ6" s="1233"/>
      <c r="AK6" s="1233"/>
      <c r="AL6" s="1233"/>
      <c r="AM6" s="1233"/>
      <c r="AN6" s="1233"/>
      <c r="AO6" s="1233"/>
      <c r="AP6" s="1233"/>
      <c r="AQ6" s="1233"/>
      <c r="AR6" s="1233"/>
      <c r="AS6" s="1233"/>
      <c r="AT6" s="1233"/>
      <c r="AU6" s="1233"/>
      <c r="AV6" s="1233"/>
      <c r="AW6" s="1233"/>
      <c r="AX6" s="1233"/>
      <c r="AY6" s="1233"/>
      <c r="AZ6" s="1233"/>
      <c r="BA6" s="1233"/>
      <c r="BB6" s="1233"/>
      <c r="BC6" s="1233"/>
      <c r="BD6" s="1233"/>
      <c r="BE6" s="1029"/>
      <c r="BF6" s="1029"/>
      <c r="BG6" s="1029"/>
      <c r="BH6" s="1029"/>
      <c r="BI6" s="1150"/>
      <c r="BJ6" s="1029"/>
      <c r="BK6" s="1029"/>
      <c r="BL6" s="1029"/>
      <c r="BM6" s="1029"/>
      <c r="BN6" s="1029"/>
      <c r="BO6" s="1029"/>
      <c r="BP6" s="3"/>
      <c r="BQ6" s="3"/>
      <c r="BR6" s="3"/>
      <c r="BS6" s="3"/>
      <c r="BT6" s="3"/>
      <c r="BU6" s="3"/>
      <c r="BV6" s="3"/>
      <c r="BW6" s="3"/>
      <c r="BX6" s="3"/>
      <c r="BY6" s="3"/>
      <c r="BZ6" s="3"/>
      <c r="CA6" s="3"/>
      <c r="CB6" s="3"/>
      <c r="CC6" s="3"/>
      <c r="CD6" s="3"/>
      <c r="CE6" s="3"/>
      <c r="CF6" s="3"/>
    </row>
    <row r="7" spans="1:84" s="4" customFormat="1" ht="9.9499999999999993" customHeight="1" x14ac:dyDescent="0.2">
      <c r="A7" s="1234" t="s">
        <v>12</v>
      </c>
      <c r="B7" s="1221" t="s">
        <v>13</v>
      </c>
      <c r="C7" s="1221"/>
      <c r="D7" s="1221" t="s">
        <v>12</v>
      </c>
      <c r="E7" s="1221" t="s">
        <v>14</v>
      </c>
      <c r="F7" s="1221"/>
      <c r="G7" s="1237" t="s">
        <v>12</v>
      </c>
      <c r="H7" s="1221" t="s">
        <v>15</v>
      </c>
      <c r="I7" s="1221" t="s">
        <v>16</v>
      </c>
      <c r="J7" s="1222" t="s">
        <v>17</v>
      </c>
      <c r="K7" s="1223"/>
      <c r="L7" s="1239" t="s">
        <v>18</v>
      </c>
      <c r="M7" s="1239" t="s">
        <v>19</v>
      </c>
      <c r="N7" s="1239" t="s">
        <v>10</v>
      </c>
      <c r="O7" s="1763" t="s">
        <v>20</v>
      </c>
      <c r="P7" s="1752" t="s">
        <v>21</v>
      </c>
      <c r="Q7" s="1239" t="s">
        <v>22</v>
      </c>
      <c r="R7" s="1239" t="s">
        <v>23</v>
      </c>
      <c r="S7" s="1239" t="s">
        <v>24</v>
      </c>
      <c r="T7" s="1752" t="s">
        <v>21</v>
      </c>
      <c r="U7" s="1752" t="s">
        <v>25</v>
      </c>
      <c r="V7" s="1752" t="s">
        <v>26</v>
      </c>
      <c r="W7" s="1753" t="s">
        <v>12</v>
      </c>
      <c r="X7" s="1239" t="s">
        <v>27</v>
      </c>
      <c r="Y7" s="1754" t="s">
        <v>28</v>
      </c>
      <c r="Z7" s="1755"/>
      <c r="AA7" s="1755"/>
      <c r="AB7" s="1756"/>
      <c r="AC7" s="1757" t="s">
        <v>29</v>
      </c>
      <c r="AD7" s="1758"/>
      <c r="AE7" s="1758"/>
      <c r="AF7" s="1758"/>
      <c r="AG7" s="1758"/>
      <c r="AH7" s="1758"/>
      <c r="AI7" s="1758"/>
      <c r="AJ7" s="1759"/>
      <c r="AK7" s="1760" t="s">
        <v>30</v>
      </c>
      <c r="AL7" s="1761"/>
      <c r="AM7" s="1761"/>
      <c r="AN7" s="1761"/>
      <c r="AO7" s="1761"/>
      <c r="AP7" s="1761"/>
      <c r="AQ7" s="1761"/>
      <c r="AR7" s="1761"/>
      <c r="AS7" s="1761"/>
      <c r="AT7" s="1761"/>
      <c r="AU7" s="1761"/>
      <c r="AV7" s="1762"/>
      <c r="AW7" s="1764" t="s">
        <v>31</v>
      </c>
      <c r="AX7" s="1765"/>
      <c r="AY7" s="1765"/>
      <c r="AZ7" s="1765"/>
      <c r="BA7" s="1765"/>
      <c r="BB7" s="1766"/>
      <c r="BC7" s="1259" t="s">
        <v>32</v>
      </c>
      <c r="BD7" s="1260"/>
      <c r="BE7" s="1767" t="s">
        <v>33</v>
      </c>
      <c r="BF7" s="1768"/>
      <c r="BG7" s="1768"/>
      <c r="BH7" s="1768"/>
      <c r="BI7" s="1768"/>
      <c r="BJ7" s="1769"/>
      <c r="BK7" s="1268" t="s">
        <v>34</v>
      </c>
      <c r="BL7" s="1269"/>
      <c r="BM7" s="1268" t="s">
        <v>35</v>
      </c>
      <c r="BN7" s="1269"/>
      <c r="BO7" s="1031" t="s">
        <v>36</v>
      </c>
      <c r="BP7" s="3"/>
      <c r="BQ7" s="3"/>
      <c r="BR7" s="3"/>
      <c r="BS7" s="3"/>
      <c r="BT7" s="3"/>
      <c r="BU7" s="3"/>
      <c r="BV7" s="3"/>
      <c r="BW7" s="3"/>
      <c r="BX7" s="3"/>
    </row>
    <row r="8" spans="1:84" s="4" customFormat="1" ht="12.6" customHeight="1" x14ac:dyDescent="0.2">
      <c r="A8" s="1235"/>
      <c r="B8" s="1221"/>
      <c r="C8" s="1221"/>
      <c r="D8" s="1221"/>
      <c r="E8" s="1221"/>
      <c r="F8" s="1221"/>
      <c r="G8" s="1238"/>
      <c r="H8" s="1221"/>
      <c r="I8" s="1221"/>
      <c r="J8" s="1224"/>
      <c r="K8" s="1225"/>
      <c r="L8" s="1221"/>
      <c r="M8" s="1221"/>
      <c r="N8" s="1221"/>
      <c r="O8" s="1226"/>
      <c r="P8" s="1253"/>
      <c r="Q8" s="1221"/>
      <c r="R8" s="1221"/>
      <c r="S8" s="1221"/>
      <c r="T8" s="1253"/>
      <c r="U8" s="1253"/>
      <c r="V8" s="1253"/>
      <c r="W8" s="1264"/>
      <c r="X8" s="1221"/>
      <c r="Y8" s="1249" t="s">
        <v>37</v>
      </c>
      <c r="Z8" s="1250"/>
      <c r="AA8" s="1251" t="s">
        <v>38</v>
      </c>
      <c r="AB8" s="1252"/>
      <c r="AC8" s="1249" t="s">
        <v>39</v>
      </c>
      <c r="AD8" s="1250"/>
      <c r="AE8" s="1249" t="s">
        <v>40</v>
      </c>
      <c r="AF8" s="1250"/>
      <c r="AG8" s="1249" t="s">
        <v>41</v>
      </c>
      <c r="AH8" s="1250"/>
      <c r="AI8" s="1249" t="s">
        <v>42</v>
      </c>
      <c r="AJ8" s="1250"/>
      <c r="AK8" s="1249" t="s">
        <v>43</v>
      </c>
      <c r="AL8" s="1250"/>
      <c r="AM8" s="1249" t="s">
        <v>44</v>
      </c>
      <c r="AN8" s="1250"/>
      <c r="AO8" s="1249" t="s">
        <v>45</v>
      </c>
      <c r="AP8" s="1250"/>
      <c r="AQ8" s="1249" t="s">
        <v>46</v>
      </c>
      <c r="AR8" s="1250"/>
      <c r="AS8" s="1249" t="s">
        <v>47</v>
      </c>
      <c r="AT8" s="1250"/>
      <c r="AU8" s="1249" t="s">
        <v>48</v>
      </c>
      <c r="AV8" s="1250"/>
      <c r="AW8" s="1249" t="s">
        <v>49</v>
      </c>
      <c r="AX8" s="1250"/>
      <c r="AY8" s="1249" t="s">
        <v>50</v>
      </c>
      <c r="AZ8" s="1250"/>
      <c r="BA8" s="1302" t="s">
        <v>51</v>
      </c>
      <c r="BB8" s="1302"/>
      <c r="BC8" s="1259"/>
      <c r="BD8" s="1260"/>
      <c r="BE8" s="1276" t="s">
        <v>52</v>
      </c>
      <c r="BF8" s="1748" t="s">
        <v>53</v>
      </c>
      <c r="BG8" s="1276" t="s">
        <v>54</v>
      </c>
      <c r="BH8" s="1750" t="s">
        <v>55</v>
      </c>
      <c r="BI8" s="1276" t="s">
        <v>56</v>
      </c>
      <c r="BJ8" s="1033" t="s">
        <v>57</v>
      </c>
      <c r="BK8" s="1509"/>
      <c r="BL8" s="1510"/>
      <c r="BM8" s="1268"/>
      <c r="BN8" s="1269"/>
      <c r="BO8" s="1031"/>
      <c r="BP8" s="3"/>
      <c r="BQ8" s="3"/>
      <c r="BR8" s="3"/>
      <c r="BS8" s="3"/>
      <c r="BT8" s="3"/>
      <c r="BU8" s="3"/>
      <c r="BV8" s="3"/>
      <c r="BW8" s="3"/>
      <c r="BX8" s="3"/>
    </row>
    <row r="9" spans="1:84" s="4" customFormat="1" ht="15.95" customHeight="1" x14ac:dyDescent="0.2">
      <c r="A9" s="1236"/>
      <c r="B9" s="1221"/>
      <c r="C9" s="1221"/>
      <c r="D9" s="1221"/>
      <c r="E9" s="1221"/>
      <c r="F9" s="1221"/>
      <c r="G9" s="1239"/>
      <c r="H9" s="1221"/>
      <c r="I9" s="1221"/>
      <c r="J9" s="1026" t="s">
        <v>58</v>
      </c>
      <c r="K9" s="1026" t="s">
        <v>59</v>
      </c>
      <c r="L9" s="1221"/>
      <c r="M9" s="1221"/>
      <c r="N9" s="1221"/>
      <c r="O9" s="1226"/>
      <c r="P9" s="1253"/>
      <c r="Q9" s="1221"/>
      <c r="R9" s="1221"/>
      <c r="S9" s="1221"/>
      <c r="T9" s="1253"/>
      <c r="U9" s="1253"/>
      <c r="V9" s="1253"/>
      <c r="W9" s="1264"/>
      <c r="X9" s="1221"/>
      <c r="Y9" s="1026" t="s">
        <v>58</v>
      </c>
      <c r="Z9" s="1026" t="s">
        <v>60</v>
      </c>
      <c r="AA9" s="1026" t="s">
        <v>58</v>
      </c>
      <c r="AB9" s="1026" t="s">
        <v>60</v>
      </c>
      <c r="AC9" s="1026" t="s">
        <v>58</v>
      </c>
      <c r="AD9" s="1026" t="s">
        <v>60</v>
      </c>
      <c r="AE9" s="1026" t="s">
        <v>58</v>
      </c>
      <c r="AF9" s="1026" t="s">
        <v>60</v>
      </c>
      <c r="AG9" s="1026" t="s">
        <v>58</v>
      </c>
      <c r="AH9" s="1026" t="s">
        <v>60</v>
      </c>
      <c r="AI9" s="1026" t="s">
        <v>58</v>
      </c>
      <c r="AJ9" s="1026" t="s">
        <v>60</v>
      </c>
      <c r="AK9" s="1026" t="s">
        <v>58</v>
      </c>
      <c r="AL9" s="1026" t="s">
        <v>60</v>
      </c>
      <c r="AM9" s="1026" t="s">
        <v>58</v>
      </c>
      <c r="AN9" s="1026" t="s">
        <v>60</v>
      </c>
      <c r="AO9" s="1026" t="s">
        <v>58</v>
      </c>
      <c r="AP9" s="1026" t="s">
        <v>60</v>
      </c>
      <c r="AQ9" s="1026" t="s">
        <v>58</v>
      </c>
      <c r="AR9" s="1026" t="s">
        <v>60</v>
      </c>
      <c r="AS9" s="1026" t="s">
        <v>58</v>
      </c>
      <c r="AT9" s="1026" t="s">
        <v>60</v>
      </c>
      <c r="AU9" s="1026" t="s">
        <v>58</v>
      </c>
      <c r="AV9" s="1026" t="s">
        <v>60</v>
      </c>
      <c r="AW9" s="1026" t="s">
        <v>58</v>
      </c>
      <c r="AX9" s="1026" t="s">
        <v>60</v>
      </c>
      <c r="AY9" s="1026" t="s">
        <v>58</v>
      </c>
      <c r="AZ9" s="1026" t="s">
        <v>60</v>
      </c>
      <c r="BA9" s="1026" t="s">
        <v>58</v>
      </c>
      <c r="BB9" s="1026" t="s">
        <v>60</v>
      </c>
      <c r="BC9" s="1026" t="s">
        <v>58</v>
      </c>
      <c r="BD9" s="1026" t="s">
        <v>60</v>
      </c>
      <c r="BE9" s="1277"/>
      <c r="BF9" s="1749"/>
      <c r="BG9" s="1277"/>
      <c r="BH9" s="1751"/>
      <c r="BI9" s="1277"/>
      <c r="BJ9" s="1034"/>
      <c r="BK9" s="1030" t="s">
        <v>58</v>
      </c>
      <c r="BL9" s="1030" t="s">
        <v>60</v>
      </c>
      <c r="BM9" s="1030" t="s">
        <v>58</v>
      </c>
      <c r="BN9" s="1030" t="s">
        <v>60</v>
      </c>
      <c r="BO9" s="1032"/>
      <c r="BP9" s="3"/>
      <c r="BQ9" s="3"/>
      <c r="BR9" s="3"/>
      <c r="BS9" s="3"/>
      <c r="BT9" s="3"/>
      <c r="BU9" s="3"/>
      <c r="BV9" s="3"/>
      <c r="BW9" s="3"/>
      <c r="BX9" s="3"/>
    </row>
    <row r="10" spans="1:84" s="4" customFormat="1" ht="21" customHeight="1" x14ac:dyDescent="0.2">
      <c r="A10" s="838">
        <v>1</v>
      </c>
      <c r="B10" s="456" t="s">
        <v>683</v>
      </c>
      <c r="C10" s="241"/>
      <c r="D10" s="307"/>
      <c r="E10" s="693"/>
      <c r="F10" s="693"/>
      <c r="G10" s="693"/>
      <c r="H10" s="694"/>
      <c r="I10" s="694"/>
      <c r="J10" s="693"/>
      <c r="K10" s="693"/>
      <c r="L10" s="693"/>
      <c r="M10" s="694"/>
      <c r="N10" s="694"/>
      <c r="O10" s="696"/>
      <c r="P10" s="693"/>
      <c r="Q10" s="697"/>
      <c r="R10" s="697"/>
      <c r="S10" s="694"/>
      <c r="T10" s="693"/>
      <c r="U10" s="693"/>
      <c r="V10" s="693"/>
      <c r="W10" s="1151"/>
      <c r="X10" s="694"/>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3"/>
      <c r="AY10" s="693"/>
      <c r="AZ10" s="693"/>
      <c r="BA10" s="693"/>
      <c r="BB10" s="693"/>
      <c r="BC10" s="693"/>
      <c r="BD10" s="693"/>
      <c r="BE10" s="693"/>
      <c r="BF10" s="693"/>
      <c r="BG10" s="693"/>
      <c r="BH10" s="693"/>
      <c r="BI10" s="695"/>
      <c r="BJ10" s="693"/>
      <c r="BK10" s="693"/>
      <c r="BL10" s="693"/>
      <c r="BM10" s="693"/>
      <c r="BN10" s="693"/>
      <c r="BO10" s="1152"/>
    </row>
    <row r="11" spans="1:84" s="4" customFormat="1" ht="22.5" customHeight="1" x14ac:dyDescent="0.2">
      <c r="A11" s="875"/>
      <c r="B11" s="876"/>
      <c r="C11" s="877"/>
      <c r="D11" s="1153">
        <v>11</v>
      </c>
      <c r="E11" s="340" t="s">
        <v>1195</v>
      </c>
      <c r="F11" s="450"/>
      <c r="G11" s="401"/>
      <c r="H11" s="259"/>
      <c r="I11" s="699"/>
      <c r="J11" s="261"/>
      <c r="K11" s="261"/>
      <c r="L11" s="281"/>
      <c r="M11" s="1154"/>
      <c r="N11" s="880"/>
      <c r="O11" s="701"/>
      <c r="P11" s="881"/>
      <c r="Q11" s="882"/>
      <c r="R11" s="882"/>
      <c r="S11" s="259"/>
      <c r="T11" s="259"/>
      <c r="U11" s="259"/>
      <c r="V11" s="259"/>
      <c r="W11" s="1155"/>
      <c r="X11" s="884"/>
      <c r="Y11" s="881"/>
      <c r="Z11" s="881"/>
      <c r="AA11" s="881"/>
      <c r="AB11" s="881"/>
      <c r="AC11" s="881"/>
      <c r="AD11" s="881"/>
      <c r="AE11" s="881"/>
      <c r="AF11" s="881"/>
      <c r="AG11" s="881"/>
      <c r="AH11" s="881"/>
      <c r="AI11" s="881"/>
      <c r="AJ11" s="881"/>
      <c r="AK11" s="881"/>
      <c r="AL11" s="881"/>
      <c r="AM11" s="881"/>
      <c r="AN11" s="881"/>
      <c r="AO11" s="881"/>
      <c r="AP11" s="881"/>
      <c r="AQ11" s="881"/>
      <c r="AR11" s="881"/>
      <c r="AS11" s="881"/>
      <c r="AT11" s="881"/>
      <c r="AU11" s="881"/>
      <c r="AV11" s="881"/>
      <c r="AW11" s="881"/>
      <c r="AX11" s="881"/>
      <c r="AY11" s="881"/>
      <c r="AZ11" s="881"/>
      <c r="BA11" s="881"/>
      <c r="BB11" s="881"/>
      <c r="BC11" s="881"/>
      <c r="BD11" s="881"/>
      <c r="BE11" s="881"/>
      <c r="BF11" s="881"/>
      <c r="BG11" s="881"/>
      <c r="BH11" s="881"/>
      <c r="BI11" s="883"/>
      <c r="BJ11" s="881"/>
      <c r="BK11" s="881"/>
      <c r="BL11" s="881"/>
      <c r="BM11" s="881"/>
      <c r="BN11" s="881"/>
      <c r="BO11" s="1156"/>
    </row>
    <row r="12" spans="1:84" s="3" customFormat="1" ht="98.25" customHeight="1" x14ac:dyDescent="0.2">
      <c r="A12" s="28"/>
      <c r="B12" s="1035"/>
      <c r="C12" s="1035"/>
      <c r="D12" s="1058"/>
      <c r="E12" s="1038"/>
      <c r="F12" s="1039"/>
      <c r="G12" s="1059" t="s">
        <v>62</v>
      </c>
      <c r="H12" s="1054" t="s">
        <v>1196</v>
      </c>
      <c r="I12" s="1054" t="s">
        <v>1197</v>
      </c>
      <c r="J12" s="1055">
        <v>1</v>
      </c>
      <c r="K12" s="1043">
        <v>0</v>
      </c>
      <c r="L12" s="284" t="s">
        <v>1198</v>
      </c>
      <c r="M12" s="1053" t="s">
        <v>1199</v>
      </c>
      <c r="N12" s="1044" t="s">
        <v>1200</v>
      </c>
      <c r="O12" s="1057">
        <f>+P12/($T$12+$T$44+$T$45)</f>
        <v>0.38461538461538464</v>
      </c>
      <c r="P12" s="1157">
        <f>+T12</f>
        <v>50000000</v>
      </c>
      <c r="Q12" s="1054" t="s">
        <v>1201</v>
      </c>
      <c r="R12" s="41" t="s">
        <v>1202</v>
      </c>
      <c r="S12" s="1054" t="s">
        <v>1196</v>
      </c>
      <c r="T12" s="1158">
        <v>50000000</v>
      </c>
      <c r="U12" s="1158"/>
      <c r="V12" s="1158"/>
      <c r="W12" s="1159">
        <v>61</v>
      </c>
      <c r="X12" s="1160" t="s">
        <v>1203</v>
      </c>
      <c r="Y12" s="1053" t="s">
        <v>960</v>
      </c>
      <c r="Z12" s="1161"/>
      <c r="AA12" s="1053" t="s">
        <v>960</v>
      </c>
      <c r="AB12" s="1161"/>
      <c r="AC12" s="1053">
        <v>64149</v>
      </c>
      <c r="AD12" s="1161"/>
      <c r="AE12" s="1053" t="s">
        <v>960</v>
      </c>
      <c r="AF12" s="1161"/>
      <c r="AG12" s="1053" t="s">
        <v>960</v>
      </c>
      <c r="AH12" s="1161"/>
      <c r="AI12" s="1053" t="s">
        <v>960</v>
      </c>
      <c r="AJ12" s="1161"/>
      <c r="AK12" s="1053" t="s">
        <v>960</v>
      </c>
      <c r="AL12" s="1053"/>
      <c r="AM12" s="1053" t="s">
        <v>960</v>
      </c>
      <c r="AN12" s="1053"/>
      <c r="AO12" s="1053" t="s">
        <v>960</v>
      </c>
      <c r="AP12" s="1053"/>
      <c r="AQ12" s="1053" t="s">
        <v>960</v>
      </c>
      <c r="AR12" s="1053"/>
      <c r="AS12" s="1053" t="s">
        <v>960</v>
      </c>
      <c r="AT12" s="1053"/>
      <c r="AU12" s="1053" t="s">
        <v>960</v>
      </c>
      <c r="AV12" s="1053"/>
      <c r="AW12" s="1053" t="s">
        <v>960</v>
      </c>
      <c r="AX12" s="1053"/>
      <c r="AY12" s="1053" t="s">
        <v>960</v>
      </c>
      <c r="AZ12" s="1053"/>
      <c r="BA12" s="1053" t="s">
        <v>960</v>
      </c>
      <c r="BB12" s="1053"/>
      <c r="BC12" s="1053" t="s">
        <v>960</v>
      </c>
      <c r="BD12" s="1053"/>
      <c r="BE12" s="1083"/>
      <c r="BF12" s="1162">
        <v>0</v>
      </c>
      <c r="BG12" s="1162">
        <v>0</v>
      </c>
      <c r="BH12" s="1163">
        <v>0</v>
      </c>
      <c r="BI12" s="1055" t="s">
        <v>1204</v>
      </c>
      <c r="BJ12" s="1053" t="s">
        <v>1205</v>
      </c>
      <c r="BK12" s="1047">
        <v>43832</v>
      </c>
      <c r="BL12" s="1047">
        <v>43832</v>
      </c>
      <c r="BM12" s="49">
        <v>44195</v>
      </c>
      <c r="BN12" s="49">
        <v>44195</v>
      </c>
      <c r="BO12" s="1054" t="s">
        <v>1206</v>
      </c>
    </row>
    <row r="13" spans="1:84" s="4" customFormat="1" ht="38.25" customHeight="1" x14ac:dyDescent="0.2">
      <c r="A13" s="283"/>
      <c r="B13" s="91"/>
      <c r="C13" s="91"/>
      <c r="D13" s="90"/>
      <c r="E13" s="91"/>
      <c r="F13" s="89"/>
      <c r="G13" s="1059">
        <v>1903009</v>
      </c>
      <c r="H13" s="1054" t="s">
        <v>1207</v>
      </c>
      <c r="I13" s="1054" t="s">
        <v>1208</v>
      </c>
      <c r="J13" s="1055">
        <v>2900</v>
      </c>
      <c r="K13" s="1043">
        <v>260</v>
      </c>
      <c r="L13" s="1284" t="s">
        <v>1209</v>
      </c>
      <c r="M13" s="1697" t="s">
        <v>1210</v>
      </c>
      <c r="N13" s="1415" t="s">
        <v>1211</v>
      </c>
      <c r="O13" s="1057">
        <f>+T13/$P$13</f>
        <v>5.317822645098319E-2</v>
      </c>
      <c r="P13" s="1698">
        <f>+T13+T14+T18+T19+T20+T21+T22+T15+T16+T17</f>
        <v>1316328216.8600001</v>
      </c>
      <c r="Q13" s="1693" t="s">
        <v>1212</v>
      </c>
      <c r="R13" s="1293" t="s">
        <v>1213</v>
      </c>
      <c r="S13" s="1054" t="s">
        <v>1207</v>
      </c>
      <c r="T13" s="1158">
        <v>70000000</v>
      </c>
      <c r="U13" s="1158">
        <v>20253333</v>
      </c>
      <c r="V13" s="1158">
        <v>14000000</v>
      </c>
      <c r="W13" s="1478" t="s">
        <v>1214</v>
      </c>
      <c r="X13" s="1689" t="s">
        <v>1215</v>
      </c>
      <c r="Y13" s="1449">
        <v>289394</v>
      </c>
      <c r="Z13" s="1303">
        <f>SUM(BH13*Y13)</f>
        <v>16114.060282190219</v>
      </c>
      <c r="AA13" s="1449">
        <v>279112</v>
      </c>
      <c r="AB13" s="1303">
        <f>SUM(BH13*AA13)</f>
        <v>15541.537120612993</v>
      </c>
      <c r="AC13" s="1449">
        <v>63164</v>
      </c>
      <c r="AD13" s="1303">
        <f>SUM(AC13*BH13)</f>
        <v>3517.1029933732661</v>
      </c>
      <c r="AE13" s="1449">
        <v>45607</v>
      </c>
      <c r="AF13" s="1303">
        <f>SUM(AE13*BH13)</f>
        <v>2539.4926891706436</v>
      </c>
      <c r="AG13" s="1449">
        <v>365607</v>
      </c>
      <c r="AH13" s="1303">
        <f>SUM(AG13*BH13)</f>
        <v>20357.758756542014</v>
      </c>
      <c r="AI13" s="1449">
        <v>75612</v>
      </c>
      <c r="AJ13" s="1303">
        <f>SUM(AI13*BH13)</f>
        <v>4210.2335433940125</v>
      </c>
      <c r="AK13" s="1449">
        <v>2145</v>
      </c>
      <c r="AL13" s="1303">
        <f>SUM(AK13*BH13)</f>
        <v>119.4380647328487</v>
      </c>
      <c r="AM13" s="1449">
        <v>12718</v>
      </c>
      <c r="AN13" s="1303">
        <f>SUM(AM13*BH13)</f>
        <v>708.1647120150908</v>
      </c>
      <c r="AO13" s="1449">
        <v>26</v>
      </c>
      <c r="AP13" s="1281">
        <f>SUM(AO13*0.06)</f>
        <v>1.56</v>
      </c>
      <c r="AQ13" s="1449">
        <v>37</v>
      </c>
      <c r="AR13" s="1281">
        <f>SUM(AQ13*0.06)</f>
        <v>2.2199999999999998</v>
      </c>
      <c r="AS13" s="1449">
        <v>0</v>
      </c>
      <c r="AT13" s="1281">
        <f>SUM(AS13*0.06)</f>
        <v>0</v>
      </c>
      <c r="AU13" s="1449">
        <v>0</v>
      </c>
      <c r="AV13" s="1281">
        <f>SUM(AU13*0.06)</f>
        <v>0</v>
      </c>
      <c r="AW13" s="1449">
        <v>78</v>
      </c>
      <c r="AX13" s="1281">
        <f>SUM(AW13*0.06)</f>
        <v>4.68</v>
      </c>
      <c r="AY13" s="1486">
        <v>16897</v>
      </c>
      <c r="AZ13" s="1281">
        <f>SUM(AY13*0.06)</f>
        <v>1013.8199999999999</v>
      </c>
      <c r="BA13" s="1486">
        <v>852</v>
      </c>
      <c r="BB13" s="1281">
        <f>SUM(BA13*0.06)</f>
        <v>51.12</v>
      </c>
      <c r="BC13" s="1486">
        <v>568506</v>
      </c>
      <c r="BD13" s="1281">
        <f>SUM(BC13*0.06)</f>
        <v>34110.36</v>
      </c>
      <c r="BE13" s="1408"/>
      <c r="BF13" s="1744">
        <f>SUM(U13:U23)</f>
        <v>73295895</v>
      </c>
      <c r="BG13" s="1744">
        <f>SUM(V13:V23)</f>
        <v>66842562</v>
      </c>
      <c r="BH13" s="1745">
        <f>SUM(BF13/P13)</f>
        <v>5.5682081460535528E-2</v>
      </c>
      <c r="BI13" s="1478" t="s">
        <v>1216</v>
      </c>
      <c r="BJ13" s="1478" t="s">
        <v>1205</v>
      </c>
      <c r="BK13" s="1315">
        <v>43832</v>
      </c>
      <c r="BL13" s="1315">
        <v>43832</v>
      </c>
      <c r="BM13" s="1315">
        <v>44195</v>
      </c>
      <c r="BN13" s="1315">
        <v>44195</v>
      </c>
      <c r="BO13" s="1299" t="s">
        <v>1206</v>
      </c>
    </row>
    <row r="14" spans="1:84" s="221" customFormat="1" ht="64.5" customHeight="1" x14ac:dyDescent="0.2">
      <c r="A14" s="286"/>
      <c r="B14" s="287"/>
      <c r="C14" s="287"/>
      <c r="D14" s="468"/>
      <c r="E14" s="287"/>
      <c r="F14" s="288"/>
      <c r="G14" s="466">
        <v>1903023</v>
      </c>
      <c r="H14" s="1044" t="s">
        <v>1217</v>
      </c>
      <c r="I14" s="1044" t="s">
        <v>1218</v>
      </c>
      <c r="J14" s="1043">
        <v>12</v>
      </c>
      <c r="K14" s="1043">
        <v>3</v>
      </c>
      <c r="L14" s="1285"/>
      <c r="M14" s="1697"/>
      <c r="N14" s="1416"/>
      <c r="O14" s="1075">
        <f t="shared" ref="O14:O21" si="0">+T14/$P$13</f>
        <v>6.2163992089446299E-2</v>
      </c>
      <c r="P14" s="1697"/>
      <c r="Q14" s="1693"/>
      <c r="R14" s="1294"/>
      <c r="S14" s="1044" t="s">
        <v>1217</v>
      </c>
      <c r="T14" s="1158">
        <f>2800528+79027689-0.14</f>
        <v>81828216.859999999</v>
      </c>
      <c r="U14" s="1158"/>
      <c r="V14" s="1158"/>
      <c r="W14" s="1534"/>
      <c r="X14" s="1713"/>
      <c r="Y14" s="1450"/>
      <c r="Z14" s="1304"/>
      <c r="AA14" s="1450"/>
      <c r="AB14" s="1304"/>
      <c r="AC14" s="1450"/>
      <c r="AD14" s="1304"/>
      <c r="AE14" s="1450"/>
      <c r="AF14" s="1304"/>
      <c r="AG14" s="1450"/>
      <c r="AH14" s="1304"/>
      <c r="AI14" s="1450"/>
      <c r="AJ14" s="1304"/>
      <c r="AK14" s="1450"/>
      <c r="AL14" s="1304"/>
      <c r="AM14" s="1450"/>
      <c r="AN14" s="1304"/>
      <c r="AO14" s="1450"/>
      <c r="AP14" s="1282"/>
      <c r="AQ14" s="1450"/>
      <c r="AR14" s="1282"/>
      <c r="AS14" s="1450"/>
      <c r="AT14" s="1282"/>
      <c r="AU14" s="1450"/>
      <c r="AV14" s="1282"/>
      <c r="AW14" s="1450"/>
      <c r="AX14" s="1282"/>
      <c r="AY14" s="1487"/>
      <c r="AZ14" s="1282"/>
      <c r="BA14" s="1487"/>
      <c r="BB14" s="1282"/>
      <c r="BC14" s="1487"/>
      <c r="BD14" s="1282"/>
      <c r="BE14" s="1412"/>
      <c r="BF14" s="1534"/>
      <c r="BG14" s="1534"/>
      <c r="BH14" s="1746"/>
      <c r="BI14" s="1534"/>
      <c r="BJ14" s="1534"/>
      <c r="BK14" s="1316"/>
      <c r="BL14" s="1316"/>
      <c r="BM14" s="1316"/>
      <c r="BN14" s="1316"/>
      <c r="BO14" s="1300"/>
    </row>
    <row r="15" spans="1:84" s="221" customFormat="1" ht="38.25" customHeight="1" x14ac:dyDescent="0.2">
      <c r="A15" s="286"/>
      <c r="B15" s="287"/>
      <c r="C15" s="287"/>
      <c r="D15" s="468"/>
      <c r="E15" s="287"/>
      <c r="F15" s="288"/>
      <c r="G15" s="1413" t="s">
        <v>62</v>
      </c>
      <c r="H15" s="1415" t="s">
        <v>1219</v>
      </c>
      <c r="I15" s="1415" t="s">
        <v>1220</v>
      </c>
      <c r="J15" s="1413">
        <v>12</v>
      </c>
      <c r="K15" s="1414">
        <v>0</v>
      </c>
      <c r="L15" s="1450"/>
      <c r="M15" s="1697"/>
      <c r="N15" s="1416"/>
      <c r="O15" s="1675">
        <f>+T18/$P$13</f>
        <v>7.5968894929975992E-3</v>
      </c>
      <c r="P15" s="1697"/>
      <c r="Q15" s="1693"/>
      <c r="R15" s="1294"/>
      <c r="S15" s="681" t="s">
        <v>1221</v>
      </c>
      <c r="T15" s="1158">
        <f>20253333+9746667</f>
        <v>30000000</v>
      </c>
      <c r="U15" s="1158"/>
      <c r="V15" s="1158"/>
      <c r="W15" s="1534"/>
      <c r="X15" s="1713"/>
      <c r="Y15" s="1450"/>
      <c r="Z15" s="1304"/>
      <c r="AA15" s="1450"/>
      <c r="AB15" s="1304"/>
      <c r="AC15" s="1450"/>
      <c r="AD15" s="1304"/>
      <c r="AE15" s="1450"/>
      <c r="AF15" s="1304"/>
      <c r="AG15" s="1450"/>
      <c r="AH15" s="1304"/>
      <c r="AI15" s="1450"/>
      <c r="AJ15" s="1304"/>
      <c r="AK15" s="1450"/>
      <c r="AL15" s="1304"/>
      <c r="AM15" s="1450"/>
      <c r="AN15" s="1304"/>
      <c r="AO15" s="1450"/>
      <c r="AP15" s="1282"/>
      <c r="AQ15" s="1450"/>
      <c r="AR15" s="1282"/>
      <c r="AS15" s="1450"/>
      <c r="AT15" s="1282"/>
      <c r="AU15" s="1450"/>
      <c r="AV15" s="1282"/>
      <c r="AW15" s="1450"/>
      <c r="AX15" s="1282"/>
      <c r="AY15" s="1487"/>
      <c r="AZ15" s="1282"/>
      <c r="BA15" s="1487"/>
      <c r="BB15" s="1282"/>
      <c r="BC15" s="1487"/>
      <c r="BD15" s="1282"/>
      <c r="BE15" s="1412"/>
      <c r="BF15" s="1534"/>
      <c r="BG15" s="1534"/>
      <c r="BH15" s="1746"/>
      <c r="BI15" s="1534"/>
      <c r="BJ15" s="1534"/>
      <c r="BK15" s="1316"/>
      <c r="BL15" s="1316"/>
      <c r="BM15" s="1316"/>
      <c r="BN15" s="1316"/>
      <c r="BO15" s="1300"/>
    </row>
    <row r="16" spans="1:84" s="221" customFormat="1" ht="38.25" customHeight="1" x14ac:dyDescent="0.2">
      <c r="A16" s="286"/>
      <c r="B16" s="287"/>
      <c r="C16" s="287"/>
      <c r="D16" s="468"/>
      <c r="E16" s="287"/>
      <c r="F16" s="288"/>
      <c r="G16" s="1414"/>
      <c r="H16" s="1416"/>
      <c r="I16" s="1416"/>
      <c r="J16" s="1414"/>
      <c r="K16" s="1414"/>
      <c r="L16" s="1450"/>
      <c r="M16" s="1697"/>
      <c r="N16" s="1416"/>
      <c r="O16" s="1676"/>
      <c r="P16" s="1697"/>
      <c r="Q16" s="1693"/>
      <c r="R16" s="1294"/>
      <c r="S16" s="681" t="s">
        <v>1222</v>
      </c>
      <c r="T16" s="1158">
        <v>20000000</v>
      </c>
      <c r="U16" s="1158"/>
      <c r="V16" s="1158"/>
      <c r="W16" s="1534"/>
      <c r="X16" s="1713"/>
      <c r="Y16" s="1450"/>
      <c r="Z16" s="1304"/>
      <c r="AA16" s="1450"/>
      <c r="AB16" s="1304"/>
      <c r="AC16" s="1450"/>
      <c r="AD16" s="1304"/>
      <c r="AE16" s="1450"/>
      <c r="AF16" s="1304"/>
      <c r="AG16" s="1450"/>
      <c r="AH16" s="1304"/>
      <c r="AI16" s="1450"/>
      <c r="AJ16" s="1304"/>
      <c r="AK16" s="1450"/>
      <c r="AL16" s="1304"/>
      <c r="AM16" s="1450"/>
      <c r="AN16" s="1304"/>
      <c r="AO16" s="1450"/>
      <c r="AP16" s="1282"/>
      <c r="AQ16" s="1450"/>
      <c r="AR16" s="1282"/>
      <c r="AS16" s="1450"/>
      <c r="AT16" s="1282"/>
      <c r="AU16" s="1450"/>
      <c r="AV16" s="1282"/>
      <c r="AW16" s="1450"/>
      <c r="AX16" s="1282"/>
      <c r="AY16" s="1487"/>
      <c r="AZ16" s="1282"/>
      <c r="BA16" s="1487"/>
      <c r="BB16" s="1282"/>
      <c r="BC16" s="1487"/>
      <c r="BD16" s="1282"/>
      <c r="BE16" s="1412"/>
      <c r="BF16" s="1534"/>
      <c r="BG16" s="1534"/>
      <c r="BH16" s="1746"/>
      <c r="BI16" s="1534"/>
      <c r="BJ16" s="1534"/>
      <c r="BK16" s="1316"/>
      <c r="BL16" s="1316"/>
      <c r="BM16" s="1316"/>
      <c r="BN16" s="1316"/>
      <c r="BO16" s="1300"/>
    </row>
    <row r="17" spans="1:67" s="221" customFormat="1" ht="38.25" customHeight="1" x14ac:dyDescent="0.2">
      <c r="A17" s="286"/>
      <c r="B17" s="287"/>
      <c r="C17" s="287"/>
      <c r="D17" s="468"/>
      <c r="E17" s="287"/>
      <c r="F17" s="288"/>
      <c r="G17" s="1414"/>
      <c r="H17" s="1416"/>
      <c r="I17" s="1416"/>
      <c r="J17" s="1414"/>
      <c r="K17" s="1414"/>
      <c r="L17" s="1450"/>
      <c r="M17" s="1697"/>
      <c r="N17" s="1416"/>
      <c r="O17" s="1676"/>
      <c r="P17" s="1697"/>
      <c r="Q17" s="1693"/>
      <c r="R17" s="1294"/>
      <c r="S17" s="681" t="s">
        <v>1223</v>
      </c>
      <c r="T17" s="1158">
        <v>10000000</v>
      </c>
      <c r="U17" s="1158"/>
      <c r="V17" s="1158"/>
      <c r="W17" s="1534"/>
      <c r="X17" s="1713"/>
      <c r="Y17" s="1450"/>
      <c r="Z17" s="1304"/>
      <c r="AA17" s="1450"/>
      <c r="AB17" s="1304"/>
      <c r="AC17" s="1450"/>
      <c r="AD17" s="1304"/>
      <c r="AE17" s="1450"/>
      <c r="AF17" s="1304"/>
      <c r="AG17" s="1450"/>
      <c r="AH17" s="1304"/>
      <c r="AI17" s="1450"/>
      <c r="AJ17" s="1304"/>
      <c r="AK17" s="1450"/>
      <c r="AL17" s="1304"/>
      <c r="AM17" s="1450"/>
      <c r="AN17" s="1304"/>
      <c r="AO17" s="1450"/>
      <c r="AP17" s="1282"/>
      <c r="AQ17" s="1450"/>
      <c r="AR17" s="1282"/>
      <c r="AS17" s="1450"/>
      <c r="AT17" s="1282"/>
      <c r="AU17" s="1450"/>
      <c r="AV17" s="1282"/>
      <c r="AW17" s="1450"/>
      <c r="AX17" s="1282"/>
      <c r="AY17" s="1487"/>
      <c r="AZ17" s="1282"/>
      <c r="BA17" s="1487"/>
      <c r="BB17" s="1282"/>
      <c r="BC17" s="1487"/>
      <c r="BD17" s="1282"/>
      <c r="BE17" s="1412"/>
      <c r="BF17" s="1534"/>
      <c r="BG17" s="1534"/>
      <c r="BH17" s="1746"/>
      <c r="BI17" s="1534"/>
      <c r="BJ17" s="1534"/>
      <c r="BK17" s="1316"/>
      <c r="BL17" s="1316"/>
      <c r="BM17" s="1316"/>
      <c r="BN17" s="1316"/>
      <c r="BO17" s="1300"/>
    </row>
    <row r="18" spans="1:67" s="221" customFormat="1" ht="38.25" customHeight="1" x14ac:dyDescent="0.2">
      <c r="A18" s="286"/>
      <c r="B18" s="287"/>
      <c r="C18" s="287"/>
      <c r="D18" s="468"/>
      <c r="E18" s="287"/>
      <c r="F18" s="288"/>
      <c r="G18" s="1432"/>
      <c r="H18" s="1420"/>
      <c r="I18" s="1420"/>
      <c r="J18" s="1432"/>
      <c r="K18" s="1432"/>
      <c r="L18" s="1450"/>
      <c r="M18" s="1697"/>
      <c r="N18" s="1416"/>
      <c r="O18" s="1677"/>
      <c r="P18" s="1697"/>
      <c r="Q18" s="1693"/>
      <c r="R18" s="1294"/>
      <c r="S18" s="681" t="s">
        <v>1224</v>
      </c>
      <c r="T18" s="1158">
        <v>10000000</v>
      </c>
      <c r="U18" s="1158"/>
      <c r="V18" s="1158"/>
      <c r="W18" s="1534"/>
      <c r="X18" s="1713"/>
      <c r="Y18" s="1450"/>
      <c r="Z18" s="1304"/>
      <c r="AA18" s="1450"/>
      <c r="AB18" s="1304"/>
      <c r="AC18" s="1450"/>
      <c r="AD18" s="1304"/>
      <c r="AE18" s="1450"/>
      <c r="AF18" s="1304"/>
      <c r="AG18" s="1450"/>
      <c r="AH18" s="1304"/>
      <c r="AI18" s="1450"/>
      <c r="AJ18" s="1304"/>
      <c r="AK18" s="1450"/>
      <c r="AL18" s="1304"/>
      <c r="AM18" s="1450"/>
      <c r="AN18" s="1304"/>
      <c r="AO18" s="1450"/>
      <c r="AP18" s="1282"/>
      <c r="AQ18" s="1450"/>
      <c r="AR18" s="1282"/>
      <c r="AS18" s="1450"/>
      <c r="AT18" s="1282"/>
      <c r="AU18" s="1450"/>
      <c r="AV18" s="1282"/>
      <c r="AW18" s="1450"/>
      <c r="AX18" s="1282"/>
      <c r="AY18" s="1487"/>
      <c r="AZ18" s="1282"/>
      <c r="BA18" s="1487"/>
      <c r="BB18" s="1282"/>
      <c r="BC18" s="1487"/>
      <c r="BD18" s="1282"/>
      <c r="BE18" s="1412"/>
      <c r="BF18" s="1534"/>
      <c r="BG18" s="1534"/>
      <c r="BH18" s="1746"/>
      <c r="BI18" s="1534"/>
      <c r="BJ18" s="1534"/>
      <c r="BK18" s="1316"/>
      <c r="BL18" s="1316"/>
      <c r="BM18" s="1316"/>
      <c r="BN18" s="1316"/>
      <c r="BO18" s="1300"/>
    </row>
    <row r="19" spans="1:67" s="4" customFormat="1" ht="90.75" customHeight="1" x14ac:dyDescent="0.2">
      <c r="A19" s="283"/>
      <c r="B19" s="91"/>
      <c r="C19" s="91"/>
      <c r="D19" s="90"/>
      <c r="E19" s="91"/>
      <c r="F19" s="89"/>
      <c r="G19" s="1059" t="s">
        <v>62</v>
      </c>
      <c r="H19" s="1046" t="s">
        <v>1196</v>
      </c>
      <c r="I19" s="1054" t="s">
        <v>1197</v>
      </c>
      <c r="J19" s="1045">
        <v>1</v>
      </c>
      <c r="K19" s="1043">
        <v>0</v>
      </c>
      <c r="L19" s="1450"/>
      <c r="M19" s="1697"/>
      <c r="N19" s="1416"/>
      <c r="O19" s="1057">
        <f t="shared" si="0"/>
        <v>0.62636353869765204</v>
      </c>
      <c r="P19" s="1697"/>
      <c r="Q19" s="1693"/>
      <c r="R19" s="1294"/>
      <c r="S19" s="1046" t="s">
        <v>1196</v>
      </c>
      <c r="T19" s="1158">
        <v>824500000</v>
      </c>
      <c r="U19" s="1158">
        <v>53042562</v>
      </c>
      <c r="V19" s="1158">
        <v>52842562</v>
      </c>
      <c r="W19" s="1534"/>
      <c r="X19" s="1713"/>
      <c r="Y19" s="1450"/>
      <c r="Z19" s="1304"/>
      <c r="AA19" s="1450"/>
      <c r="AB19" s="1304"/>
      <c r="AC19" s="1450"/>
      <c r="AD19" s="1304"/>
      <c r="AE19" s="1450"/>
      <c r="AF19" s="1304"/>
      <c r="AG19" s="1450"/>
      <c r="AH19" s="1304"/>
      <c r="AI19" s="1450"/>
      <c r="AJ19" s="1304"/>
      <c r="AK19" s="1450"/>
      <c r="AL19" s="1304"/>
      <c r="AM19" s="1450"/>
      <c r="AN19" s="1304"/>
      <c r="AO19" s="1450"/>
      <c r="AP19" s="1282"/>
      <c r="AQ19" s="1450"/>
      <c r="AR19" s="1282"/>
      <c r="AS19" s="1450"/>
      <c r="AT19" s="1282"/>
      <c r="AU19" s="1450"/>
      <c r="AV19" s="1282"/>
      <c r="AW19" s="1450"/>
      <c r="AX19" s="1282"/>
      <c r="AY19" s="1487"/>
      <c r="AZ19" s="1282"/>
      <c r="BA19" s="1487"/>
      <c r="BB19" s="1282"/>
      <c r="BC19" s="1487"/>
      <c r="BD19" s="1282"/>
      <c r="BE19" s="1412"/>
      <c r="BF19" s="1534"/>
      <c r="BG19" s="1534"/>
      <c r="BH19" s="1746"/>
      <c r="BI19" s="1534"/>
      <c r="BJ19" s="1534"/>
      <c r="BK19" s="1316"/>
      <c r="BL19" s="1316"/>
      <c r="BM19" s="1316">
        <v>44195</v>
      </c>
      <c r="BN19" s="1316">
        <v>44195</v>
      </c>
      <c r="BO19" s="1300"/>
    </row>
    <row r="20" spans="1:67" s="4" customFormat="1" ht="79.5" customHeight="1" x14ac:dyDescent="0.2">
      <c r="A20" s="283"/>
      <c r="B20" s="91"/>
      <c r="C20" s="91"/>
      <c r="D20" s="90"/>
      <c r="E20" s="91"/>
      <c r="F20" s="89"/>
      <c r="G20" s="1059">
        <v>1903038</v>
      </c>
      <c r="H20" s="1046" t="s">
        <v>1225</v>
      </c>
      <c r="I20" s="1054" t="s">
        <v>1226</v>
      </c>
      <c r="J20" s="1045">
        <v>11</v>
      </c>
      <c r="K20" s="1043">
        <v>5</v>
      </c>
      <c r="L20" s="1450"/>
      <c r="M20" s="1697"/>
      <c r="N20" s="1416"/>
      <c r="O20" s="1057">
        <f t="shared" si="0"/>
        <v>3.7984447464987997E-2</v>
      </c>
      <c r="P20" s="1697"/>
      <c r="Q20" s="1693"/>
      <c r="R20" s="1294"/>
      <c r="S20" s="1046" t="s">
        <v>1225</v>
      </c>
      <c r="T20" s="1158">
        <v>50000000</v>
      </c>
      <c r="U20" s="1158"/>
      <c r="V20" s="1158"/>
      <c r="W20" s="1534"/>
      <c r="X20" s="1713"/>
      <c r="Y20" s="1450"/>
      <c r="Z20" s="1304"/>
      <c r="AA20" s="1450"/>
      <c r="AB20" s="1304"/>
      <c r="AC20" s="1450"/>
      <c r="AD20" s="1304"/>
      <c r="AE20" s="1450"/>
      <c r="AF20" s="1304"/>
      <c r="AG20" s="1450"/>
      <c r="AH20" s="1304"/>
      <c r="AI20" s="1450"/>
      <c r="AJ20" s="1304"/>
      <c r="AK20" s="1450"/>
      <c r="AL20" s="1304"/>
      <c r="AM20" s="1450"/>
      <c r="AN20" s="1304"/>
      <c r="AO20" s="1450"/>
      <c r="AP20" s="1282"/>
      <c r="AQ20" s="1450"/>
      <c r="AR20" s="1282"/>
      <c r="AS20" s="1450"/>
      <c r="AT20" s="1282"/>
      <c r="AU20" s="1450"/>
      <c r="AV20" s="1282"/>
      <c r="AW20" s="1450"/>
      <c r="AX20" s="1282"/>
      <c r="AY20" s="1487"/>
      <c r="AZ20" s="1282"/>
      <c r="BA20" s="1487"/>
      <c r="BB20" s="1282"/>
      <c r="BC20" s="1487"/>
      <c r="BD20" s="1282"/>
      <c r="BE20" s="1412"/>
      <c r="BF20" s="1534"/>
      <c r="BG20" s="1534"/>
      <c r="BH20" s="1746"/>
      <c r="BI20" s="1534"/>
      <c r="BJ20" s="1534"/>
      <c r="BK20" s="1316"/>
      <c r="BL20" s="1316"/>
      <c r="BM20" s="1316"/>
      <c r="BN20" s="1316"/>
      <c r="BO20" s="1300"/>
    </row>
    <row r="21" spans="1:67" s="4" customFormat="1" ht="79.5" customHeight="1" x14ac:dyDescent="0.2">
      <c r="A21" s="283"/>
      <c r="B21" s="91"/>
      <c r="C21" s="91"/>
      <c r="D21" s="90"/>
      <c r="E21" s="91"/>
      <c r="F21" s="89"/>
      <c r="G21" s="1059">
        <v>1903027</v>
      </c>
      <c r="H21" s="1046" t="s">
        <v>1227</v>
      </c>
      <c r="I21" s="33" t="s">
        <v>1228</v>
      </c>
      <c r="J21" s="1045">
        <v>5</v>
      </c>
      <c r="K21" s="1043">
        <v>0</v>
      </c>
      <c r="L21" s="1450"/>
      <c r="M21" s="1697"/>
      <c r="N21" s="1416"/>
      <c r="O21" s="1057">
        <f t="shared" si="0"/>
        <v>0.15193778985995199</v>
      </c>
      <c r="P21" s="1697"/>
      <c r="Q21" s="1693"/>
      <c r="R21" s="1294"/>
      <c r="S21" s="1046" t="s">
        <v>1227</v>
      </c>
      <c r="T21" s="1158">
        <v>200000000</v>
      </c>
      <c r="U21" s="1158"/>
      <c r="V21" s="1158"/>
      <c r="W21" s="1534"/>
      <c r="X21" s="1713"/>
      <c r="Y21" s="1450"/>
      <c r="Z21" s="1304"/>
      <c r="AA21" s="1450"/>
      <c r="AB21" s="1304"/>
      <c r="AC21" s="1450"/>
      <c r="AD21" s="1304"/>
      <c r="AE21" s="1450"/>
      <c r="AF21" s="1304"/>
      <c r="AG21" s="1450"/>
      <c r="AH21" s="1304"/>
      <c r="AI21" s="1450"/>
      <c r="AJ21" s="1304"/>
      <c r="AK21" s="1450"/>
      <c r="AL21" s="1304"/>
      <c r="AM21" s="1450"/>
      <c r="AN21" s="1304"/>
      <c r="AO21" s="1450"/>
      <c r="AP21" s="1282"/>
      <c r="AQ21" s="1450"/>
      <c r="AR21" s="1282"/>
      <c r="AS21" s="1450"/>
      <c r="AT21" s="1282"/>
      <c r="AU21" s="1450"/>
      <c r="AV21" s="1282"/>
      <c r="AW21" s="1450"/>
      <c r="AX21" s="1282"/>
      <c r="AY21" s="1487"/>
      <c r="AZ21" s="1282"/>
      <c r="BA21" s="1487"/>
      <c r="BB21" s="1282"/>
      <c r="BC21" s="1487"/>
      <c r="BD21" s="1282"/>
      <c r="BE21" s="1412"/>
      <c r="BF21" s="1534"/>
      <c r="BG21" s="1534"/>
      <c r="BH21" s="1746"/>
      <c r="BI21" s="1534"/>
      <c r="BJ21" s="1534"/>
      <c r="BK21" s="1316"/>
      <c r="BL21" s="1316"/>
      <c r="BM21" s="1316"/>
      <c r="BN21" s="1316"/>
      <c r="BO21" s="1300"/>
    </row>
    <row r="22" spans="1:67" s="4" customFormat="1" ht="38.25" customHeight="1" x14ac:dyDescent="0.2">
      <c r="A22" s="283"/>
      <c r="B22" s="91"/>
      <c r="C22" s="91"/>
      <c r="D22" s="90"/>
      <c r="E22" s="91"/>
      <c r="F22" s="89"/>
      <c r="G22" s="1705">
        <v>1903011</v>
      </c>
      <c r="H22" s="1499" t="s">
        <v>1229</v>
      </c>
      <c r="I22" s="33" t="s">
        <v>1230</v>
      </c>
      <c r="J22" s="1045">
        <v>140</v>
      </c>
      <c r="K22" s="1043">
        <v>51</v>
      </c>
      <c r="L22" s="1450"/>
      <c r="M22" s="1697"/>
      <c r="N22" s="1416"/>
      <c r="O22" s="1694">
        <f>+T22/$P$13</f>
        <v>1.5193778985995198E-2</v>
      </c>
      <c r="P22" s="1697"/>
      <c r="Q22" s="1693"/>
      <c r="R22" s="1294"/>
      <c r="S22" s="1499" t="s">
        <v>1229</v>
      </c>
      <c r="T22" s="1743">
        <v>20000000</v>
      </c>
      <c r="U22" s="1164"/>
      <c r="V22" s="1164"/>
      <c r="W22" s="1534"/>
      <c r="X22" s="1713"/>
      <c r="Y22" s="1450"/>
      <c r="Z22" s="1304"/>
      <c r="AA22" s="1450"/>
      <c r="AB22" s="1304"/>
      <c r="AC22" s="1450"/>
      <c r="AD22" s="1304"/>
      <c r="AE22" s="1450"/>
      <c r="AF22" s="1304"/>
      <c r="AG22" s="1450"/>
      <c r="AH22" s="1304"/>
      <c r="AI22" s="1450"/>
      <c r="AJ22" s="1304"/>
      <c r="AK22" s="1450"/>
      <c r="AL22" s="1304"/>
      <c r="AM22" s="1450"/>
      <c r="AN22" s="1304"/>
      <c r="AO22" s="1450"/>
      <c r="AP22" s="1282"/>
      <c r="AQ22" s="1450"/>
      <c r="AR22" s="1282"/>
      <c r="AS22" s="1450"/>
      <c r="AT22" s="1282"/>
      <c r="AU22" s="1450"/>
      <c r="AV22" s="1282"/>
      <c r="AW22" s="1450"/>
      <c r="AX22" s="1282"/>
      <c r="AY22" s="1487"/>
      <c r="AZ22" s="1282"/>
      <c r="BA22" s="1487"/>
      <c r="BB22" s="1282"/>
      <c r="BC22" s="1487"/>
      <c r="BD22" s="1282"/>
      <c r="BE22" s="1412"/>
      <c r="BF22" s="1534"/>
      <c r="BG22" s="1534"/>
      <c r="BH22" s="1746"/>
      <c r="BI22" s="1534"/>
      <c r="BJ22" s="1534"/>
      <c r="BK22" s="1316"/>
      <c r="BL22" s="1316"/>
      <c r="BM22" s="1316"/>
      <c r="BN22" s="1316"/>
      <c r="BO22" s="1300"/>
    </row>
    <row r="23" spans="1:67" s="4" customFormat="1" ht="38.25" customHeight="1" x14ac:dyDescent="0.2">
      <c r="A23" s="283"/>
      <c r="B23" s="91"/>
      <c r="C23" s="91"/>
      <c r="D23" s="90"/>
      <c r="E23" s="91"/>
      <c r="F23" s="89"/>
      <c r="G23" s="1705"/>
      <c r="H23" s="1499"/>
      <c r="I23" s="33" t="s">
        <v>1231</v>
      </c>
      <c r="J23" s="1045">
        <v>12</v>
      </c>
      <c r="K23" s="1043">
        <v>2</v>
      </c>
      <c r="L23" s="1451"/>
      <c r="M23" s="1697"/>
      <c r="N23" s="1420"/>
      <c r="O23" s="1696"/>
      <c r="P23" s="1697"/>
      <c r="Q23" s="1693"/>
      <c r="R23" s="1295"/>
      <c r="S23" s="1499"/>
      <c r="T23" s="1743"/>
      <c r="U23" s="1164"/>
      <c r="V23" s="1164"/>
      <c r="W23" s="1479"/>
      <c r="X23" s="1690"/>
      <c r="Y23" s="1451"/>
      <c r="Z23" s="1305"/>
      <c r="AA23" s="1451"/>
      <c r="AB23" s="1305"/>
      <c r="AC23" s="1451"/>
      <c r="AD23" s="1305"/>
      <c r="AE23" s="1451"/>
      <c r="AF23" s="1305"/>
      <c r="AG23" s="1451"/>
      <c r="AH23" s="1305"/>
      <c r="AI23" s="1451"/>
      <c r="AJ23" s="1305"/>
      <c r="AK23" s="1451"/>
      <c r="AL23" s="1305"/>
      <c r="AM23" s="1451"/>
      <c r="AN23" s="1305"/>
      <c r="AO23" s="1451"/>
      <c r="AP23" s="1283"/>
      <c r="AQ23" s="1451"/>
      <c r="AR23" s="1283"/>
      <c r="AS23" s="1451"/>
      <c r="AT23" s="1283"/>
      <c r="AU23" s="1451"/>
      <c r="AV23" s="1283"/>
      <c r="AW23" s="1451"/>
      <c r="AX23" s="1283"/>
      <c r="AY23" s="1626"/>
      <c r="AZ23" s="1283"/>
      <c r="BA23" s="1626"/>
      <c r="BB23" s="1283"/>
      <c r="BC23" s="1626"/>
      <c r="BD23" s="1283"/>
      <c r="BE23" s="1409"/>
      <c r="BF23" s="1479"/>
      <c r="BG23" s="1479"/>
      <c r="BH23" s="1747"/>
      <c r="BI23" s="1479"/>
      <c r="BJ23" s="1479"/>
      <c r="BK23" s="1317"/>
      <c r="BL23" s="1317"/>
      <c r="BM23" s="1317"/>
      <c r="BN23" s="1317"/>
      <c r="BO23" s="1037"/>
    </row>
    <row r="24" spans="1:67" s="4" customFormat="1" ht="38.25" customHeight="1" x14ac:dyDescent="0.2">
      <c r="A24" s="283"/>
      <c r="B24" s="91"/>
      <c r="C24" s="91"/>
      <c r="D24" s="90"/>
      <c r="E24" s="91"/>
      <c r="F24" s="89"/>
      <c r="G24" s="1059">
        <v>1903001</v>
      </c>
      <c r="H24" s="1046" t="s">
        <v>1074</v>
      </c>
      <c r="I24" s="1054" t="s">
        <v>1232</v>
      </c>
      <c r="J24" s="1045">
        <v>1</v>
      </c>
      <c r="K24" s="1043">
        <v>0</v>
      </c>
      <c r="L24" s="1486" t="s">
        <v>1233</v>
      </c>
      <c r="M24" s="1697" t="s">
        <v>1234</v>
      </c>
      <c r="N24" s="1497" t="s">
        <v>1235</v>
      </c>
      <c r="O24" s="742">
        <f>+T24/$P$24</f>
        <v>0.25662267300847325</v>
      </c>
      <c r="P24" s="1702">
        <f>+T24+T25</f>
        <v>317470000</v>
      </c>
      <c r="Q24" s="1693" t="s">
        <v>1236</v>
      </c>
      <c r="R24" s="1293" t="s">
        <v>1237</v>
      </c>
      <c r="S24" s="1046" t="s">
        <v>1074</v>
      </c>
      <c r="T24" s="1158">
        <v>81470000</v>
      </c>
      <c r="U24" s="1158"/>
      <c r="V24" s="1158"/>
      <c r="W24" s="1719">
        <v>61</v>
      </c>
      <c r="X24" s="1716" t="s">
        <v>1203</v>
      </c>
      <c r="Y24" s="1741">
        <v>289394</v>
      </c>
      <c r="Z24" s="1741">
        <f>Y24*0.16</f>
        <v>46303.040000000001</v>
      </c>
      <c r="AA24" s="1741">
        <v>279112</v>
      </c>
      <c r="AB24" s="1741">
        <f>AA24*0.16</f>
        <v>44657.919999999998</v>
      </c>
      <c r="AC24" s="1741">
        <v>63164</v>
      </c>
      <c r="AD24" s="1741">
        <f>AC24*0.16</f>
        <v>10106.24</v>
      </c>
      <c r="AE24" s="1741">
        <v>45607</v>
      </c>
      <c r="AF24" s="1741">
        <f>AE24*0.16</f>
        <v>7297.12</v>
      </c>
      <c r="AG24" s="1741">
        <v>365607</v>
      </c>
      <c r="AH24" s="1741">
        <f>AG24*0.16</f>
        <v>58497.120000000003</v>
      </c>
      <c r="AI24" s="1741">
        <v>75612</v>
      </c>
      <c r="AJ24" s="1741">
        <f>AI24*0.16</f>
        <v>12097.92</v>
      </c>
      <c r="AK24" s="1741">
        <v>2145</v>
      </c>
      <c r="AL24" s="1741">
        <f>AK24*0.16</f>
        <v>343.2</v>
      </c>
      <c r="AM24" s="1741">
        <v>12718</v>
      </c>
      <c r="AN24" s="1741">
        <f>AM24*0.16</f>
        <v>2034.88</v>
      </c>
      <c r="AO24" s="1741">
        <v>26</v>
      </c>
      <c r="AP24" s="1741">
        <f>AO24*0.16</f>
        <v>4.16</v>
      </c>
      <c r="AQ24" s="1741">
        <v>37</v>
      </c>
      <c r="AR24" s="1741">
        <f>AQ24*0.16</f>
        <v>5.92</v>
      </c>
      <c r="AS24" s="1741">
        <v>0</v>
      </c>
      <c r="AT24" s="1741">
        <f>AS24*0.16</f>
        <v>0</v>
      </c>
      <c r="AU24" s="1741">
        <v>0</v>
      </c>
      <c r="AV24" s="1741">
        <f>AU24*0.16</f>
        <v>0</v>
      </c>
      <c r="AW24" s="1741">
        <v>78</v>
      </c>
      <c r="AX24" s="1741">
        <f>AW24*0.16</f>
        <v>12.48</v>
      </c>
      <c r="AY24" s="1741">
        <v>16897</v>
      </c>
      <c r="AZ24" s="1741">
        <f>AY24*0.16</f>
        <v>2703.52</v>
      </c>
      <c r="BA24" s="1741">
        <v>852</v>
      </c>
      <c r="BB24" s="1741">
        <f>BA24*0.16</f>
        <v>136.32</v>
      </c>
      <c r="BC24" s="1741">
        <v>568506</v>
      </c>
      <c r="BD24" s="1741">
        <f>BC24*0.16</f>
        <v>90960.960000000006</v>
      </c>
      <c r="BE24" s="1410"/>
      <c r="BF24" s="1540">
        <f>SUM(U24:U25)</f>
        <v>50213333</v>
      </c>
      <c r="BG24" s="1540">
        <f>SUM(V24:V25)</f>
        <v>50213333</v>
      </c>
      <c r="BH24" s="1542">
        <f>SUM(BF24/P24)</f>
        <v>0.15816717485116705</v>
      </c>
      <c r="BI24" s="1478" t="s">
        <v>1204</v>
      </c>
      <c r="BJ24" s="1472" t="s">
        <v>1205</v>
      </c>
      <c r="BK24" s="1315">
        <v>43832</v>
      </c>
      <c r="BL24" s="1315">
        <v>43832</v>
      </c>
      <c r="BM24" s="1306">
        <v>44195</v>
      </c>
      <c r="BN24" s="1306">
        <v>44195</v>
      </c>
      <c r="BO24" s="1299" t="s">
        <v>1206</v>
      </c>
    </row>
    <row r="25" spans="1:67" s="4" customFormat="1" ht="38.25" customHeight="1" x14ac:dyDescent="0.2">
      <c r="A25" s="283"/>
      <c r="B25" s="91"/>
      <c r="C25" s="91"/>
      <c r="D25" s="90"/>
      <c r="E25" s="91"/>
      <c r="F25" s="89"/>
      <c r="G25" s="1059">
        <v>1903015</v>
      </c>
      <c r="H25" s="1046" t="s">
        <v>1238</v>
      </c>
      <c r="I25" s="1054" t="s">
        <v>1239</v>
      </c>
      <c r="J25" s="1045">
        <v>12</v>
      </c>
      <c r="K25" s="1043">
        <v>3</v>
      </c>
      <c r="L25" s="1626"/>
      <c r="M25" s="1697"/>
      <c r="N25" s="1497"/>
      <c r="O25" s="742">
        <f>+T25/$P$24</f>
        <v>0.74337732699152681</v>
      </c>
      <c r="P25" s="1693"/>
      <c r="Q25" s="1693"/>
      <c r="R25" s="1295"/>
      <c r="S25" s="1046" t="s">
        <v>1238</v>
      </c>
      <c r="T25" s="1158">
        <v>236000000</v>
      </c>
      <c r="U25" s="1158">
        <v>50213333</v>
      </c>
      <c r="V25" s="1158">
        <v>50213333</v>
      </c>
      <c r="W25" s="1721"/>
      <c r="X25" s="1717"/>
      <c r="Y25" s="1742"/>
      <c r="Z25" s="1742"/>
      <c r="AA25" s="1742"/>
      <c r="AB25" s="1742"/>
      <c r="AC25" s="1742"/>
      <c r="AD25" s="1742"/>
      <c r="AE25" s="1742"/>
      <c r="AF25" s="1742"/>
      <c r="AG25" s="1742"/>
      <c r="AH25" s="1742"/>
      <c r="AI25" s="1742"/>
      <c r="AJ25" s="1742"/>
      <c r="AK25" s="1742"/>
      <c r="AL25" s="1742"/>
      <c r="AM25" s="1742"/>
      <c r="AN25" s="1742"/>
      <c r="AO25" s="1742"/>
      <c r="AP25" s="1742"/>
      <c r="AQ25" s="1742"/>
      <c r="AR25" s="1742"/>
      <c r="AS25" s="1742"/>
      <c r="AT25" s="1742"/>
      <c r="AU25" s="1742"/>
      <c r="AV25" s="1742"/>
      <c r="AW25" s="1742"/>
      <c r="AX25" s="1742"/>
      <c r="AY25" s="1742"/>
      <c r="AZ25" s="1742"/>
      <c r="BA25" s="1742"/>
      <c r="BB25" s="1742"/>
      <c r="BC25" s="1742"/>
      <c r="BD25" s="1742"/>
      <c r="BE25" s="1411"/>
      <c r="BF25" s="1473"/>
      <c r="BG25" s="1473"/>
      <c r="BH25" s="1544"/>
      <c r="BI25" s="1479"/>
      <c r="BJ25" s="1473"/>
      <c r="BK25" s="1317"/>
      <c r="BL25" s="1317"/>
      <c r="BM25" s="1308"/>
      <c r="BN25" s="1308"/>
      <c r="BO25" s="1300"/>
    </row>
    <row r="26" spans="1:67" s="4" customFormat="1" ht="38.25" customHeight="1" x14ac:dyDescent="0.2">
      <c r="A26" s="283"/>
      <c r="B26" s="91"/>
      <c r="C26" s="91"/>
      <c r="D26" s="90"/>
      <c r="E26" s="91"/>
      <c r="F26" s="89"/>
      <c r="G26" s="1705">
        <v>1903012</v>
      </c>
      <c r="H26" s="1499" t="s">
        <v>1240</v>
      </c>
      <c r="I26" s="1499" t="s">
        <v>1241</v>
      </c>
      <c r="J26" s="1498">
        <v>4000</v>
      </c>
      <c r="K26" s="1413">
        <v>773</v>
      </c>
      <c r="L26" s="1486" t="s">
        <v>1242</v>
      </c>
      <c r="M26" s="1697" t="s">
        <v>1243</v>
      </c>
      <c r="N26" s="1497" t="s">
        <v>1244</v>
      </c>
      <c r="O26" s="1736">
        <f>+(T26+T27)/P26</f>
        <v>0.81796693261385323</v>
      </c>
      <c r="P26" s="1698">
        <f>+T26+T27+T28+T29</f>
        <v>1098701477</v>
      </c>
      <c r="Q26" s="1693" t="s">
        <v>1245</v>
      </c>
      <c r="R26" s="1740" t="s">
        <v>1246</v>
      </c>
      <c r="S26" s="1499" t="s">
        <v>1240</v>
      </c>
      <c r="T26" s="911">
        <v>803501477</v>
      </c>
      <c r="U26" s="911"/>
      <c r="V26" s="911"/>
      <c r="W26" s="1478" t="s">
        <v>1247</v>
      </c>
      <c r="X26" s="1734" t="s">
        <v>1248</v>
      </c>
      <c r="Y26" s="1578">
        <v>289394</v>
      </c>
      <c r="Z26" s="1578">
        <f>SUM(Y26*0.08)</f>
        <v>23151.52</v>
      </c>
      <c r="AA26" s="1578">
        <v>279112</v>
      </c>
      <c r="AB26" s="1578">
        <f>SUM(AA26*0.08)</f>
        <v>22328.959999999999</v>
      </c>
      <c r="AC26" s="1578">
        <v>63164</v>
      </c>
      <c r="AD26" s="1578">
        <f>SUM(AC26*0.08)</f>
        <v>5053.12</v>
      </c>
      <c r="AE26" s="1578">
        <v>45607</v>
      </c>
      <c r="AF26" s="1578">
        <f>SUM(AE26*0.08)</f>
        <v>3648.56</v>
      </c>
      <c r="AG26" s="1578">
        <v>365607</v>
      </c>
      <c r="AH26" s="1578">
        <f>SUM(AG26*0.08)</f>
        <v>29248.560000000001</v>
      </c>
      <c r="AI26" s="1578">
        <v>75612</v>
      </c>
      <c r="AJ26" s="1578">
        <f>SUM(AI26*0.08)</f>
        <v>6048.96</v>
      </c>
      <c r="AK26" s="1578">
        <v>2145</v>
      </c>
      <c r="AL26" s="1578">
        <f>SUM(AK26*0.08)</f>
        <v>171.6</v>
      </c>
      <c r="AM26" s="1578">
        <v>12718</v>
      </c>
      <c r="AN26" s="1578">
        <f>SUM(AM26*0.08)</f>
        <v>1017.44</v>
      </c>
      <c r="AO26" s="1578">
        <v>26</v>
      </c>
      <c r="AP26" s="1578">
        <f>SUM(AO26*0.08)</f>
        <v>2.08</v>
      </c>
      <c r="AQ26" s="1578">
        <v>37</v>
      </c>
      <c r="AR26" s="1578">
        <f>SUM(AQ26*0.08)</f>
        <v>2.96</v>
      </c>
      <c r="AS26" s="1578">
        <v>0</v>
      </c>
      <c r="AT26" s="1578">
        <f>SUM(AS26*0.08)</f>
        <v>0</v>
      </c>
      <c r="AU26" s="1578">
        <v>0</v>
      </c>
      <c r="AV26" s="1578">
        <f>SUM(AU26*0.08)</f>
        <v>0</v>
      </c>
      <c r="AW26" s="1578">
        <v>78</v>
      </c>
      <c r="AX26" s="1578">
        <f>SUM(AW26*0.08)</f>
        <v>6.24</v>
      </c>
      <c r="AY26" s="1578">
        <v>16897</v>
      </c>
      <c r="AZ26" s="1578">
        <f>SUM(AY26*0.08)</f>
        <v>1351.76</v>
      </c>
      <c r="BA26" s="1578">
        <v>852</v>
      </c>
      <c r="BB26" s="1578">
        <f>SUM(BA26*0.08)</f>
        <v>68.16</v>
      </c>
      <c r="BC26" s="1578">
        <v>568506</v>
      </c>
      <c r="BD26" s="1578">
        <f>SUM(BC26*0.08)</f>
        <v>45480.480000000003</v>
      </c>
      <c r="BE26" s="1413"/>
      <c r="BF26" s="1599">
        <f>SUM(U26:U30)</f>
        <v>89428679</v>
      </c>
      <c r="BG26" s="1599">
        <f>SUM(V26:V30)</f>
        <v>77600079</v>
      </c>
      <c r="BH26" s="1694">
        <f>SUM(BF26/P26)</f>
        <v>8.1394883753305447E-2</v>
      </c>
      <c r="BI26" s="1449" t="s">
        <v>1204</v>
      </c>
      <c r="BJ26" s="1449" t="s">
        <v>1205</v>
      </c>
      <c r="BK26" s="1315">
        <v>43832</v>
      </c>
      <c r="BL26" s="1315">
        <v>43832</v>
      </c>
      <c r="BM26" s="1306">
        <v>44195</v>
      </c>
      <c r="BN26" s="1306">
        <v>44195</v>
      </c>
      <c r="BO26" s="1299" t="s">
        <v>1206</v>
      </c>
    </row>
    <row r="27" spans="1:67" s="4" customFormat="1" ht="38.25" customHeight="1" x14ac:dyDescent="0.2">
      <c r="A27" s="283"/>
      <c r="B27" s="91"/>
      <c r="C27" s="91"/>
      <c r="D27" s="90"/>
      <c r="E27" s="91"/>
      <c r="F27" s="89"/>
      <c r="G27" s="1705"/>
      <c r="H27" s="1499"/>
      <c r="I27" s="1499"/>
      <c r="J27" s="1498"/>
      <c r="K27" s="1432"/>
      <c r="L27" s="1487"/>
      <c r="M27" s="1697"/>
      <c r="N27" s="1497"/>
      <c r="O27" s="1736"/>
      <c r="P27" s="1697"/>
      <c r="Q27" s="1693"/>
      <c r="R27" s="1740"/>
      <c r="S27" s="1499"/>
      <c r="T27" s="1158">
        <v>95200000</v>
      </c>
      <c r="U27" s="1158"/>
      <c r="V27" s="1158"/>
      <c r="W27" s="1534"/>
      <c r="X27" s="1739"/>
      <c r="Y27" s="1579"/>
      <c r="Z27" s="1579"/>
      <c r="AA27" s="1579"/>
      <c r="AB27" s="1579"/>
      <c r="AC27" s="1579"/>
      <c r="AD27" s="1579"/>
      <c r="AE27" s="1579"/>
      <c r="AF27" s="1579"/>
      <c r="AG27" s="1579"/>
      <c r="AH27" s="1579"/>
      <c r="AI27" s="1579"/>
      <c r="AJ27" s="1579"/>
      <c r="AK27" s="1579"/>
      <c r="AL27" s="1579"/>
      <c r="AM27" s="1579"/>
      <c r="AN27" s="1579"/>
      <c r="AO27" s="1579"/>
      <c r="AP27" s="1579"/>
      <c r="AQ27" s="1579"/>
      <c r="AR27" s="1579"/>
      <c r="AS27" s="1579"/>
      <c r="AT27" s="1579"/>
      <c r="AU27" s="1579"/>
      <c r="AV27" s="1579"/>
      <c r="AW27" s="1579"/>
      <c r="AX27" s="1579"/>
      <c r="AY27" s="1579"/>
      <c r="AZ27" s="1579"/>
      <c r="BA27" s="1579"/>
      <c r="BB27" s="1579"/>
      <c r="BC27" s="1579"/>
      <c r="BD27" s="1579"/>
      <c r="BE27" s="1414"/>
      <c r="BF27" s="1450"/>
      <c r="BG27" s="1450"/>
      <c r="BH27" s="1695"/>
      <c r="BI27" s="1450"/>
      <c r="BJ27" s="1450"/>
      <c r="BK27" s="1316"/>
      <c r="BL27" s="1316"/>
      <c r="BM27" s="1307"/>
      <c r="BN27" s="1307"/>
      <c r="BO27" s="1300"/>
    </row>
    <row r="28" spans="1:67" s="4" customFormat="1" ht="38.25" customHeight="1" x14ac:dyDescent="0.2">
      <c r="A28" s="283"/>
      <c r="B28" s="91"/>
      <c r="C28" s="91"/>
      <c r="D28" s="90"/>
      <c r="E28" s="91"/>
      <c r="F28" s="89"/>
      <c r="G28" s="1059">
        <v>1903016</v>
      </c>
      <c r="H28" s="1046" t="s">
        <v>1249</v>
      </c>
      <c r="I28" s="1054" t="s">
        <v>1250</v>
      </c>
      <c r="J28" s="1045">
        <v>240</v>
      </c>
      <c r="K28" s="1043">
        <v>50</v>
      </c>
      <c r="L28" s="1487"/>
      <c r="M28" s="1697"/>
      <c r="N28" s="1497"/>
      <c r="O28" s="742">
        <f>+T28/P26</f>
        <v>9.1016533693073387E-2</v>
      </c>
      <c r="P28" s="1697"/>
      <c r="Q28" s="1693"/>
      <c r="R28" s="1740"/>
      <c r="S28" s="1046" t="s">
        <v>1249</v>
      </c>
      <c r="T28" s="911">
        <v>100000000</v>
      </c>
      <c r="U28" s="911">
        <v>89428679</v>
      </c>
      <c r="V28" s="911">
        <v>77600079</v>
      </c>
      <c r="W28" s="1534"/>
      <c r="X28" s="1739"/>
      <c r="Y28" s="1579"/>
      <c r="Z28" s="1579"/>
      <c r="AA28" s="1579"/>
      <c r="AB28" s="1579"/>
      <c r="AC28" s="1579"/>
      <c r="AD28" s="1579"/>
      <c r="AE28" s="1579"/>
      <c r="AF28" s="1579"/>
      <c r="AG28" s="1579"/>
      <c r="AH28" s="1579"/>
      <c r="AI28" s="1579"/>
      <c r="AJ28" s="1579"/>
      <c r="AK28" s="1579"/>
      <c r="AL28" s="1579"/>
      <c r="AM28" s="1579"/>
      <c r="AN28" s="1579"/>
      <c r="AO28" s="1579"/>
      <c r="AP28" s="1579"/>
      <c r="AQ28" s="1579"/>
      <c r="AR28" s="1579"/>
      <c r="AS28" s="1579"/>
      <c r="AT28" s="1579"/>
      <c r="AU28" s="1579"/>
      <c r="AV28" s="1579"/>
      <c r="AW28" s="1579"/>
      <c r="AX28" s="1579"/>
      <c r="AY28" s="1579"/>
      <c r="AZ28" s="1579"/>
      <c r="BA28" s="1579"/>
      <c r="BB28" s="1579"/>
      <c r="BC28" s="1579"/>
      <c r="BD28" s="1579"/>
      <c r="BE28" s="1414"/>
      <c r="BF28" s="1450"/>
      <c r="BG28" s="1450"/>
      <c r="BH28" s="1695"/>
      <c r="BI28" s="1450"/>
      <c r="BJ28" s="1450"/>
      <c r="BK28" s="1316"/>
      <c r="BL28" s="1316"/>
      <c r="BM28" s="1307"/>
      <c r="BN28" s="1307"/>
      <c r="BO28" s="1300"/>
    </row>
    <row r="29" spans="1:67" s="4" customFormat="1" ht="38.25" customHeight="1" x14ac:dyDescent="0.2">
      <c r="A29" s="283"/>
      <c r="B29" s="91"/>
      <c r="C29" s="91"/>
      <c r="D29" s="90"/>
      <c r="E29" s="91"/>
      <c r="F29" s="89"/>
      <c r="G29" s="1705">
        <v>1903011</v>
      </c>
      <c r="H29" s="1499" t="s">
        <v>1229</v>
      </c>
      <c r="I29" s="33" t="s">
        <v>1230</v>
      </c>
      <c r="J29" s="1045">
        <v>140</v>
      </c>
      <c r="K29" s="1043">
        <v>30</v>
      </c>
      <c r="L29" s="1487"/>
      <c r="M29" s="1697"/>
      <c r="N29" s="1497"/>
      <c r="O29" s="1736">
        <f>+(T29+T30)/P26</f>
        <v>9.1016533693073387E-2</v>
      </c>
      <c r="P29" s="1697"/>
      <c r="Q29" s="1693"/>
      <c r="R29" s="1740"/>
      <c r="S29" s="1499" t="s">
        <v>1229</v>
      </c>
      <c r="T29" s="1738">
        <v>100000000</v>
      </c>
      <c r="U29" s="911"/>
      <c r="V29" s="911"/>
      <c r="W29" s="1534"/>
      <c r="X29" s="1739"/>
      <c r="Y29" s="1579"/>
      <c r="Z29" s="1579"/>
      <c r="AA29" s="1579"/>
      <c r="AB29" s="1579"/>
      <c r="AC29" s="1579"/>
      <c r="AD29" s="1579"/>
      <c r="AE29" s="1579"/>
      <c r="AF29" s="1579"/>
      <c r="AG29" s="1579"/>
      <c r="AH29" s="1579"/>
      <c r="AI29" s="1579"/>
      <c r="AJ29" s="1579"/>
      <c r="AK29" s="1579"/>
      <c r="AL29" s="1579"/>
      <c r="AM29" s="1579"/>
      <c r="AN29" s="1579"/>
      <c r="AO29" s="1579"/>
      <c r="AP29" s="1579"/>
      <c r="AQ29" s="1579"/>
      <c r="AR29" s="1579"/>
      <c r="AS29" s="1579"/>
      <c r="AT29" s="1579"/>
      <c r="AU29" s="1579"/>
      <c r="AV29" s="1579"/>
      <c r="AW29" s="1579"/>
      <c r="AX29" s="1579"/>
      <c r="AY29" s="1579"/>
      <c r="AZ29" s="1579"/>
      <c r="BA29" s="1579"/>
      <c r="BB29" s="1579"/>
      <c r="BC29" s="1579"/>
      <c r="BD29" s="1579"/>
      <c r="BE29" s="1414"/>
      <c r="BF29" s="1450"/>
      <c r="BG29" s="1450"/>
      <c r="BH29" s="1695"/>
      <c r="BI29" s="1450"/>
      <c r="BJ29" s="1450"/>
      <c r="BK29" s="1316"/>
      <c r="BL29" s="1316"/>
      <c r="BM29" s="1307"/>
      <c r="BN29" s="1307"/>
      <c r="BO29" s="1300"/>
    </row>
    <row r="30" spans="1:67" s="4" customFormat="1" ht="38.25" customHeight="1" x14ac:dyDescent="0.2">
      <c r="A30" s="283"/>
      <c r="B30" s="91"/>
      <c r="C30" s="91"/>
      <c r="D30" s="90"/>
      <c r="E30" s="91"/>
      <c r="F30" s="89"/>
      <c r="G30" s="1705"/>
      <c r="H30" s="1499"/>
      <c r="I30" s="33" t="s">
        <v>1231</v>
      </c>
      <c r="J30" s="1045">
        <v>12</v>
      </c>
      <c r="K30" s="1043">
        <v>6</v>
      </c>
      <c r="L30" s="1626"/>
      <c r="M30" s="1697"/>
      <c r="N30" s="1497"/>
      <c r="O30" s="1736"/>
      <c r="P30" s="1697"/>
      <c r="Q30" s="1693"/>
      <c r="R30" s="1740"/>
      <c r="S30" s="1499"/>
      <c r="T30" s="1738"/>
      <c r="U30" s="911"/>
      <c r="V30" s="911"/>
      <c r="W30" s="1479"/>
      <c r="X30" s="1735"/>
      <c r="Y30" s="1580"/>
      <c r="Z30" s="1580"/>
      <c r="AA30" s="1580"/>
      <c r="AB30" s="1580"/>
      <c r="AC30" s="1580"/>
      <c r="AD30" s="1580"/>
      <c r="AE30" s="1580"/>
      <c r="AF30" s="1580"/>
      <c r="AG30" s="1580"/>
      <c r="AH30" s="1580"/>
      <c r="AI30" s="1580"/>
      <c r="AJ30" s="1580"/>
      <c r="AK30" s="1580"/>
      <c r="AL30" s="1580"/>
      <c r="AM30" s="1580"/>
      <c r="AN30" s="1580"/>
      <c r="AO30" s="1580"/>
      <c r="AP30" s="1580"/>
      <c r="AQ30" s="1580"/>
      <c r="AR30" s="1580"/>
      <c r="AS30" s="1580"/>
      <c r="AT30" s="1580"/>
      <c r="AU30" s="1580"/>
      <c r="AV30" s="1580"/>
      <c r="AW30" s="1580"/>
      <c r="AX30" s="1580"/>
      <c r="AY30" s="1580"/>
      <c r="AZ30" s="1580"/>
      <c r="BA30" s="1580"/>
      <c r="BB30" s="1580"/>
      <c r="BC30" s="1580"/>
      <c r="BD30" s="1580"/>
      <c r="BE30" s="1432"/>
      <c r="BF30" s="1451"/>
      <c r="BG30" s="1451"/>
      <c r="BH30" s="1696"/>
      <c r="BI30" s="1451"/>
      <c r="BJ30" s="1451"/>
      <c r="BK30" s="1317"/>
      <c r="BL30" s="1317"/>
      <c r="BM30" s="1308"/>
      <c r="BN30" s="1308"/>
      <c r="BO30" s="1301"/>
    </row>
    <row r="31" spans="1:67" s="4" customFormat="1" ht="38.25" customHeight="1" x14ac:dyDescent="0.2">
      <c r="A31" s="283"/>
      <c r="B31" s="91"/>
      <c r="C31" s="91"/>
      <c r="D31" s="90"/>
      <c r="E31" s="91"/>
      <c r="F31" s="89"/>
      <c r="G31" s="1705">
        <v>1903031</v>
      </c>
      <c r="H31" s="1499" t="s">
        <v>1251</v>
      </c>
      <c r="I31" s="1499" t="s">
        <v>1252</v>
      </c>
      <c r="J31" s="1498">
        <v>12</v>
      </c>
      <c r="K31" s="1413">
        <v>5</v>
      </c>
      <c r="L31" s="1486" t="s">
        <v>1253</v>
      </c>
      <c r="M31" s="1697" t="s">
        <v>1254</v>
      </c>
      <c r="N31" s="1497" t="s">
        <v>1255</v>
      </c>
      <c r="O31" s="1736">
        <f>+P31/($T$31+$T$32+$T$73)</f>
        <v>0.8675801480804296</v>
      </c>
      <c r="P31" s="1702">
        <f>+T31+T32</f>
        <v>656000000</v>
      </c>
      <c r="Q31" s="1702" t="s">
        <v>1256</v>
      </c>
      <c r="R31" s="1737" t="s">
        <v>1257</v>
      </c>
      <c r="S31" s="1693" t="s">
        <v>1251</v>
      </c>
      <c r="T31" s="911">
        <f>400000000</f>
        <v>400000000</v>
      </c>
      <c r="U31" s="1158">
        <v>75018330</v>
      </c>
      <c r="V31" s="1158">
        <v>69433331</v>
      </c>
      <c r="W31" s="1719" t="s">
        <v>1258</v>
      </c>
      <c r="X31" s="1734" t="s">
        <v>1259</v>
      </c>
      <c r="Y31" s="1727">
        <v>292684</v>
      </c>
      <c r="Z31" s="1727">
        <f>SUM(Y31*0.11)</f>
        <v>32195.24</v>
      </c>
      <c r="AA31" s="1727">
        <v>282326</v>
      </c>
      <c r="AB31" s="1727">
        <f>SUM(AA31*0.11)</f>
        <v>31055.86</v>
      </c>
      <c r="AC31" s="1727">
        <v>135912</v>
      </c>
      <c r="AD31" s="1727">
        <f>SUM(AC31*0.11)</f>
        <v>14950.32</v>
      </c>
      <c r="AE31" s="1727">
        <v>45122</v>
      </c>
      <c r="AF31" s="1727">
        <f>SUM(AE31*0.11)</f>
        <v>4963.42</v>
      </c>
      <c r="AG31" s="1727">
        <v>365607</v>
      </c>
      <c r="AH31" s="1727">
        <f>SUM(AG31*0.11)</f>
        <v>40216.769999999997</v>
      </c>
      <c r="AI31" s="1727">
        <v>75612</v>
      </c>
      <c r="AJ31" s="1727">
        <f>SUM(AI31*0.11)</f>
        <v>8317.32</v>
      </c>
      <c r="AK31" s="1727">
        <v>2145</v>
      </c>
      <c r="AL31" s="1727">
        <f>SUM(AK31*0.11)</f>
        <v>235.95</v>
      </c>
      <c r="AM31" s="1727">
        <v>12718</v>
      </c>
      <c r="AN31" s="1727">
        <f>SUM(AM31*0.11)</f>
        <v>1398.98</v>
      </c>
      <c r="AO31" s="1727">
        <v>26</v>
      </c>
      <c r="AP31" s="1727">
        <f>SUM(AO31*0.11)</f>
        <v>2.86</v>
      </c>
      <c r="AQ31" s="1727">
        <v>37</v>
      </c>
      <c r="AR31" s="1727">
        <f>SUM(AQ31*0.11)</f>
        <v>4.07</v>
      </c>
      <c r="AS31" s="1727" t="s">
        <v>960</v>
      </c>
      <c r="AT31" s="1727" t="s">
        <v>960</v>
      </c>
      <c r="AU31" s="1727" t="s">
        <v>960</v>
      </c>
      <c r="AV31" s="1727" t="s">
        <v>960</v>
      </c>
      <c r="AW31" s="1727">
        <v>53164</v>
      </c>
      <c r="AX31" s="1727">
        <f>SUM(AW31*0.11)</f>
        <v>5848.04</v>
      </c>
      <c r="AY31" s="1727">
        <v>16982</v>
      </c>
      <c r="AZ31" s="1727">
        <f>SUM(AY31*0.11)</f>
        <v>1868.02</v>
      </c>
      <c r="BA31" s="1727">
        <v>60013</v>
      </c>
      <c r="BB31" s="1727">
        <f>SUM(BA31*0.11)</f>
        <v>6601.43</v>
      </c>
      <c r="BC31" s="1727">
        <v>575010</v>
      </c>
      <c r="BD31" s="1727">
        <f>SUM(BC31*0.11)</f>
        <v>63251.1</v>
      </c>
      <c r="BE31" s="1732"/>
      <c r="BF31" s="1729">
        <f>SUM(U31:U32)</f>
        <v>75018330</v>
      </c>
      <c r="BG31" s="1729">
        <f>SUM(V31:V32)</f>
        <v>69433331</v>
      </c>
      <c r="BH31" s="1312">
        <f>SUM(BF31/P31)</f>
        <v>0.11435721036585365</v>
      </c>
      <c r="BI31" s="1731" t="s">
        <v>1204</v>
      </c>
      <c r="BJ31" s="1731" t="s">
        <v>1205</v>
      </c>
      <c r="BK31" s="1315">
        <v>43832</v>
      </c>
      <c r="BL31" s="1315">
        <v>43832</v>
      </c>
      <c r="BM31" s="1306">
        <v>44195</v>
      </c>
      <c r="BN31" s="1306">
        <v>44195</v>
      </c>
      <c r="BO31" s="1299" t="s">
        <v>1206</v>
      </c>
    </row>
    <row r="32" spans="1:67" s="4" customFormat="1" ht="38.25" customHeight="1" x14ac:dyDescent="0.2">
      <c r="A32" s="283"/>
      <c r="B32" s="91"/>
      <c r="C32" s="91"/>
      <c r="D32" s="90"/>
      <c r="E32" s="91"/>
      <c r="F32" s="89"/>
      <c r="G32" s="1705"/>
      <c r="H32" s="1499"/>
      <c r="I32" s="1499"/>
      <c r="J32" s="1498"/>
      <c r="K32" s="1432"/>
      <c r="L32" s="1626"/>
      <c r="M32" s="1697"/>
      <c r="N32" s="1497"/>
      <c r="O32" s="1736"/>
      <c r="P32" s="1693"/>
      <c r="Q32" s="1693"/>
      <c r="R32" s="1737"/>
      <c r="S32" s="1693"/>
      <c r="T32" s="1158">
        <v>256000000</v>
      </c>
      <c r="U32" s="1158"/>
      <c r="V32" s="1158"/>
      <c r="W32" s="1721"/>
      <c r="X32" s="1735"/>
      <c r="Y32" s="1728"/>
      <c r="Z32" s="1728"/>
      <c r="AA32" s="1728"/>
      <c r="AB32" s="1728"/>
      <c r="AC32" s="1728"/>
      <c r="AD32" s="1728"/>
      <c r="AE32" s="1728"/>
      <c r="AF32" s="1728"/>
      <c r="AG32" s="1728"/>
      <c r="AH32" s="1728"/>
      <c r="AI32" s="1728"/>
      <c r="AJ32" s="1728"/>
      <c r="AK32" s="1728"/>
      <c r="AL32" s="1728"/>
      <c r="AM32" s="1728"/>
      <c r="AN32" s="1728"/>
      <c r="AO32" s="1728"/>
      <c r="AP32" s="1728"/>
      <c r="AQ32" s="1728"/>
      <c r="AR32" s="1728"/>
      <c r="AS32" s="1728"/>
      <c r="AT32" s="1728"/>
      <c r="AU32" s="1728"/>
      <c r="AV32" s="1728"/>
      <c r="AW32" s="1728"/>
      <c r="AX32" s="1728"/>
      <c r="AY32" s="1728"/>
      <c r="AZ32" s="1728"/>
      <c r="BA32" s="1728"/>
      <c r="BB32" s="1728"/>
      <c r="BC32" s="1728"/>
      <c r="BD32" s="1728"/>
      <c r="BE32" s="1733"/>
      <c r="BF32" s="1730"/>
      <c r="BG32" s="1730"/>
      <c r="BH32" s="1314"/>
      <c r="BI32" s="1730"/>
      <c r="BJ32" s="1730"/>
      <c r="BK32" s="1317"/>
      <c r="BL32" s="1317"/>
      <c r="BM32" s="1308"/>
      <c r="BN32" s="1308"/>
      <c r="BO32" s="1301"/>
    </row>
    <row r="33" spans="1:67" s="4" customFormat="1" ht="88.5" customHeight="1" x14ac:dyDescent="0.2">
      <c r="A33" s="283"/>
      <c r="B33" s="91"/>
      <c r="C33" s="91"/>
      <c r="D33" s="90"/>
      <c r="E33" s="91"/>
      <c r="F33" s="89"/>
      <c r="G33" s="1059">
        <v>1903034</v>
      </c>
      <c r="H33" s="1054" t="s">
        <v>346</v>
      </c>
      <c r="I33" s="33" t="s">
        <v>1260</v>
      </c>
      <c r="J33" s="1055">
        <v>12</v>
      </c>
      <c r="K33" s="1043">
        <v>6</v>
      </c>
      <c r="L33" s="1055" t="s">
        <v>1261</v>
      </c>
      <c r="M33" s="1055" t="s">
        <v>1262</v>
      </c>
      <c r="N33" s="1044" t="s">
        <v>1263</v>
      </c>
      <c r="O33" s="1057">
        <f>+T33/P33</f>
        <v>1</v>
      </c>
      <c r="P33" s="1165">
        <f>+T33</f>
        <v>96954000</v>
      </c>
      <c r="Q33" s="1054" t="s">
        <v>1264</v>
      </c>
      <c r="R33" s="1166" t="s">
        <v>1265</v>
      </c>
      <c r="S33" s="1054" t="s">
        <v>346</v>
      </c>
      <c r="T33" s="109">
        <v>96954000</v>
      </c>
      <c r="U33" s="109">
        <v>22400000</v>
      </c>
      <c r="V33" s="109">
        <v>19600000</v>
      </c>
      <c r="W33" s="1159" t="s">
        <v>191</v>
      </c>
      <c r="X33" s="1167" t="s">
        <v>1266</v>
      </c>
      <c r="Y33" s="1055">
        <v>292684</v>
      </c>
      <c r="Z33" s="1056">
        <f>SUM(Y33*0.23)</f>
        <v>67317.320000000007</v>
      </c>
      <c r="AA33" s="1056">
        <v>282326</v>
      </c>
      <c r="AB33" s="1056">
        <f>SUM(AA33*0.23)</f>
        <v>64934.98</v>
      </c>
      <c r="AC33" s="1056">
        <v>135912</v>
      </c>
      <c r="AD33" s="1056">
        <f>SUM(AC33*0.23)</f>
        <v>31259.760000000002</v>
      </c>
      <c r="AE33" s="1056">
        <v>45122</v>
      </c>
      <c r="AF33" s="1056">
        <f>SUM(AE33*0.23)</f>
        <v>10378.060000000001</v>
      </c>
      <c r="AG33" s="1056">
        <v>365607</v>
      </c>
      <c r="AH33" s="1056">
        <f>SUM(AG33*0.23)</f>
        <v>84089.61</v>
      </c>
      <c r="AI33" s="1056">
        <v>86875</v>
      </c>
      <c r="AJ33" s="1056">
        <f>SUM(AI33*0.23)</f>
        <v>19981.25</v>
      </c>
      <c r="AK33" s="1056">
        <v>2145</v>
      </c>
      <c r="AL33" s="1056">
        <f>SUM(AK33*0.23)</f>
        <v>493.35</v>
      </c>
      <c r="AM33" s="1056">
        <v>12718</v>
      </c>
      <c r="AN33" s="1056">
        <f>SUM(AM33*0.23)</f>
        <v>2925.1400000000003</v>
      </c>
      <c r="AO33" s="1056">
        <v>26</v>
      </c>
      <c r="AP33" s="1056">
        <f>SUM(AO33*0.23)</f>
        <v>5.98</v>
      </c>
      <c r="AQ33" s="1056">
        <v>37</v>
      </c>
      <c r="AR33" s="1056">
        <f>SUM(AQ33*0.23)</f>
        <v>8.51</v>
      </c>
      <c r="AS33" s="1056" t="s">
        <v>960</v>
      </c>
      <c r="AT33" s="1056" t="s">
        <v>960</v>
      </c>
      <c r="AU33" s="1056" t="s">
        <v>960</v>
      </c>
      <c r="AV33" s="1056" t="s">
        <v>960</v>
      </c>
      <c r="AW33" s="1056">
        <v>53164</v>
      </c>
      <c r="AX33" s="1056">
        <f>SUM(AW33*0.23)</f>
        <v>12227.720000000001</v>
      </c>
      <c r="AY33" s="1056">
        <v>16982</v>
      </c>
      <c r="AZ33" s="1056">
        <f>SUM(AY33*0.23)</f>
        <v>3905.86</v>
      </c>
      <c r="BA33" s="1056">
        <v>60013</v>
      </c>
      <c r="BB33" s="1056">
        <f>SUM(BA33*0.23)</f>
        <v>13802.99</v>
      </c>
      <c r="BC33" s="1055">
        <v>575010</v>
      </c>
      <c r="BD33" s="1055">
        <f>SUM(BC33*0.23)</f>
        <v>132252.30000000002</v>
      </c>
      <c r="BE33" s="1043"/>
      <c r="BF33" s="1168">
        <f>U33</f>
        <v>22400000</v>
      </c>
      <c r="BG33" s="1168">
        <f>V33</f>
        <v>19600000</v>
      </c>
      <c r="BH33" s="1057">
        <f>SUM(BF33/P33)</f>
        <v>0.2310373991789921</v>
      </c>
      <c r="BI33" s="1055" t="s">
        <v>72</v>
      </c>
      <c r="BJ33" s="1055" t="s">
        <v>1267</v>
      </c>
      <c r="BK33" s="1047">
        <v>43832</v>
      </c>
      <c r="BL33" s="1047">
        <v>43832</v>
      </c>
      <c r="BM33" s="49">
        <v>44195</v>
      </c>
      <c r="BN33" s="49">
        <v>44195</v>
      </c>
      <c r="BO33" s="1054" t="s">
        <v>1206</v>
      </c>
    </row>
    <row r="34" spans="1:67" s="4" customFormat="1" ht="38.25" customHeight="1" x14ac:dyDescent="0.2">
      <c r="A34" s="283"/>
      <c r="B34" s="91"/>
      <c r="C34" s="91"/>
      <c r="D34" s="90"/>
      <c r="E34" s="91"/>
      <c r="F34" s="89"/>
      <c r="G34" s="1059">
        <v>1903045</v>
      </c>
      <c r="H34" s="1054" t="s">
        <v>1268</v>
      </c>
      <c r="I34" s="1054" t="s">
        <v>1269</v>
      </c>
      <c r="J34" s="1055">
        <v>725</v>
      </c>
      <c r="K34" s="1043">
        <v>0</v>
      </c>
      <c r="L34" s="1449" t="s">
        <v>1270</v>
      </c>
      <c r="M34" s="1697" t="s">
        <v>1271</v>
      </c>
      <c r="N34" s="1497" t="s">
        <v>1272</v>
      </c>
      <c r="O34" s="1169">
        <f>+(T34)/$P$34</f>
        <v>0.30379355158116222</v>
      </c>
      <c r="P34" s="1698">
        <f>+T34+T35+T36+T37+T38</f>
        <v>64636000</v>
      </c>
      <c r="Q34" s="1693" t="s">
        <v>1273</v>
      </c>
      <c r="R34" s="1293" t="s">
        <v>1274</v>
      </c>
      <c r="S34" s="1054" t="s">
        <v>1268</v>
      </c>
      <c r="T34" s="109">
        <v>19636000</v>
      </c>
      <c r="U34" s="109">
        <v>7560000</v>
      </c>
      <c r="V34" s="109"/>
      <c r="W34" s="1719" t="s">
        <v>191</v>
      </c>
      <c r="X34" s="1689" t="s">
        <v>1266</v>
      </c>
      <c r="Y34" s="1578">
        <v>292684</v>
      </c>
      <c r="Z34" s="1578">
        <f>SUM(Y34*0.52)</f>
        <v>152195.68</v>
      </c>
      <c r="AA34" s="1578">
        <v>282326</v>
      </c>
      <c r="AB34" s="1578">
        <f>SUM(AA34*0.52)</f>
        <v>146809.52000000002</v>
      </c>
      <c r="AC34" s="1578">
        <v>135912</v>
      </c>
      <c r="AD34" s="1578">
        <f>SUM(AC34*0.52)</f>
        <v>70674.240000000005</v>
      </c>
      <c r="AE34" s="1578">
        <v>45122</v>
      </c>
      <c r="AF34" s="1578">
        <f>SUM(AE34*0.52)</f>
        <v>23463.440000000002</v>
      </c>
      <c r="AG34" s="1578">
        <v>365607</v>
      </c>
      <c r="AH34" s="1578">
        <f>SUM(AG34*0.52)</f>
        <v>190115.64</v>
      </c>
      <c r="AI34" s="1578">
        <v>86875</v>
      </c>
      <c r="AJ34" s="1578">
        <f>SUM(AI34*0.52)</f>
        <v>45175</v>
      </c>
      <c r="AK34" s="1578">
        <v>2145</v>
      </c>
      <c r="AL34" s="1578">
        <f>SUM(AK34*0.52)</f>
        <v>1115.4000000000001</v>
      </c>
      <c r="AM34" s="1578">
        <v>12718</v>
      </c>
      <c r="AN34" s="1578">
        <f>SUM(AM34*0.52)</f>
        <v>6613.3600000000006</v>
      </c>
      <c r="AO34" s="1578">
        <v>26</v>
      </c>
      <c r="AP34" s="1578">
        <f>SUM(AO34*0.52)</f>
        <v>13.52</v>
      </c>
      <c r="AQ34" s="1578">
        <v>37</v>
      </c>
      <c r="AR34" s="1578">
        <f>SUM(AQ34*0.52)</f>
        <v>19.240000000000002</v>
      </c>
      <c r="AS34" s="1578" t="s">
        <v>960</v>
      </c>
      <c r="AT34" s="1578" t="s">
        <v>960</v>
      </c>
      <c r="AU34" s="1578" t="s">
        <v>960</v>
      </c>
      <c r="AV34" s="1578" t="s">
        <v>960</v>
      </c>
      <c r="AW34" s="1578">
        <v>53164</v>
      </c>
      <c r="AX34" s="1578">
        <f>SUM(AW34*0.52)</f>
        <v>27645.280000000002</v>
      </c>
      <c r="AY34" s="1578">
        <v>16982</v>
      </c>
      <c r="AZ34" s="1578">
        <f>SUM(AY34*0.52)</f>
        <v>8830.64</v>
      </c>
      <c r="BA34" s="1578">
        <v>60013</v>
      </c>
      <c r="BB34" s="1578">
        <f>SUM(BA34*0.52)</f>
        <v>31206.760000000002</v>
      </c>
      <c r="BC34" s="1578">
        <v>575010</v>
      </c>
      <c r="BD34" s="1578">
        <f>SUM(BC34*0.52)</f>
        <v>299005.2</v>
      </c>
      <c r="BE34" s="1413"/>
      <c r="BF34" s="1599">
        <f>SUM(U34:U38)</f>
        <v>33760000</v>
      </c>
      <c r="BG34" s="1599">
        <f>SUM(V34:V38)</f>
        <v>21914666</v>
      </c>
      <c r="BH34" s="1694">
        <f>SUM(BF34/P34)</f>
        <v>0.52230954885822145</v>
      </c>
      <c r="BI34" s="1449" t="s">
        <v>72</v>
      </c>
      <c r="BJ34" s="1449" t="s">
        <v>1267</v>
      </c>
      <c r="BK34" s="1315">
        <v>43832</v>
      </c>
      <c r="BL34" s="1315">
        <v>43832</v>
      </c>
      <c r="BM34" s="1306">
        <v>44195</v>
      </c>
      <c r="BN34" s="1306">
        <v>44195</v>
      </c>
      <c r="BO34" s="1299" t="s">
        <v>1206</v>
      </c>
    </row>
    <row r="35" spans="1:67" s="4" customFormat="1" ht="38.25" customHeight="1" x14ac:dyDescent="0.2">
      <c r="A35" s="283"/>
      <c r="B35" s="91"/>
      <c r="C35" s="91"/>
      <c r="D35" s="90"/>
      <c r="E35" s="91"/>
      <c r="F35" s="89"/>
      <c r="G35" s="1059">
        <v>1903001</v>
      </c>
      <c r="H35" s="1046" t="s">
        <v>1074</v>
      </c>
      <c r="I35" s="1054" t="s">
        <v>1232</v>
      </c>
      <c r="J35" s="1045">
        <v>1</v>
      </c>
      <c r="K35" s="1043">
        <v>0</v>
      </c>
      <c r="L35" s="1450"/>
      <c r="M35" s="1697"/>
      <c r="N35" s="1497"/>
      <c r="O35" s="1169">
        <f>+(T35)/$P$34</f>
        <v>0.23206881613961261</v>
      </c>
      <c r="P35" s="1697"/>
      <c r="Q35" s="1693"/>
      <c r="R35" s="1294"/>
      <c r="S35" s="1046" t="s">
        <v>1074</v>
      </c>
      <c r="T35" s="109">
        <v>15000000</v>
      </c>
      <c r="U35" s="109">
        <v>15000000</v>
      </c>
      <c r="V35" s="109">
        <v>10714666</v>
      </c>
      <c r="W35" s="1720"/>
      <c r="X35" s="1713"/>
      <c r="Y35" s="1579"/>
      <c r="Z35" s="1579"/>
      <c r="AA35" s="1579"/>
      <c r="AB35" s="1579"/>
      <c r="AC35" s="1579"/>
      <c r="AD35" s="1579"/>
      <c r="AE35" s="1579"/>
      <c r="AF35" s="1579"/>
      <c r="AG35" s="1579"/>
      <c r="AH35" s="1579"/>
      <c r="AI35" s="1579"/>
      <c r="AJ35" s="1579"/>
      <c r="AK35" s="1579"/>
      <c r="AL35" s="1579"/>
      <c r="AM35" s="1579"/>
      <c r="AN35" s="1579"/>
      <c r="AO35" s="1579"/>
      <c r="AP35" s="1579"/>
      <c r="AQ35" s="1579"/>
      <c r="AR35" s="1579"/>
      <c r="AS35" s="1579"/>
      <c r="AT35" s="1579"/>
      <c r="AU35" s="1579"/>
      <c r="AV35" s="1579"/>
      <c r="AW35" s="1579"/>
      <c r="AX35" s="1579"/>
      <c r="AY35" s="1579"/>
      <c r="AZ35" s="1579"/>
      <c r="BA35" s="1579"/>
      <c r="BB35" s="1579"/>
      <c r="BC35" s="1579"/>
      <c r="BD35" s="1579"/>
      <c r="BE35" s="1414"/>
      <c r="BF35" s="1450"/>
      <c r="BG35" s="1450"/>
      <c r="BH35" s="1695"/>
      <c r="BI35" s="1450"/>
      <c r="BJ35" s="1450"/>
      <c r="BK35" s="1316"/>
      <c r="BL35" s="1316"/>
      <c r="BM35" s="1307"/>
      <c r="BN35" s="1307"/>
      <c r="BO35" s="1300"/>
    </row>
    <row r="36" spans="1:67" s="4" customFormat="1" ht="38.25" customHeight="1" x14ac:dyDescent="0.2">
      <c r="A36" s="283"/>
      <c r="B36" s="91"/>
      <c r="C36" s="91"/>
      <c r="D36" s="90"/>
      <c r="E36" s="91"/>
      <c r="F36" s="89"/>
      <c r="G36" s="1059">
        <v>1903010</v>
      </c>
      <c r="H36" s="1046" t="s">
        <v>1275</v>
      </c>
      <c r="I36" s="33" t="s">
        <v>1276</v>
      </c>
      <c r="J36" s="1045">
        <v>12</v>
      </c>
      <c r="K36" s="1043">
        <v>0</v>
      </c>
      <c r="L36" s="1450"/>
      <c r="M36" s="1697"/>
      <c r="N36" s="1497"/>
      <c r="O36" s="1169">
        <f>+(T36)/$P$34</f>
        <v>0.23206881613961261</v>
      </c>
      <c r="P36" s="1697"/>
      <c r="Q36" s="1693"/>
      <c r="R36" s="1294"/>
      <c r="S36" s="1046" t="s">
        <v>1275</v>
      </c>
      <c r="T36" s="109">
        <v>15000000</v>
      </c>
      <c r="U36" s="109">
        <v>7200000</v>
      </c>
      <c r="V36" s="109">
        <v>7200000</v>
      </c>
      <c r="W36" s="1720"/>
      <c r="X36" s="1713"/>
      <c r="Y36" s="1579"/>
      <c r="Z36" s="1579"/>
      <c r="AA36" s="1579"/>
      <c r="AB36" s="1579"/>
      <c r="AC36" s="1579"/>
      <c r="AD36" s="1579"/>
      <c r="AE36" s="1579"/>
      <c r="AF36" s="1579"/>
      <c r="AG36" s="1579"/>
      <c r="AH36" s="1579"/>
      <c r="AI36" s="1579"/>
      <c r="AJ36" s="1579"/>
      <c r="AK36" s="1579"/>
      <c r="AL36" s="1579"/>
      <c r="AM36" s="1579"/>
      <c r="AN36" s="1579"/>
      <c r="AO36" s="1579"/>
      <c r="AP36" s="1579"/>
      <c r="AQ36" s="1579"/>
      <c r="AR36" s="1579"/>
      <c r="AS36" s="1579"/>
      <c r="AT36" s="1579"/>
      <c r="AU36" s="1579"/>
      <c r="AV36" s="1579"/>
      <c r="AW36" s="1579"/>
      <c r="AX36" s="1579"/>
      <c r="AY36" s="1579"/>
      <c r="AZ36" s="1579"/>
      <c r="BA36" s="1579"/>
      <c r="BB36" s="1579"/>
      <c r="BC36" s="1579"/>
      <c r="BD36" s="1579"/>
      <c r="BE36" s="1414"/>
      <c r="BF36" s="1450"/>
      <c r="BG36" s="1450"/>
      <c r="BH36" s="1695"/>
      <c r="BI36" s="1450"/>
      <c r="BJ36" s="1450"/>
      <c r="BK36" s="1316"/>
      <c r="BL36" s="1316"/>
      <c r="BM36" s="1307"/>
      <c r="BN36" s="1307"/>
      <c r="BO36" s="1300"/>
    </row>
    <row r="37" spans="1:67" s="4" customFormat="1" ht="38.25" customHeight="1" x14ac:dyDescent="0.2">
      <c r="A37" s="283"/>
      <c r="B37" s="91"/>
      <c r="C37" s="91"/>
      <c r="D37" s="90"/>
      <c r="E37" s="91"/>
      <c r="F37" s="89"/>
      <c r="G37" s="1705">
        <v>1903011</v>
      </c>
      <c r="H37" s="1499" t="s">
        <v>1229</v>
      </c>
      <c r="I37" s="33" t="s">
        <v>1230</v>
      </c>
      <c r="J37" s="1045">
        <v>140</v>
      </c>
      <c r="K37" s="1043">
        <v>0</v>
      </c>
      <c r="L37" s="1450"/>
      <c r="M37" s="1697"/>
      <c r="N37" s="1497"/>
      <c r="O37" s="1725">
        <f t="shared" ref="O37" si="1">+(T37)/$P$34</f>
        <v>0.11603440806980631</v>
      </c>
      <c r="P37" s="1697"/>
      <c r="Q37" s="1693"/>
      <c r="R37" s="1294"/>
      <c r="S37" s="1499" t="s">
        <v>1229</v>
      </c>
      <c r="T37" s="1170">
        <v>7500000</v>
      </c>
      <c r="U37" s="1171"/>
      <c r="V37" s="1171"/>
      <c r="W37" s="1720"/>
      <c r="X37" s="1713"/>
      <c r="Y37" s="1579"/>
      <c r="Z37" s="1579"/>
      <c r="AA37" s="1579"/>
      <c r="AB37" s="1579"/>
      <c r="AC37" s="1579"/>
      <c r="AD37" s="1579"/>
      <c r="AE37" s="1579"/>
      <c r="AF37" s="1579"/>
      <c r="AG37" s="1579"/>
      <c r="AH37" s="1579"/>
      <c r="AI37" s="1579"/>
      <c r="AJ37" s="1579"/>
      <c r="AK37" s="1579"/>
      <c r="AL37" s="1579"/>
      <c r="AM37" s="1579"/>
      <c r="AN37" s="1579"/>
      <c r="AO37" s="1579"/>
      <c r="AP37" s="1579"/>
      <c r="AQ37" s="1579"/>
      <c r="AR37" s="1579"/>
      <c r="AS37" s="1579"/>
      <c r="AT37" s="1579"/>
      <c r="AU37" s="1579"/>
      <c r="AV37" s="1579"/>
      <c r="AW37" s="1579"/>
      <c r="AX37" s="1579"/>
      <c r="AY37" s="1579"/>
      <c r="AZ37" s="1579"/>
      <c r="BA37" s="1579"/>
      <c r="BB37" s="1579"/>
      <c r="BC37" s="1579"/>
      <c r="BD37" s="1579"/>
      <c r="BE37" s="1414"/>
      <c r="BF37" s="1450"/>
      <c r="BG37" s="1450"/>
      <c r="BH37" s="1695"/>
      <c r="BI37" s="1450"/>
      <c r="BJ37" s="1450"/>
      <c r="BK37" s="1316"/>
      <c r="BL37" s="1316"/>
      <c r="BM37" s="1307"/>
      <c r="BN37" s="1307"/>
      <c r="BO37" s="1300"/>
    </row>
    <row r="38" spans="1:67" s="4" customFormat="1" ht="38.25" customHeight="1" x14ac:dyDescent="0.2">
      <c r="A38" s="283"/>
      <c r="B38" s="91"/>
      <c r="C38" s="91"/>
      <c r="D38" s="90"/>
      <c r="E38" s="91"/>
      <c r="F38" s="89"/>
      <c r="G38" s="1705"/>
      <c r="H38" s="1499"/>
      <c r="I38" s="33" t="s">
        <v>1231</v>
      </c>
      <c r="J38" s="1045">
        <v>12</v>
      </c>
      <c r="K38" s="1043">
        <v>0</v>
      </c>
      <c r="L38" s="1451"/>
      <c r="M38" s="1697"/>
      <c r="N38" s="1497"/>
      <c r="O38" s="1726"/>
      <c r="P38" s="1697"/>
      <c r="Q38" s="1693"/>
      <c r="R38" s="1295"/>
      <c r="S38" s="1499"/>
      <c r="T38" s="1170">
        <v>7500000</v>
      </c>
      <c r="U38" s="1170">
        <v>4000000</v>
      </c>
      <c r="V38" s="1170">
        <v>4000000</v>
      </c>
      <c r="W38" s="1721"/>
      <c r="X38" s="1690"/>
      <c r="Y38" s="1580"/>
      <c r="Z38" s="1580"/>
      <c r="AA38" s="1580"/>
      <c r="AB38" s="1580"/>
      <c r="AC38" s="1580"/>
      <c r="AD38" s="1580"/>
      <c r="AE38" s="1580"/>
      <c r="AF38" s="1580"/>
      <c r="AG38" s="1580"/>
      <c r="AH38" s="1580"/>
      <c r="AI38" s="1580"/>
      <c r="AJ38" s="1580"/>
      <c r="AK38" s="1580"/>
      <c r="AL38" s="1580"/>
      <c r="AM38" s="1580"/>
      <c r="AN38" s="1580"/>
      <c r="AO38" s="1580"/>
      <c r="AP38" s="1580"/>
      <c r="AQ38" s="1580"/>
      <c r="AR38" s="1580"/>
      <c r="AS38" s="1580"/>
      <c r="AT38" s="1580"/>
      <c r="AU38" s="1580"/>
      <c r="AV38" s="1580"/>
      <c r="AW38" s="1580"/>
      <c r="AX38" s="1580"/>
      <c r="AY38" s="1580"/>
      <c r="AZ38" s="1580"/>
      <c r="BA38" s="1580"/>
      <c r="BB38" s="1580"/>
      <c r="BC38" s="1580"/>
      <c r="BD38" s="1580"/>
      <c r="BE38" s="1432"/>
      <c r="BF38" s="1451"/>
      <c r="BG38" s="1451"/>
      <c r="BH38" s="1696"/>
      <c r="BI38" s="1451"/>
      <c r="BJ38" s="1451"/>
      <c r="BK38" s="1317"/>
      <c r="BL38" s="1317"/>
      <c r="BM38" s="1308"/>
      <c r="BN38" s="1308"/>
      <c r="BO38" s="1301"/>
    </row>
    <row r="39" spans="1:67" s="4" customFormat="1" ht="38.25" customHeight="1" x14ac:dyDescent="0.2">
      <c r="A39" s="283"/>
      <c r="B39" s="91"/>
      <c r="C39" s="91"/>
      <c r="D39" s="90"/>
      <c r="E39" s="91"/>
      <c r="F39" s="89"/>
      <c r="G39" s="1059">
        <v>1903047</v>
      </c>
      <c r="H39" s="1046" t="s">
        <v>1277</v>
      </c>
      <c r="I39" s="1054" t="s">
        <v>1278</v>
      </c>
      <c r="J39" s="1045">
        <v>1</v>
      </c>
      <c r="K39" s="1043">
        <v>0</v>
      </c>
      <c r="L39" s="1486" t="s">
        <v>1279</v>
      </c>
      <c r="M39" s="1697" t="s">
        <v>1280</v>
      </c>
      <c r="N39" s="1497" t="s">
        <v>1281</v>
      </c>
      <c r="O39" s="742">
        <f>+T39/$P$39</f>
        <v>0.13333333333333333</v>
      </c>
      <c r="P39" s="1698">
        <f>+T39+T40+T41+T42</f>
        <v>150000000</v>
      </c>
      <c r="Q39" s="1693" t="s">
        <v>1282</v>
      </c>
      <c r="R39" s="1722" t="s">
        <v>1283</v>
      </c>
      <c r="S39" s="1046" t="s">
        <v>1277</v>
      </c>
      <c r="T39" s="1172">
        <v>20000000</v>
      </c>
      <c r="U39" s="1172"/>
      <c r="V39" s="1172"/>
      <c r="W39" s="1719" t="s">
        <v>1284</v>
      </c>
      <c r="X39" s="1689" t="s">
        <v>1285</v>
      </c>
      <c r="Y39" s="1578">
        <v>292684</v>
      </c>
      <c r="Z39" s="1578">
        <f>SUM(Y39*0.22)</f>
        <v>64390.48</v>
      </c>
      <c r="AA39" s="1578">
        <v>282326</v>
      </c>
      <c r="AB39" s="1578">
        <f>SUM(AA39*0.22)</f>
        <v>62111.72</v>
      </c>
      <c r="AC39" s="1578">
        <v>135912</v>
      </c>
      <c r="AD39" s="1578">
        <f>SUM(AC39*0.22)</f>
        <v>29900.639999999999</v>
      </c>
      <c r="AE39" s="1578">
        <v>45122</v>
      </c>
      <c r="AF39" s="1578">
        <f>SUM(AE39*0.22)</f>
        <v>9926.84</v>
      </c>
      <c r="AG39" s="1578">
        <v>365607</v>
      </c>
      <c r="AH39" s="1578">
        <f>SUM(AG39*0.22)</f>
        <v>80433.539999999994</v>
      </c>
      <c r="AI39" s="1578">
        <v>86875</v>
      </c>
      <c r="AJ39" s="1578">
        <f>SUM(AI39*0.22)</f>
        <v>19112.5</v>
      </c>
      <c r="AK39" s="1578">
        <v>2145</v>
      </c>
      <c r="AL39" s="1578">
        <f>SUM(AK39*0.22)</f>
        <v>471.9</v>
      </c>
      <c r="AM39" s="1578">
        <v>12718</v>
      </c>
      <c r="AN39" s="1578">
        <f>SUM(AM39*0.22)</f>
        <v>2797.96</v>
      </c>
      <c r="AO39" s="1578">
        <v>26</v>
      </c>
      <c r="AP39" s="1578">
        <f>SUM(AO39*0.22)</f>
        <v>5.72</v>
      </c>
      <c r="AQ39" s="1578">
        <v>37</v>
      </c>
      <c r="AR39" s="1578">
        <f>SUM(AQ39*0.22)</f>
        <v>8.14</v>
      </c>
      <c r="AS39" s="1578" t="s">
        <v>960</v>
      </c>
      <c r="AT39" s="1578" t="s">
        <v>960</v>
      </c>
      <c r="AU39" s="1578" t="s">
        <v>960</v>
      </c>
      <c r="AV39" s="1578" t="s">
        <v>960</v>
      </c>
      <c r="AW39" s="1578">
        <v>53164</v>
      </c>
      <c r="AX39" s="1578">
        <f>SUM(AW39*0.22)</f>
        <v>11696.08</v>
      </c>
      <c r="AY39" s="1578">
        <v>16982</v>
      </c>
      <c r="AZ39" s="1578">
        <f>SUM(AY39*0.22)</f>
        <v>3736.04</v>
      </c>
      <c r="BA39" s="1578">
        <v>60013</v>
      </c>
      <c r="BB39" s="1578">
        <f>SUM(BA39*0.22)</f>
        <v>13202.86</v>
      </c>
      <c r="BC39" s="1578">
        <v>575010</v>
      </c>
      <c r="BD39" s="1578">
        <f>SUM(BC39*0.22)</f>
        <v>126502.2</v>
      </c>
      <c r="BE39" s="1413"/>
      <c r="BF39" s="1718">
        <f>SUM(U39:U42)</f>
        <v>37866667</v>
      </c>
      <c r="BG39" s="1718">
        <f>SUM(V39:V42)</f>
        <v>33200000</v>
      </c>
      <c r="BH39" s="1694">
        <f>SUM(BG39/P39)</f>
        <v>0.22133333333333333</v>
      </c>
      <c r="BI39" s="1449" t="s">
        <v>1286</v>
      </c>
      <c r="BJ39" s="1449" t="s">
        <v>1287</v>
      </c>
      <c r="BK39" s="1315">
        <v>43832</v>
      </c>
      <c r="BL39" s="1315">
        <v>43832</v>
      </c>
      <c r="BM39" s="1306">
        <v>44195</v>
      </c>
      <c r="BN39" s="1306">
        <v>44195</v>
      </c>
      <c r="BO39" s="1299" t="s">
        <v>1206</v>
      </c>
    </row>
    <row r="40" spans="1:67" s="4" customFormat="1" ht="38.25" customHeight="1" x14ac:dyDescent="0.2">
      <c r="A40" s="283"/>
      <c r="B40" s="91"/>
      <c r="C40" s="91"/>
      <c r="D40" s="90"/>
      <c r="E40" s="91"/>
      <c r="F40" s="89"/>
      <c r="G40" s="1059">
        <v>1903019</v>
      </c>
      <c r="H40" s="1054" t="s">
        <v>1288</v>
      </c>
      <c r="I40" s="33" t="s">
        <v>1289</v>
      </c>
      <c r="J40" s="1055">
        <v>75</v>
      </c>
      <c r="K40" s="1043">
        <v>0</v>
      </c>
      <c r="L40" s="1487"/>
      <c r="M40" s="1697"/>
      <c r="N40" s="1497"/>
      <c r="O40" s="742">
        <f t="shared" ref="O40:O42" si="2">+T40/$P$39</f>
        <v>0.6</v>
      </c>
      <c r="P40" s="1697"/>
      <c r="Q40" s="1693"/>
      <c r="R40" s="1723"/>
      <c r="S40" s="1054" t="s">
        <v>1288</v>
      </c>
      <c r="T40" s="1172">
        <v>90000000</v>
      </c>
      <c r="U40" s="1172">
        <v>37866667</v>
      </c>
      <c r="V40" s="1172">
        <v>33200000</v>
      </c>
      <c r="W40" s="1720"/>
      <c r="X40" s="1713"/>
      <c r="Y40" s="1579"/>
      <c r="Z40" s="1579"/>
      <c r="AA40" s="1579"/>
      <c r="AB40" s="1579"/>
      <c r="AC40" s="1579"/>
      <c r="AD40" s="1579"/>
      <c r="AE40" s="1579"/>
      <c r="AF40" s="1579"/>
      <c r="AG40" s="1579"/>
      <c r="AH40" s="1579"/>
      <c r="AI40" s="1579"/>
      <c r="AJ40" s="1579"/>
      <c r="AK40" s="1579"/>
      <c r="AL40" s="1579"/>
      <c r="AM40" s="1579"/>
      <c r="AN40" s="1579"/>
      <c r="AO40" s="1579"/>
      <c r="AP40" s="1579"/>
      <c r="AQ40" s="1579"/>
      <c r="AR40" s="1579"/>
      <c r="AS40" s="1579"/>
      <c r="AT40" s="1579"/>
      <c r="AU40" s="1579"/>
      <c r="AV40" s="1579"/>
      <c r="AW40" s="1579"/>
      <c r="AX40" s="1579"/>
      <c r="AY40" s="1579"/>
      <c r="AZ40" s="1579"/>
      <c r="BA40" s="1579"/>
      <c r="BB40" s="1579"/>
      <c r="BC40" s="1579"/>
      <c r="BD40" s="1579"/>
      <c r="BE40" s="1414"/>
      <c r="BF40" s="1450"/>
      <c r="BG40" s="1450"/>
      <c r="BH40" s="1695"/>
      <c r="BI40" s="1450"/>
      <c r="BJ40" s="1450"/>
      <c r="BK40" s="1316"/>
      <c r="BL40" s="1316"/>
      <c r="BM40" s="1307"/>
      <c r="BN40" s="1307"/>
      <c r="BO40" s="1300"/>
    </row>
    <row r="41" spans="1:67" s="4" customFormat="1" ht="38.25" customHeight="1" x14ac:dyDescent="0.2">
      <c r="A41" s="283"/>
      <c r="B41" s="91"/>
      <c r="C41" s="91"/>
      <c r="D41" s="90"/>
      <c r="E41" s="91"/>
      <c r="F41" s="89"/>
      <c r="G41" s="1059">
        <v>1903028</v>
      </c>
      <c r="H41" s="1054" t="s">
        <v>1290</v>
      </c>
      <c r="I41" s="1054" t="s">
        <v>1291</v>
      </c>
      <c r="J41" s="1055">
        <v>250</v>
      </c>
      <c r="K41" s="1043">
        <v>125</v>
      </c>
      <c r="L41" s="1487"/>
      <c r="M41" s="1697"/>
      <c r="N41" s="1497"/>
      <c r="O41" s="742">
        <f t="shared" si="2"/>
        <v>0.13333333333333333</v>
      </c>
      <c r="P41" s="1697"/>
      <c r="Q41" s="1693"/>
      <c r="R41" s="1723"/>
      <c r="S41" s="1054" t="s">
        <v>1290</v>
      </c>
      <c r="T41" s="1172">
        <v>20000000</v>
      </c>
      <c r="U41" s="1172"/>
      <c r="V41" s="1172"/>
      <c r="W41" s="1720"/>
      <c r="X41" s="1713"/>
      <c r="Y41" s="1579"/>
      <c r="Z41" s="1579"/>
      <c r="AA41" s="1579"/>
      <c r="AB41" s="1579"/>
      <c r="AC41" s="1579"/>
      <c r="AD41" s="1579"/>
      <c r="AE41" s="1579"/>
      <c r="AF41" s="1579"/>
      <c r="AG41" s="1579"/>
      <c r="AH41" s="1579"/>
      <c r="AI41" s="1579"/>
      <c r="AJ41" s="1579"/>
      <c r="AK41" s="1579"/>
      <c r="AL41" s="1579"/>
      <c r="AM41" s="1579"/>
      <c r="AN41" s="1579"/>
      <c r="AO41" s="1579"/>
      <c r="AP41" s="1579"/>
      <c r="AQ41" s="1579"/>
      <c r="AR41" s="1579"/>
      <c r="AS41" s="1579"/>
      <c r="AT41" s="1579"/>
      <c r="AU41" s="1579"/>
      <c r="AV41" s="1579"/>
      <c r="AW41" s="1579"/>
      <c r="AX41" s="1579"/>
      <c r="AY41" s="1579"/>
      <c r="AZ41" s="1579"/>
      <c r="BA41" s="1579"/>
      <c r="BB41" s="1579"/>
      <c r="BC41" s="1579"/>
      <c r="BD41" s="1579"/>
      <c r="BE41" s="1414"/>
      <c r="BF41" s="1450"/>
      <c r="BG41" s="1450"/>
      <c r="BH41" s="1695"/>
      <c r="BI41" s="1450"/>
      <c r="BJ41" s="1450"/>
      <c r="BK41" s="1316"/>
      <c r="BL41" s="1316"/>
      <c r="BM41" s="1307"/>
      <c r="BN41" s="1307"/>
      <c r="BO41" s="1300"/>
    </row>
    <row r="42" spans="1:67" s="4" customFormat="1" ht="38.25" customHeight="1" x14ac:dyDescent="0.2">
      <c r="A42" s="283"/>
      <c r="B42" s="91"/>
      <c r="C42" s="91"/>
      <c r="D42" s="102"/>
      <c r="E42" s="103"/>
      <c r="F42" s="104"/>
      <c r="G42" s="1059">
        <v>1903025</v>
      </c>
      <c r="H42" s="1054" t="s">
        <v>1292</v>
      </c>
      <c r="I42" s="1054" t="s">
        <v>1293</v>
      </c>
      <c r="J42" s="1055">
        <v>12</v>
      </c>
      <c r="K42" s="1043">
        <v>8</v>
      </c>
      <c r="L42" s="1626"/>
      <c r="M42" s="1697"/>
      <c r="N42" s="1497"/>
      <c r="O42" s="742">
        <f t="shared" si="2"/>
        <v>0.13333333333333333</v>
      </c>
      <c r="P42" s="1697"/>
      <c r="Q42" s="1693"/>
      <c r="R42" s="1724"/>
      <c r="S42" s="1054" t="s">
        <v>1292</v>
      </c>
      <c r="T42" s="1172">
        <v>20000000</v>
      </c>
      <c r="U42" s="1172"/>
      <c r="V42" s="1172"/>
      <c r="W42" s="1721"/>
      <c r="X42" s="1690"/>
      <c r="Y42" s="1580"/>
      <c r="Z42" s="1580"/>
      <c r="AA42" s="1580"/>
      <c r="AB42" s="1580"/>
      <c r="AC42" s="1580"/>
      <c r="AD42" s="1580"/>
      <c r="AE42" s="1580"/>
      <c r="AF42" s="1580"/>
      <c r="AG42" s="1580"/>
      <c r="AH42" s="1580"/>
      <c r="AI42" s="1580"/>
      <c r="AJ42" s="1580"/>
      <c r="AK42" s="1580"/>
      <c r="AL42" s="1580"/>
      <c r="AM42" s="1580"/>
      <c r="AN42" s="1580"/>
      <c r="AO42" s="1580"/>
      <c r="AP42" s="1580"/>
      <c r="AQ42" s="1580"/>
      <c r="AR42" s="1580"/>
      <c r="AS42" s="1580"/>
      <c r="AT42" s="1580"/>
      <c r="AU42" s="1580"/>
      <c r="AV42" s="1580"/>
      <c r="AW42" s="1580"/>
      <c r="AX42" s="1580"/>
      <c r="AY42" s="1580"/>
      <c r="AZ42" s="1580"/>
      <c r="BA42" s="1580"/>
      <c r="BB42" s="1580"/>
      <c r="BC42" s="1580"/>
      <c r="BD42" s="1580"/>
      <c r="BE42" s="1432"/>
      <c r="BF42" s="1451"/>
      <c r="BG42" s="1451"/>
      <c r="BH42" s="1696"/>
      <c r="BI42" s="1451"/>
      <c r="BJ42" s="1451"/>
      <c r="BK42" s="1317"/>
      <c r="BL42" s="1317"/>
      <c r="BM42" s="1308"/>
      <c r="BN42" s="1308"/>
      <c r="BO42" s="1301"/>
    </row>
    <row r="43" spans="1:67" s="4" customFormat="1" ht="21.75" customHeight="1" x14ac:dyDescent="0.2">
      <c r="A43" s="902"/>
      <c r="B43" s="698"/>
      <c r="C43" s="903"/>
      <c r="D43" s="904">
        <v>12</v>
      </c>
      <c r="E43" s="905" t="s">
        <v>1294</v>
      </c>
      <c r="F43" s="906"/>
      <c r="G43" s="401"/>
      <c r="H43" s="259"/>
      <c r="I43" s="259"/>
      <c r="J43" s="259"/>
      <c r="K43" s="281"/>
      <c r="L43" s="281"/>
      <c r="M43" s="401"/>
      <c r="N43" s="882"/>
      <c r="O43" s="1173"/>
      <c r="P43" s="1154"/>
      <c r="Q43" s="1061"/>
      <c r="R43" s="882"/>
      <c r="S43" s="259"/>
      <c r="T43" s="259"/>
      <c r="U43" s="259"/>
      <c r="V43" s="259"/>
      <c r="W43" s="1155"/>
      <c r="X43" s="908"/>
      <c r="Y43" s="1154"/>
      <c r="Z43" s="1154"/>
      <c r="AA43" s="1154"/>
      <c r="AB43" s="1154"/>
      <c r="AC43" s="1154"/>
      <c r="AD43" s="1154"/>
      <c r="AE43" s="1154"/>
      <c r="AF43" s="1154"/>
      <c r="AG43" s="1154"/>
      <c r="AH43" s="1154"/>
      <c r="AI43" s="1154"/>
      <c r="AJ43" s="1154"/>
      <c r="AK43" s="1154"/>
      <c r="AL43" s="1154"/>
      <c r="AM43" s="1154"/>
      <c r="AN43" s="1154"/>
      <c r="AO43" s="1154"/>
      <c r="AP43" s="1154"/>
      <c r="AQ43" s="1154"/>
      <c r="AR43" s="1154"/>
      <c r="AS43" s="1154"/>
      <c r="AT43" s="1154"/>
      <c r="AU43" s="1154"/>
      <c r="AV43" s="1154"/>
      <c r="AW43" s="1154"/>
      <c r="AX43" s="1154"/>
      <c r="AY43" s="1154"/>
      <c r="AZ43" s="1154"/>
      <c r="BA43" s="1154"/>
      <c r="BB43" s="1154"/>
      <c r="BC43" s="1154"/>
      <c r="BD43" s="1154"/>
      <c r="BE43" s="1154"/>
      <c r="BF43" s="1154"/>
      <c r="BG43" s="1154"/>
      <c r="BH43" s="1154"/>
      <c r="BI43" s="1061"/>
      <c r="BJ43" s="1154"/>
      <c r="BK43" s="1154"/>
      <c r="BL43" s="1154"/>
      <c r="BM43" s="1154"/>
      <c r="BN43" s="1154"/>
      <c r="BO43" s="525"/>
    </row>
    <row r="44" spans="1:67" s="4" customFormat="1" ht="110.25" customHeight="1" x14ac:dyDescent="0.2">
      <c r="A44" s="283"/>
      <c r="B44" s="91"/>
      <c r="C44" s="91"/>
      <c r="D44" s="885"/>
      <c r="E44" s="330"/>
      <c r="F44" s="331"/>
      <c r="G44" s="1059">
        <v>1905028</v>
      </c>
      <c r="H44" s="1046" t="s">
        <v>1295</v>
      </c>
      <c r="I44" s="1054" t="s">
        <v>1296</v>
      </c>
      <c r="J44" s="1045">
        <v>12</v>
      </c>
      <c r="K44" s="1043">
        <v>2</v>
      </c>
      <c r="L44" s="1486" t="s">
        <v>1297</v>
      </c>
      <c r="M44" s="1697" t="s">
        <v>1199</v>
      </c>
      <c r="N44" s="1693" t="s">
        <v>1298</v>
      </c>
      <c r="O44" s="1057">
        <f>+T45/($T$12+$T$44+$T$45)</f>
        <v>0.30769230769230771</v>
      </c>
      <c r="P44" s="1702">
        <f>+T44+T45</f>
        <v>80000000</v>
      </c>
      <c r="Q44" s="1693" t="s">
        <v>1299</v>
      </c>
      <c r="R44" s="1293" t="s">
        <v>1300</v>
      </c>
      <c r="S44" s="1046" t="s">
        <v>1295</v>
      </c>
      <c r="T44" s="1158">
        <v>40000000</v>
      </c>
      <c r="U44" s="1174"/>
      <c r="V44" s="1174"/>
      <c r="W44" s="1710">
        <v>61</v>
      </c>
      <c r="X44" s="1716" t="s">
        <v>1203</v>
      </c>
      <c r="Y44" s="1449" t="s">
        <v>960</v>
      </c>
      <c r="Z44" s="1449" t="s">
        <v>960</v>
      </c>
      <c r="AA44" s="1449" t="s">
        <v>960</v>
      </c>
      <c r="AB44" s="1449" t="s">
        <v>960</v>
      </c>
      <c r="AC44" s="1449">
        <v>64149</v>
      </c>
      <c r="AD44" s="1578">
        <f>SUM(AC44*0.15)</f>
        <v>9622.35</v>
      </c>
      <c r="AE44" s="1449" t="s">
        <v>960</v>
      </c>
      <c r="AF44" s="1449" t="s">
        <v>960</v>
      </c>
      <c r="AG44" s="1449" t="s">
        <v>960</v>
      </c>
      <c r="AH44" s="1449" t="s">
        <v>960</v>
      </c>
      <c r="AI44" s="1449" t="s">
        <v>960</v>
      </c>
      <c r="AJ44" s="1449" t="s">
        <v>960</v>
      </c>
      <c r="AK44" s="1449" t="s">
        <v>960</v>
      </c>
      <c r="AL44" s="1449" t="s">
        <v>960</v>
      </c>
      <c r="AM44" s="1449" t="s">
        <v>960</v>
      </c>
      <c r="AN44" s="1449" t="s">
        <v>960</v>
      </c>
      <c r="AO44" s="1449" t="s">
        <v>960</v>
      </c>
      <c r="AP44" s="1449" t="s">
        <v>960</v>
      </c>
      <c r="AQ44" s="1449" t="s">
        <v>960</v>
      </c>
      <c r="AR44" s="1449" t="s">
        <v>960</v>
      </c>
      <c r="AS44" s="1449" t="s">
        <v>960</v>
      </c>
      <c r="AT44" s="1449" t="s">
        <v>960</v>
      </c>
      <c r="AU44" s="1449" t="s">
        <v>960</v>
      </c>
      <c r="AV44" s="1449" t="s">
        <v>960</v>
      </c>
      <c r="AW44" s="1449" t="s">
        <v>960</v>
      </c>
      <c r="AX44" s="1449" t="s">
        <v>960</v>
      </c>
      <c r="AY44" s="1449" t="s">
        <v>960</v>
      </c>
      <c r="AZ44" s="1449" t="s">
        <v>960</v>
      </c>
      <c r="BA44" s="1449" t="s">
        <v>960</v>
      </c>
      <c r="BB44" s="1449" t="s">
        <v>960</v>
      </c>
      <c r="BC44" s="1449" t="s">
        <v>960</v>
      </c>
      <c r="BD44" s="1449" t="s">
        <v>960</v>
      </c>
      <c r="BE44" s="1413"/>
      <c r="BF44" s="1599">
        <f>SUM(U44:U45)</f>
        <v>11866667</v>
      </c>
      <c r="BG44" s="1599">
        <f>SUM(V44:V45)</f>
        <v>11866667</v>
      </c>
      <c r="BH44" s="1694">
        <f>SUM(BF44/P44)</f>
        <v>0.1483333375</v>
      </c>
      <c r="BI44" s="1449" t="s">
        <v>1204</v>
      </c>
      <c r="BJ44" s="1449" t="s">
        <v>1205</v>
      </c>
      <c r="BK44" s="1315">
        <v>43832</v>
      </c>
      <c r="BL44" s="1315">
        <v>43832</v>
      </c>
      <c r="BM44" s="1306">
        <v>44195</v>
      </c>
      <c r="BN44" s="1306">
        <v>44195</v>
      </c>
      <c r="BO44" s="1299" t="s">
        <v>1206</v>
      </c>
    </row>
    <row r="45" spans="1:67" s="4" customFormat="1" ht="82.5" customHeight="1" x14ac:dyDescent="0.2">
      <c r="A45" s="283"/>
      <c r="B45" s="91"/>
      <c r="C45" s="91"/>
      <c r="D45" s="90"/>
      <c r="E45" s="91"/>
      <c r="F45" s="89"/>
      <c r="G45" s="1059">
        <v>1905031</v>
      </c>
      <c r="H45" s="1046" t="s">
        <v>1301</v>
      </c>
      <c r="I45" s="1054" t="s">
        <v>1302</v>
      </c>
      <c r="J45" s="1045">
        <v>12</v>
      </c>
      <c r="K45" s="1043">
        <v>2</v>
      </c>
      <c r="L45" s="1626"/>
      <c r="M45" s="1697"/>
      <c r="N45" s="1693"/>
      <c r="O45" s="1057">
        <f>+T45/($T$12+$T$44+$T$45)</f>
        <v>0.30769230769230771</v>
      </c>
      <c r="P45" s="1693"/>
      <c r="Q45" s="1693"/>
      <c r="R45" s="1295"/>
      <c r="S45" s="1046" t="s">
        <v>1301</v>
      </c>
      <c r="T45" s="1158">
        <v>40000000</v>
      </c>
      <c r="U45" s="1158">
        <v>11866667</v>
      </c>
      <c r="V45" s="1158">
        <v>11866667</v>
      </c>
      <c r="W45" s="1712"/>
      <c r="X45" s="1717"/>
      <c r="Y45" s="1451"/>
      <c r="Z45" s="1451"/>
      <c r="AA45" s="1451"/>
      <c r="AB45" s="1451"/>
      <c r="AC45" s="1451"/>
      <c r="AD45" s="1580"/>
      <c r="AE45" s="1451"/>
      <c r="AF45" s="1451"/>
      <c r="AG45" s="1451"/>
      <c r="AH45" s="1451"/>
      <c r="AI45" s="1451"/>
      <c r="AJ45" s="1451"/>
      <c r="AK45" s="1451"/>
      <c r="AL45" s="1451"/>
      <c r="AM45" s="1451"/>
      <c r="AN45" s="1451"/>
      <c r="AO45" s="1451"/>
      <c r="AP45" s="1451"/>
      <c r="AQ45" s="1451"/>
      <c r="AR45" s="1451"/>
      <c r="AS45" s="1451"/>
      <c r="AT45" s="1451"/>
      <c r="AU45" s="1451"/>
      <c r="AV45" s="1451"/>
      <c r="AW45" s="1451"/>
      <c r="AX45" s="1451"/>
      <c r="AY45" s="1451"/>
      <c r="AZ45" s="1451"/>
      <c r="BA45" s="1451"/>
      <c r="BB45" s="1451"/>
      <c r="BC45" s="1451"/>
      <c r="BD45" s="1451"/>
      <c r="BE45" s="1432"/>
      <c r="BF45" s="1451"/>
      <c r="BG45" s="1451"/>
      <c r="BH45" s="1696"/>
      <c r="BI45" s="1451"/>
      <c r="BJ45" s="1451"/>
      <c r="BK45" s="1317"/>
      <c r="BL45" s="1317"/>
      <c r="BM45" s="1308"/>
      <c r="BN45" s="1308"/>
      <c r="BO45" s="1300"/>
    </row>
    <row r="46" spans="1:67" s="4" customFormat="1" ht="61.5" customHeight="1" x14ac:dyDescent="0.2">
      <c r="A46" s="283"/>
      <c r="B46" s="91"/>
      <c r="C46" s="91"/>
      <c r="D46" s="90"/>
      <c r="E46" s="91"/>
      <c r="F46" s="89"/>
      <c r="G46" s="1059">
        <v>1905019</v>
      </c>
      <c r="H46" s="1046" t="s">
        <v>1303</v>
      </c>
      <c r="I46" s="1054" t="s">
        <v>358</v>
      </c>
      <c r="J46" s="1045">
        <v>60</v>
      </c>
      <c r="K46" s="1043">
        <v>25</v>
      </c>
      <c r="L46" s="1486" t="s">
        <v>1304</v>
      </c>
      <c r="M46" s="1697" t="s">
        <v>1305</v>
      </c>
      <c r="N46" s="1693" t="s">
        <v>1306</v>
      </c>
      <c r="O46" s="742">
        <f>+T46/$P$46</f>
        <v>9.5238095238095233E-2</v>
      </c>
      <c r="P46" s="1702">
        <f>+T46+T47+T48+T49+T50+T51+T52</f>
        <v>210000000</v>
      </c>
      <c r="Q46" s="1693" t="s">
        <v>1307</v>
      </c>
      <c r="R46" s="1293" t="s">
        <v>1308</v>
      </c>
      <c r="S46" s="1046" t="s">
        <v>1303</v>
      </c>
      <c r="T46" s="1175">
        <v>20000000</v>
      </c>
      <c r="U46" s="1175"/>
      <c r="V46" s="1175"/>
      <c r="W46" s="1710" t="s">
        <v>1309</v>
      </c>
      <c r="X46" s="1689" t="s">
        <v>1310</v>
      </c>
      <c r="Y46" s="1578">
        <v>292684</v>
      </c>
      <c r="Z46" s="1578">
        <f>SUM(Y46*0.05)</f>
        <v>14634.2</v>
      </c>
      <c r="AA46" s="1578">
        <v>282326</v>
      </c>
      <c r="AB46" s="1578">
        <f>SUM(AA46*0.05)</f>
        <v>14116.300000000001</v>
      </c>
      <c r="AC46" s="1578">
        <v>135912</v>
      </c>
      <c r="AD46" s="1578">
        <f>SUM(AC46*0.05)</f>
        <v>6795.6</v>
      </c>
      <c r="AE46" s="1578">
        <v>45122</v>
      </c>
      <c r="AF46" s="1578">
        <f>SUM(AE46*0.05)</f>
        <v>2256.1</v>
      </c>
      <c r="AG46" s="1578">
        <v>307101</v>
      </c>
      <c r="AH46" s="1578">
        <f>SUM(AG46*0.05)</f>
        <v>15355.050000000001</v>
      </c>
      <c r="AI46" s="1578">
        <v>86875</v>
      </c>
      <c r="AJ46" s="1578">
        <f>SUM(AI46*0.05)</f>
        <v>4343.75</v>
      </c>
      <c r="AK46" s="1578">
        <v>2145</v>
      </c>
      <c r="AL46" s="1578">
        <f>SUM(AK46*0.05)</f>
        <v>107.25</v>
      </c>
      <c r="AM46" s="1578">
        <v>12718</v>
      </c>
      <c r="AN46" s="1578">
        <f>SUM(AM46*0.05)</f>
        <v>635.90000000000009</v>
      </c>
      <c r="AO46" s="1578">
        <v>26</v>
      </c>
      <c r="AP46" s="1578">
        <f>SUM(AO46*0.05)</f>
        <v>1.3</v>
      </c>
      <c r="AQ46" s="1578">
        <v>37</v>
      </c>
      <c r="AR46" s="1578">
        <f>SUM(AQ46*0.05)</f>
        <v>1.85</v>
      </c>
      <c r="AS46" s="1578">
        <v>16897</v>
      </c>
      <c r="AT46" s="1578">
        <f>SUM(AS46*0.05)</f>
        <v>844.85</v>
      </c>
      <c r="AU46" s="1578" t="s">
        <v>960</v>
      </c>
      <c r="AV46" s="1578" t="s">
        <v>960</v>
      </c>
      <c r="AW46" s="1578">
        <v>53164</v>
      </c>
      <c r="AX46" s="1578">
        <f>SUM(AW46*0.05)</f>
        <v>2658.2000000000003</v>
      </c>
      <c r="AY46" s="1578">
        <v>16982</v>
      </c>
      <c r="AZ46" s="1578">
        <f>SUM(AY46*0.05)</f>
        <v>849.1</v>
      </c>
      <c r="BA46" s="1578">
        <v>60013</v>
      </c>
      <c r="BB46" s="1578">
        <f>SUM(BA46*0.05)</f>
        <v>3000.65</v>
      </c>
      <c r="BC46" s="1578">
        <v>575010</v>
      </c>
      <c r="BD46" s="1578">
        <f>SUM(BC46*0.05)</f>
        <v>28750.5</v>
      </c>
      <c r="BE46" s="1413"/>
      <c r="BF46" s="1599">
        <f>SUM(U46:U52)</f>
        <v>11200000</v>
      </c>
      <c r="BG46" s="1599">
        <f>SUM(V46:V52)</f>
        <v>8400000</v>
      </c>
      <c r="BH46" s="1694">
        <f>SUM(BF46/P46)</f>
        <v>5.3333333333333337E-2</v>
      </c>
      <c r="BI46" s="1449" t="s">
        <v>1204</v>
      </c>
      <c r="BJ46" s="1449" t="s">
        <v>1205</v>
      </c>
      <c r="BK46" s="1315">
        <v>43832</v>
      </c>
      <c r="BL46" s="1315">
        <v>43832</v>
      </c>
      <c r="BM46" s="1315">
        <v>44195</v>
      </c>
      <c r="BN46" s="1315">
        <v>44195</v>
      </c>
      <c r="BO46" s="1693" t="s">
        <v>1206</v>
      </c>
    </row>
    <row r="47" spans="1:67" s="4" customFormat="1" ht="131.25" customHeight="1" x14ac:dyDescent="0.2">
      <c r="A47" s="283"/>
      <c r="B47" s="91"/>
      <c r="C47" s="91"/>
      <c r="D47" s="90"/>
      <c r="E47" s="91"/>
      <c r="F47" s="89"/>
      <c r="G47" s="1059" t="s">
        <v>62</v>
      </c>
      <c r="H47" s="1046" t="s">
        <v>1311</v>
      </c>
      <c r="I47" s="1054" t="s">
        <v>1312</v>
      </c>
      <c r="J47" s="1045">
        <v>11</v>
      </c>
      <c r="K47" s="1043">
        <v>0</v>
      </c>
      <c r="L47" s="1487"/>
      <c r="M47" s="1697"/>
      <c r="N47" s="1693"/>
      <c r="O47" s="742">
        <f t="shared" ref="O47:O52" si="3">+T47/$P$46</f>
        <v>9.5238095238095233E-2</v>
      </c>
      <c r="P47" s="1693"/>
      <c r="Q47" s="1693"/>
      <c r="R47" s="1294"/>
      <c r="S47" s="1046" t="s">
        <v>1311</v>
      </c>
      <c r="T47" s="1175">
        <v>20000000</v>
      </c>
      <c r="U47" s="1175"/>
      <c r="V47" s="1175"/>
      <c r="W47" s="1711"/>
      <c r="X47" s="1713"/>
      <c r="Y47" s="1579"/>
      <c r="Z47" s="1579"/>
      <c r="AA47" s="1579"/>
      <c r="AB47" s="1579"/>
      <c r="AC47" s="1579"/>
      <c r="AD47" s="1579"/>
      <c r="AE47" s="1579"/>
      <c r="AF47" s="1579"/>
      <c r="AG47" s="1579"/>
      <c r="AH47" s="1579"/>
      <c r="AI47" s="1579"/>
      <c r="AJ47" s="1579"/>
      <c r="AK47" s="1579"/>
      <c r="AL47" s="1579"/>
      <c r="AM47" s="1579"/>
      <c r="AN47" s="1579"/>
      <c r="AO47" s="1579"/>
      <c r="AP47" s="1579"/>
      <c r="AQ47" s="1579"/>
      <c r="AR47" s="1579"/>
      <c r="AS47" s="1579"/>
      <c r="AT47" s="1579"/>
      <c r="AU47" s="1579"/>
      <c r="AV47" s="1579"/>
      <c r="AW47" s="1579"/>
      <c r="AX47" s="1579"/>
      <c r="AY47" s="1579"/>
      <c r="AZ47" s="1579"/>
      <c r="BA47" s="1579"/>
      <c r="BB47" s="1579"/>
      <c r="BC47" s="1579"/>
      <c r="BD47" s="1579"/>
      <c r="BE47" s="1414"/>
      <c r="BF47" s="1450"/>
      <c r="BG47" s="1450"/>
      <c r="BH47" s="1695"/>
      <c r="BI47" s="1450"/>
      <c r="BJ47" s="1450"/>
      <c r="BK47" s="1316"/>
      <c r="BL47" s="1316"/>
      <c r="BM47" s="1316"/>
      <c r="BN47" s="1316"/>
      <c r="BO47" s="1693"/>
    </row>
    <row r="48" spans="1:67" s="4" customFormat="1" ht="94.5" customHeight="1" x14ac:dyDescent="0.2">
      <c r="A48" s="283"/>
      <c r="B48" s="91"/>
      <c r="C48" s="91"/>
      <c r="D48" s="90"/>
      <c r="E48" s="91"/>
      <c r="F48" s="89"/>
      <c r="G48" s="1059" t="s">
        <v>62</v>
      </c>
      <c r="H48" s="1046" t="s">
        <v>1313</v>
      </c>
      <c r="I48" s="1054" t="s">
        <v>1314</v>
      </c>
      <c r="J48" s="1045">
        <v>1</v>
      </c>
      <c r="K48" s="1043">
        <v>0</v>
      </c>
      <c r="L48" s="1487"/>
      <c r="M48" s="1697"/>
      <c r="N48" s="1693"/>
      <c r="O48" s="742">
        <f t="shared" si="3"/>
        <v>9.5238095238095233E-2</v>
      </c>
      <c r="P48" s="1693"/>
      <c r="Q48" s="1693"/>
      <c r="R48" s="1294"/>
      <c r="S48" s="1046" t="s">
        <v>1313</v>
      </c>
      <c r="T48" s="1175">
        <v>20000000</v>
      </c>
      <c r="U48" s="1175"/>
      <c r="V48" s="1175"/>
      <c r="W48" s="1711"/>
      <c r="X48" s="1713"/>
      <c r="Y48" s="1579"/>
      <c r="Z48" s="1579"/>
      <c r="AA48" s="1579"/>
      <c r="AB48" s="1579"/>
      <c r="AC48" s="1579"/>
      <c r="AD48" s="1579"/>
      <c r="AE48" s="1579"/>
      <c r="AF48" s="1579"/>
      <c r="AG48" s="1579"/>
      <c r="AH48" s="1579"/>
      <c r="AI48" s="1579"/>
      <c r="AJ48" s="1579"/>
      <c r="AK48" s="1579"/>
      <c r="AL48" s="1579"/>
      <c r="AM48" s="1579"/>
      <c r="AN48" s="1579"/>
      <c r="AO48" s="1579"/>
      <c r="AP48" s="1579"/>
      <c r="AQ48" s="1579"/>
      <c r="AR48" s="1579"/>
      <c r="AS48" s="1579"/>
      <c r="AT48" s="1579"/>
      <c r="AU48" s="1579"/>
      <c r="AV48" s="1579"/>
      <c r="AW48" s="1579"/>
      <c r="AX48" s="1579"/>
      <c r="AY48" s="1579"/>
      <c r="AZ48" s="1579"/>
      <c r="BA48" s="1579"/>
      <c r="BB48" s="1579"/>
      <c r="BC48" s="1579"/>
      <c r="BD48" s="1579"/>
      <c r="BE48" s="1414"/>
      <c r="BF48" s="1450"/>
      <c r="BG48" s="1450"/>
      <c r="BH48" s="1695"/>
      <c r="BI48" s="1450"/>
      <c r="BJ48" s="1450"/>
      <c r="BK48" s="1316"/>
      <c r="BL48" s="1316"/>
      <c r="BM48" s="1316"/>
      <c r="BN48" s="1316"/>
      <c r="BO48" s="1693"/>
    </row>
    <row r="49" spans="1:67" s="4" customFormat="1" ht="127.5" customHeight="1" x14ac:dyDescent="0.2">
      <c r="A49" s="283"/>
      <c r="B49" s="91"/>
      <c r="C49" s="91"/>
      <c r="D49" s="90"/>
      <c r="E49" s="91"/>
      <c r="F49" s="89"/>
      <c r="G49" s="1059" t="s">
        <v>62</v>
      </c>
      <c r="H49" s="1046" t="s">
        <v>1315</v>
      </c>
      <c r="I49" s="1054" t="s">
        <v>1316</v>
      </c>
      <c r="J49" s="1045">
        <v>1</v>
      </c>
      <c r="K49" s="1043">
        <v>0</v>
      </c>
      <c r="L49" s="1487"/>
      <c r="M49" s="1697"/>
      <c r="N49" s="1693"/>
      <c r="O49" s="742">
        <f t="shared" si="3"/>
        <v>0.33333333333333331</v>
      </c>
      <c r="P49" s="1693"/>
      <c r="Q49" s="1693"/>
      <c r="R49" s="1294"/>
      <c r="S49" s="1046" t="s">
        <v>1315</v>
      </c>
      <c r="T49" s="1175">
        <v>70000000</v>
      </c>
      <c r="U49" s="1175"/>
      <c r="V49" s="1175"/>
      <c r="W49" s="1711"/>
      <c r="X49" s="1713"/>
      <c r="Y49" s="1579"/>
      <c r="Z49" s="1579"/>
      <c r="AA49" s="1579"/>
      <c r="AB49" s="1579"/>
      <c r="AC49" s="1579"/>
      <c r="AD49" s="1579"/>
      <c r="AE49" s="1579"/>
      <c r="AF49" s="1579"/>
      <c r="AG49" s="1579"/>
      <c r="AH49" s="1579"/>
      <c r="AI49" s="1579"/>
      <c r="AJ49" s="1579"/>
      <c r="AK49" s="1579"/>
      <c r="AL49" s="1579"/>
      <c r="AM49" s="1579"/>
      <c r="AN49" s="1579"/>
      <c r="AO49" s="1579"/>
      <c r="AP49" s="1579"/>
      <c r="AQ49" s="1579"/>
      <c r="AR49" s="1579"/>
      <c r="AS49" s="1579"/>
      <c r="AT49" s="1579"/>
      <c r="AU49" s="1579"/>
      <c r="AV49" s="1579"/>
      <c r="AW49" s="1579"/>
      <c r="AX49" s="1579"/>
      <c r="AY49" s="1579"/>
      <c r="AZ49" s="1579"/>
      <c r="BA49" s="1579"/>
      <c r="BB49" s="1579"/>
      <c r="BC49" s="1579"/>
      <c r="BD49" s="1579"/>
      <c r="BE49" s="1414"/>
      <c r="BF49" s="1450"/>
      <c r="BG49" s="1450"/>
      <c r="BH49" s="1695"/>
      <c r="BI49" s="1450"/>
      <c r="BJ49" s="1450"/>
      <c r="BK49" s="1316"/>
      <c r="BL49" s="1316"/>
      <c r="BM49" s="1316">
        <v>44195</v>
      </c>
      <c r="BN49" s="1316">
        <v>44195</v>
      </c>
      <c r="BO49" s="1693"/>
    </row>
    <row r="50" spans="1:67" s="4" customFormat="1" ht="97.5" customHeight="1" x14ac:dyDescent="0.2">
      <c r="A50" s="283"/>
      <c r="B50" s="91"/>
      <c r="C50" s="91"/>
      <c r="D50" s="90"/>
      <c r="E50" s="91"/>
      <c r="F50" s="89"/>
      <c r="G50" s="1059" t="s">
        <v>62</v>
      </c>
      <c r="H50" s="1046" t="s">
        <v>1317</v>
      </c>
      <c r="I50" s="1054" t="s">
        <v>1318</v>
      </c>
      <c r="J50" s="1045">
        <v>2</v>
      </c>
      <c r="K50" s="1043">
        <v>0</v>
      </c>
      <c r="L50" s="1487"/>
      <c r="M50" s="1697"/>
      <c r="N50" s="1693"/>
      <c r="O50" s="742">
        <f t="shared" si="3"/>
        <v>9.5238095238095233E-2</v>
      </c>
      <c r="P50" s="1693"/>
      <c r="Q50" s="1693"/>
      <c r="R50" s="1294"/>
      <c r="S50" s="1046" t="s">
        <v>1317</v>
      </c>
      <c r="T50" s="1175">
        <v>20000000</v>
      </c>
      <c r="U50" s="1175">
        <v>11200000</v>
      </c>
      <c r="V50" s="1175">
        <v>8400000</v>
      </c>
      <c r="W50" s="1711"/>
      <c r="X50" s="1713"/>
      <c r="Y50" s="1579"/>
      <c r="Z50" s="1579"/>
      <c r="AA50" s="1579"/>
      <c r="AB50" s="1579"/>
      <c r="AC50" s="1579"/>
      <c r="AD50" s="1579"/>
      <c r="AE50" s="1579"/>
      <c r="AF50" s="1579"/>
      <c r="AG50" s="1579"/>
      <c r="AH50" s="1579"/>
      <c r="AI50" s="1579"/>
      <c r="AJ50" s="1579"/>
      <c r="AK50" s="1579"/>
      <c r="AL50" s="1579"/>
      <c r="AM50" s="1579"/>
      <c r="AN50" s="1579"/>
      <c r="AO50" s="1579"/>
      <c r="AP50" s="1579"/>
      <c r="AQ50" s="1579"/>
      <c r="AR50" s="1579"/>
      <c r="AS50" s="1579"/>
      <c r="AT50" s="1579"/>
      <c r="AU50" s="1579"/>
      <c r="AV50" s="1579"/>
      <c r="AW50" s="1579"/>
      <c r="AX50" s="1579"/>
      <c r="AY50" s="1579"/>
      <c r="AZ50" s="1579"/>
      <c r="BA50" s="1579"/>
      <c r="BB50" s="1579"/>
      <c r="BC50" s="1579"/>
      <c r="BD50" s="1579"/>
      <c r="BE50" s="1414"/>
      <c r="BF50" s="1450"/>
      <c r="BG50" s="1450"/>
      <c r="BH50" s="1695"/>
      <c r="BI50" s="1450"/>
      <c r="BJ50" s="1450"/>
      <c r="BK50" s="1316"/>
      <c r="BL50" s="1316"/>
      <c r="BM50" s="1316">
        <v>44195</v>
      </c>
      <c r="BN50" s="1316">
        <v>44195</v>
      </c>
      <c r="BO50" s="1693"/>
    </row>
    <row r="51" spans="1:67" s="4" customFormat="1" ht="117.75" customHeight="1" x14ac:dyDescent="0.2">
      <c r="A51" s="283"/>
      <c r="B51" s="91"/>
      <c r="C51" s="91"/>
      <c r="D51" s="90"/>
      <c r="E51" s="91"/>
      <c r="F51" s="89"/>
      <c r="G51" s="1059" t="s">
        <v>62</v>
      </c>
      <c r="H51" s="1046" t="s">
        <v>1319</v>
      </c>
      <c r="I51" s="1054" t="s">
        <v>1320</v>
      </c>
      <c r="J51" s="1045">
        <v>2</v>
      </c>
      <c r="K51" s="1043">
        <v>0</v>
      </c>
      <c r="L51" s="1487"/>
      <c r="M51" s="1697"/>
      <c r="N51" s="1693"/>
      <c r="O51" s="742">
        <f t="shared" si="3"/>
        <v>0.14285714285714285</v>
      </c>
      <c r="P51" s="1693"/>
      <c r="Q51" s="1693"/>
      <c r="R51" s="1294"/>
      <c r="S51" s="1046" t="s">
        <v>1319</v>
      </c>
      <c r="T51" s="1175">
        <v>30000000</v>
      </c>
      <c r="U51" s="1175"/>
      <c r="V51" s="1175"/>
      <c r="W51" s="1711"/>
      <c r="X51" s="1713"/>
      <c r="Y51" s="1579"/>
      <c r="Z51" s="1579"/>
      <c r="AA51" s="1579"/>
      <c r="AB51" s="1579"/>
      <c r="AC51" s="1579"/>
      <c r="AD51" s="1579"/>
      <c r="AE51" s="1579"/>
      <c r="AF51" s="1579"/>
      <c r="AG51" s="1579"/>
      <c r="AH51" s="1579"/>
      <c r="AI51" s="1579"/>
      <c r="AJ51" s="1579"/>
      <c r="AK51" s="1579"/>
      <c r="AL51" s="1579"/>
      <c r="AM51" s="1579"/>
      <c r="AN51" s="1579"/>
      <c r="AO51" s="1579"/>
      <c r="AP51" s="1579"/>
      <c r="AQ51" s="1579"/>
      <c r="AR51" s="1579"/>
      <c r="AS51" s="1579"/>
      <c r="AT51" s="1579"/>
      <c r="AU51" s="1579"/>
      <c r="AV51" s="1579"/>
      <c r="AW51" s="1579"/>
      <c r="AX51" s="1579"/>
      <c r="AY51" s="1579"/>
      <c r="AZ51" s="1579"/>
      <c r="BA51" s="1579"/>
      <c r="BB51" s="1579"/>
      <c r="BC51" s="1579"/>
      <c r="BD51" s="1579"/>
      <c r="BE51" s="1414"/>
      <c r="BF51" s="1450"/>
      <c r="BG51" s="1450"/>
      <c r="BH51" s="1695"/>
      <c r="BI51" s="1450"/>
      <c r="BJ51" s="1450"/>
      <c r="BK51" s="1316"/>
      <c r="BL51" s="1316"/>
      <c r="BM51" s="1316">
        <v>44195</v>
      </c>
      <c r="BN51" s="1316">
        <v>44195</v>
      </c>
      <c r="BO51" s="1693"/>
    </row>
    <row r="52" spans="1:67" s="4" customFormat="1" ht="75" customHeight="1" x14ac:dyDescent="0.2">
      <c r="A52" s="283"/>
      <c r="B52" s="91"/>
      <c r="C52" s="91"/>
      <c r="D52" s="90"/>
      <c r="E52" s="91"/>
      <c r="F52" s="89"/>
      <c r="G52" s="1059" t="s">
        <v>62</v>
      </c>
      <c r="H52" s="1046" t="s">
        <v>1321</v>
      </c>
      <c r="I52" s="1054" t="s">
        <v>1322</v>
      </c>
      <c r="J52" s="1045">
        <v>2</v>
      </c>
      <c r="K52" s="1043">
        <v>0</v>
      </c>
      <c r="L52" s="1626"/>
      <c r="M52" s="1697"/>
      <c r="N52" s="1693"/>
      <c r="O52" s="742">
        <f t="shared" si="3"/>
        <v>0.14285714285714285</v>
      </c>
      <c r="P52" s="1693"/>
      <c r="Q52" s="1693"/>
      <c r="R52" s="1295"/>
      <c r="S52" s="1046" t="s">
        <v>1321</v>
      </c>
      <c r="T52" s="1175">
        <v>30000000</v>
      </c>
      <c r="U52" s="1175"/>
      <c r="V52" s="1175"/>
      <c r="W52" s="1712"/>
      <c r="X52" s="1690"/>
      <c r="Y52" s="1580"/>
      <c r="Z52" s="1580"/>
      <c r="AA52" s="1580"/>
      <c r="AB52" s="1580"/>
      <c r="AC52" s="1580"/>
      <c r="AD52" s="1580"/>
      <c r="AE52" s="1580"/>
      <c r="AF52" s="1580"/>
      <c r="AG52" s="1580"/>
      <c r="AH52" s="1580"/>
      <c r="AI52" s="1580"/>
      <c r="AJ52" s="1580"/>
      <c r="AK52" s="1580"/>
      <c r="AL52" s="1580"/>
      <c r="AM52" s="1580"/>
      <c r="AN52" s="1580"/>
      <c r="AO52" s="1580"/>
      <c r="AP52" s="1580"/>
      <c r="AQ52" s="1580"/>
      <c r="AR52" s="1580"/>
      <c r="AS52" s="1580"/>
      <c r="AT52" s="1580"/>
      <c r="AU52" s="1580"/>
      <c r="AV52" s="1580"/>
      <c r="AW52" s="1580"/>
      <c r="AX52" s="1580"/>
      <c r="AY52" s="1580"/>
      <c r="AZ52" s="1580"/>
      <c r="BA52" s="1580"/>
      <c r="BB52" s="1580"/>
      <c r="BC52" s="1580"/>
      <c r="BD52" s="1580"/>
      <c r="BE52" s="1432"/>
      <c r="BF52" s="1451"/>
      <c r="BG52" s="1451"/>
      <c r="BH52" s="1696"/>
      <c r="BI52" s="1451"/>
      <c r="BJ52" s="1451"/>
      <c r="BK52" s="1317"/>
      <c r="BL52" s="1317"/>
      <c r="BM52" s="1317">
        <v>44195</v>
      </c>
      <c r="BN52" s="1317">
        <v>44195</v>
      </c>
      <c r="BO52" s="1693"/>
    </row>
    <row r="53" spans="1:67" s="4" customFormat="1" ht="90" customHeight="1" x14ac:dyDescent="0.2">
      <c r="A53" s="283"/>
      <c r="B53" s="91"/>
      <c r="C53" s="91"/>
      <c r="D53" s="90"/>
      <c r="E53" s="91"/>
      <c r="F53" s="89"/>
      <c r="G53" s="1059">
        <v>1905021</v>
      </c>
      <c r="H53" s="1046" t="s">
        <v>686</v>
      </c>
      <c r="I53" s="1054" t="s">
        <v>687</v>
      </c>
      <c r="J53" s="1045">
        <v>12</v>
      </c>
      <c r="K53" s="1043">
        <v>1</v>
      </c>
      <c r="L53" s="1486" t="s">
        <v>1323</v>
      </c>
      <c r="M53" s="1697" t="s">
        <v>1324</v>
      </c>
      <c r="N53" s="1693" t="s">
        <v>1325</v>
      </c>
      <c r="O53" s="742">
        <f>+T53/P53</f>
        <v>0.59459459459459463</v>
      </c>
      <c r="P53" s="1702">
        <f>+T53+T54</f>
        <v>148000000</v>
      </c>
      <c r="Q53" s="1693" t="s">
        <v>1326</v>
      </c>
      <c r="R53" s="1293" t="s">
        <v>1327</v>
      </c>
      <c r="S53" s="1046" t="s">
        <v>686</v>
      </c>
      <c r="T53" s="1175">
        <v>88000000</v>
      </c>
      <c r="U53" s="1175"/>
      <c r="V53" s="1175"/>
      <c r="W53" s="1710" t="s">
        <v>1309</v>
      </c>
      <c r="X53" s="1689" t="s">
        <v>1310</v>
      </c>
      <c r="Y53" s="1449">
        <v>289394</v>
      </c>
      <c r="Z53" s="1449">
        <f>SUM(Y53*0)</f>
        <v>0</v>
      </c>
      <c r="AA53" s="1449">
        <v>279112</v>
      </c>
      <c r="AB53" s="1449">
        <f>SUM(AA53*0)</f>
        <v>0</v>
      </c>
      <c r="AC53" s="1449">
        <v>63164</v>
      </c>
      <c r="AD53" s="1449">
        <f>SUM(AC53*0)</f>
        <v>0</v>
      </c>
      <c r="AE53" s="1449">
        <v>45607</v>
      </c>
      <c r="AF53" s="1449">
        <f>SUM(AE53*0)</f>
        <v>0</v>
      </c>
      <c r="AG53" s="1449">
        <v>365607</v>
      </c>
      <c r="AH53" s="1449">
        <f>SUM(AG53*0)</f>
        <v>0</v>
      </c>
      <c r="AI53" s="1449">
        <v>75612</v>
      </c>
      <c r="AJ53" s="1449">
        <f>SUM(AI53*0)</f>
        <v>0</v>
      </c>
      <c r="AK53" s="1449">
        <v>2145</v>
      </c>
      <c r="AL53" s="1449">
        <f>SUM(AK53*0)</f>
        <v>0</v>
      </c>
      <c r="AM53" s="1449">
        <v>12718</v>
      </c>
      <c r="AN53" s="1449">
        <f>SUM(AM53*0)</f>
        <v>0</v>
      </c>
      <c r="AO53" s="1449">
        <v>26</v>
      </c>
      <c r="AP53" s="1449">
        <f>SUM(AO53*0)</f>
        <v>0</v>
      </c>
      <c r="AQ53" s="1449">
        <v>37</v>
      </c>
      <c r="AR53" s="1449">
        <f>SUM(AQ53*0)</f>
        <v>0</v>
      </c>
      <c r="AS53" s="1449">
        <v>0</v>
      </c>
      <c r="AT53" s="1449">
        <f>SUM(AS53*0)</f>
        <v>0</v>
      </c>
      <c r="AU53" s="1449">
        <v>0</v>
      </c>
      <c r="AV53" s="1449">
        <f>SUM(AU53*0)</f>
        <v>0</v>
      </c>
      <c r="AW53" s="1449">
        <v>78</v>
      </c>
      <c r="AX53" s="1449">
        <f>SUM(AW53*0)</f>
        <v>0</v>
      </c>
      <c r="AY53" s="1449">
        <v>16897</v>
      </c>
      <c r="AZ53" s="1449">
        <f>SUM(AY53*0)</f>
        <v>0</v>
      </c>
      <c r="BA53" s="1449">
        <v>852</v>
      </c>
      <c r="BB53" s="1449">
        <f>SUM(BA53*0)</f>
        <v>0</v>
      </c>
      <c r="BC53" s="1449">
        <v>568506</v>
      </c>
      <c r="BD53" s="1449">
        <f>SUM(BC53*0)</f>
        <v>0</v>
      </c>
      <c r="BE53" s="1413"/>
      <c r="BF53" s="1714">
        <v>0</v>
      </c>
      <c r="BG53" s="1714">
        <v>0</v>
      </c>
      <c r="BH53" s="1694">
        <f>SUM(BF53/P53)</f>
        <v>0</v>
      </c>
      <c r="BI53" s="1449"/>
      <c r="BJ53" s="1449" t="s">
        <v>1205</v>
      </c>
      <c r="BK53" s="1315">
        <v>43832</v>
      </c>
      <c r="BL53" s="1315">
        <v>43832</v>
      </c>
      <c r="BM53" s="1306">
        <v>44195</v>
      </c>
      <c r="BN53" s="1306">
        <v>44195</v>
      </c>
      <c r="BO53" s="1299" t="s">
        <v>1206</v>
      </c>
    </row>
    <row r="54" spans="1:67" s="4" customFormat="1" ht="123.75" customHeight="1" x14ac:dyDescent="0.2">
      <c r="A54" s="283"/>
      <c r="B54" s="91"/>
      <c r="C54" s="91"/>
      <c r="D54" s="90"/>
      <c r="E54" s="91"/>
      <c r="F54" s="89"/>
      <c r="G54" s="1059" t="s">
        <v>62</v>
      </c>
      <c r="H54" s="1046" t="s">
        <v>1311</v>
      </c>
      <c r="I54" s="1054" t="s">
        <v>1312</v>
      </c>
      <c r="J54" s="1045">
        <v>11</v>
      </c>
      <c r="K54" s="1043">
        <v>0</v>
      </c>
      <c r="L54" s="1626"/>
      <c r="M54" s="1697"/>
      <c r="N54" s="1693"/>
      <c r="O54" s="742">
        <f>+T54/P53</f>
        <v>0.40540540540540543</v>
      </c>
      <c r="P54" s="1693"/>
      <c r="Q54" s="1693"/>
      <c r="R54" s="1295"/>
      <c r="S54" s="1046" t="s">
        <v>1311</v>
      </c>
      <c r="T54" s="1175">
        <v>60000000</v>
      </c>
      <c r="U54" s="1175"/>
      <c r="V54" s="1175"/>
      <c r="W54" s="1712"/>
      <c r="X54" s="1690"/>
      <c r="Y54" s="1451"/>
      <c r="Z54" s="1451"/>
      <c r="AA54" s="1451"/>
      <c r="AB54" s="1451"/>
      <c r="AC54" s="1451"/>
      <c r="AD54" s="1451"/>
      <c r="AE54" s="1451"/>
      <c r="AF54" s="1451"/>
      <c r="AG54" s="1451"/>
      <c r="AH54" s="1451"/>
      <c r="AI54" s="1451"/>
      <c r="AJ54" s="1451"/>
      <c r="AK54" s="1451"/>
      <c r="AL54" s="1451"/>
      <c r="AM54" s="1451"/>
      <c r="AN54" s="1451"/>
      <c r="AO54" s="1451"/>
      <c r="AP54" s="1451"/>
      <c r="AQ54" s="1451"/>
      <c r="AR54" s="1451"/>
      <c r="AS54" s="1451"/>
      <c r="AT54" s="1451"/>
      <c r="AU54" s="1451"/>
      <c r="AV54" s="1451"/>
      <c r="AW54" s="1451"/>
      <c r="AX54" s="1451"/>
      <c r="AY54" s="1451"/>
      <c r="AZ54" s="1451"/>
      <c r="BA54" s="1451"/>
      <c r="BB54" s="1451"/>
      <c r="BC54" s="1451"/>
      <c r="BD54" s="1451"/>
      <c r="BE54" s="1432"/>
      <c r="BF54" s="1715"/>
      <c r="BG54" s="1715"/>
      <c r="BH54" s="1696"/>
      <c r="BI54" s="1451"/>
      <c r="BJ54" s="1451"/>
      <c r="BK54" s="1317"/>
      <c r="BL54" s="1317"/>
      <c r="BM54" s="1308"/>
      <c r="BN54" s="1308"/>
      <c r="BO54" s="1301"/>
    </row>
    <row r="55" spans="1:67" s="4" customFormat="1" ht="195" customHeight="1" x14ac:dyDescent="0.2">
      <c r="A55" s="283"/>
      <c r="B55" s="91"/>
      <c r="C55" s="91"/>
      <c r="D55" s="90"/>
      <c r="E55" s="91"/>
      <c r="F55" s="89"/>
      <c r="G55" s="1176">
        <v>1905020</v>
      </c>
      <c r="H55" s="1046" t="s">
        <v>1328</v>
      </c>
      <c r="I55" s="1054" t="s">
        <v>1329</v>
      </c>
      <c r="J55" s="1045">
        <v>12</v>
      </c>
      <c r="K55" s="1043">
        <v>1</v>
      </c>
      <c r="L55" s="1486" t="s">
        <v>1330</v>
      </c>
      <c r="M55" s="1697" t="s">
        <v>1331</v>
      </c>
      <c r="N55" s="1693" t="s">
        <v>1332</v>
      </c>
      <c r="O55" s="742">
        <f>+T55/P55</f>
        <v>0.2857142857142857</v>
      </c>
      <c r="P55" s="1702">
        <f>+T55+T56+T57</f>
        <v>140000000</v>
      </c>
      <c r="Q55" s="1693" t="s">
        <v>1333</v>
      </c>
      <c r="R55" s="1293" t="s">
        <v>1334</v>
      </c>
      <c r="S55" s="1046" t="s">
        <v>1328</v>
      </c>
      <c r="T55" s="1177">
        <v>40000000</v>
      </c>
      <c r="U55" s="1177">
        <v>12320000</v>
      </c>
      <c r="V55" s="1177">
        <v>9893333</v>
      </c>
      <c r="W55" s="1710" t="s">
        <v>1309</v>
      </c>
      <c r="X55" s="1689" t="s">
        <v>1335</v>
      </c>
      <c r="Y55" s="1449">
        <v>283947</v>
      </c>
      <c r="Z55" s="1449"/>
      <c r="AA55" s="1449">
        <v>294321</v>
      </c>
      <c r="AB55" s="1449"/>
      <c r="AC55" s="1449">
        <v>135754</v>
      </c>
      <c r="AD55" s="1449"/>
      <c r="AE55" s="1449">
        <v>44640</v>
      </c>
      <c r="AF55" s="1449"/>
      <c r="AG55" s="1449">
        <v>308178</v>
      </c>
      <c r="AH55" s="1449"/>
      <c r="AI55" s="1449">
        <v>89696</v>
      </c>
      <c r="AJ55" s="1449"/>
      <c r="AK55" s="1449">
        <v>2145</v>
      </c>
      <c r="AL55" s="1449"/>
      <c r="AM55" s="1449">
        <v>12718</v>
      </c>
      <c r="AN55" s="1449"/>
      <c r="AO55" s="1449">
        <v>26</v>
      </c>
      <c r="AP55" s="1449"/>
      <c r="AQ55" s="1449">
        <v>37</v>
      </c>
      <c r="AR55" s="1449"/>
      <c r="AS55" s="1449">
        <v>0</v>
      </c>
      <c r="AT55" s="1449"/>
      <c r="AU55" s="1449">
        <v>0</v>
      </c>
      <c r="AV55" s="1449"/>
      <c r="AW55" s="1449">
        <v>88560</v>
      </c>
      <c r="AX55" s="1449"/>
      <c r="AY55" s="1449">
        <v>24486</v>
      </c>
      <c r="AZ55" s="1449"/>
      <c r="BA55" s="1449">
        <v>0</v>
      </c>
      <c r="BB55" s="1449"/>
      <c r="BC55" s="1449">
        <v>578268</v>
      </c>
      <c r="BD55" s="1449"/>
      <c r="BE55" s="1413"/>
      <c r="BF55" s="1599">
        <f>SUM(U55:U57)</f>
        <v>20440000</v>
      </c>
      <c r="BG55" s="1599">
        <f>SUM(V55:V57)</f>
        <v>18013333</v>
      </c>
      <c r="BH55" s="1694">
        <f>SUM(BF55/P55)</f>
        <v>0.14599999999999999</v>
      </c>
      <c r="BI55" s="1449" t="s">
        <v>1204</v>
      </c>
      <c r="BJ55" s="1449" t="s">
        <v>1205</v>
      </c>
      <c r="BK55" s="1315">
        <v>43832</v>
      </c>
      <c r="BL55" s="1315">
        <v>43832</v>
      </c>
      <c r="BM55" s="1306">
        <v>44195</v>
      </c>
      <c r="BN55" s="1306">
        <v>44195</v>
      </c>
      <c r="BO55" s="1299" t="s">
        <v>1206</v>
      </c>
    </row>
    <row r="56" spans="1:67" s="4" customFormat="1" ht="72.75" customHeight="1" x14ac:dyDescent="0.2">
      <c r="A56" s="283"/>
      <c r="B56" s="91"/>
      <c r="C56" s="91"/>
      <c r="D56" s="90"/>
      <c r="E56" s="91"/>
      <c r="F56" s="89"/>
      <c r="G56" s="1176">
        <v>1905022</v>
      </c>
      <c r="H56" s="1046" t="s">
        <v>694</v>
      </c>
      <c r="I56" s="1054" t="s">
        <v>695</v>
      </c>
      <c r="J56" s="1045">
        <v>12</v>
      </c>
      <c r="K56" s="1043">
        <v>1</v>
      </c>
      <c r="L56" s="1487"/>
      <c r="M56" s="1697"/>
      <c r="N56" s="1693"/>
      <c r="O56" s="742">
        <f>+T56/P55</f>
        <v>0.42857142857142855</v>
      </c>
      <c r="P56" s="1693"/>
      <c r="Q56" s="1693"/>
      <c r="R56" s="1294"/>
      <c r="S56" s="1046" t="s">
        <v>694</v>
      </c>
      <c r="T56" s="1177">
        <v>60000000</v>
      </c>
      <c r="U56" s="1177">
        <v>8120000</v>
      </c>
      <c r="V56" s="1177">
        <v>8120000</v>
      </c>
      <c r="W56" s="1711"/>
      <c r="X56" s="1713"/>
      <c r="Y56" s="1450"/>
      <c r="Z56" s="1450"/>
      <c r="AA56" s="1450"/>
      <c r="AB56" s="1450"/>
      <c r="AC56" s="1450"/>
      <c r="AD56" s="1450"/>
      <c r="AE56" s="1450"/>
      <c r="AF56" s="1450"/>
      <c r="AG56" s="1450"/>
      <c r="AH56" s="1450"/>
      <c r="AI56" s="1450"/>
      <c r="AJ56" s="1450"/>
      <c r="AK56" s="1450"/>
      <c r="AL56" s="1450"/>
      <c r="AM56" s="1450"/>
      <c r="AN56" s="1450"/>
      <c r="AO56" s="1450"/>
      <c r="AP56" s="1450"/>
      <c r="AQ56" s="1450"/>
      <c r="AR56" s="1450"/>
      <c r="AS56" s="1450"/>
      <c r="AT56" s="1450"/>
      <c r="AU56" s="1450"/>
      <c r="AV56" s="1450"/>
      <c r="AW56" s="1450"/>
      <c r="AX56" s="1450"/>
      <c r="AY56" s="1450"/>
      <c r="AZ56" s="1450"/>
      <c r="BA56" s="1450"/>
      <c r="BB56" s="1450"/>
      <c r="BC56" s="1450"/>
      <c r="BD56" s="1450"/>
      <c r="BE56" s="1414"/>
      <c r="BF56" s="1450"/>
      <c r="BG56" s="1450"/>
      <c r="BH56" s="1695"/>
      <c r="BI56" s="1450"/>
      <c r="BJ56" s="1450"/>
      <c r="BK56" s="1316"/>
      <c r="BL56" s="1316"/>
      <c r="BM56" s="1307"/>
      <c r="BN56" s="1307"/>
      <c r="BO56" s="1300"/>
    </row>
    <row r="57" spans="1:67" s="4" customFormat="1" ht="69" customHeight="1" x14ac:dyDescent="0.2">
      <c r="A57" s="283"/>
      <c r="B57" s="91"/>
      <c r="C57" s="91"/>
      <c r="D57" s="90"/>
      <c r="E57" s="91"/>
      <c r="F57" s="89"/>
      <c r="G57" s="1059" t="s">
        <v>62</v>
      </c>
      <c r="H57" s="1046" t="s">
        <v>1336</v>
      </c>
      <c r="I57" s="1054" t="s">
        <v>1337</v>
      </c>
      <c r="J57" s="1045">
        <v>2</v>
      </c>
      <c r="K57" s="1043">
        <v>0</v>
      </c>
      <c r="L57" s="1626"/>
      <c r="M57" s="1697"/>
      <c r="N57" s="1693"/>
      <c r="O57" s="742">
        <f>+T57/P55</f>
        <v>0.2857142857142857</v>
      </c>
      <c r="P57" s="1693"/>
      <c r="Q57" s="1693"/>
      <c r="R57" s="1295"/>
      <c r="S57" s="1046" t="s">
        <v>1336</v>
      </c>
      <c r="T57" s="1177">
        <v>40000000</v>
      </c>
      <c r="U57" s="1177"/>
      <c r="V57" s="1177"/>
      <c r="W57" s="1712"/>
      <c r="X57" s="1690"/>
      <c r="Y57" s="1451"/>
      <c r="Z57" s="1451"/>
      <c r="AA57" s="1451"/>
      <c r="AB57" s="1451"/>
      <c r="AC57" s="1451"/>
      <c r="AD57" s="1451"/>
      <c r="AE57" s="1451"/>
      <c r="AF57" s="1451"/>
      <c r="AG57" s="1451"/>
      <c r="AH57" s="1451"/>
      <c r="AI57" s="1451"/>
      <c r="AJ57" s="1451"/>
      <c r="AK57" s="1451"/>
      <c r="AL57" s="1451"/>
      <c r="AM57" s="1451"/>
      <c r="AN57" s="1451"/>
      <c r="AO57" s="1451"/>
      <c r="AP57" s="1451"/>
      <c r="AQ57" s="1451"/>
      <c r="AR57" s="1451"/>
      <c r="AS57" s="1451"/>
      <c r="AT57" s="1451"/>
      <c r="AU57" s="1451"/>
      <c r="AV57" s="1451"/>
      <c r="AW57" s="1451"/>
      <c r="AX57" s="1451"/>
      <c r="AY57" s="1451"/>
      <c r="AZ57" s="1451"/>
      <c r="BA57" s="1451"/>
      <c r="BB57" s="1451"/>
      <c r="BC57" s="1451"/>
      <c r="BD57" s="1451"/>
      <c r="BE57" s="1432"/>
      <c r="BF57" s="1451"/>
      <c r="BG57" s="1451"/>
      <c r="BH57" s="1696"/>
      <c r="BI57" s="1451"/>
      <c r="BJ57" s="1451"/>
      <c r="BK57" s="1317"/>
      <c r="BL57" s="1317"/>
      <c r="BM57" s="1308"/>
      <c r="BN57" s="1308"/>
      <c r="BO57" s="1301"/>
    </row>
    <row r="58" spans="1:67" s="4" customFormat="1" ht="123.75" customHeight="1" x14ac:dyDescent="0.2">
      <c r="A58" s="283"/>
      <c r="B58" s="91"/>
      <c r="C58" s="91"/>
      <c r="D58" s="90"/>
      <c r="E58" s="91"/>
      <c r="F58" s="89"/>
      <c r="G58" s="1059">
        <v>1905023</v>
      </c>
      <c r="H58" s="1046" t="s">
        <v>1338</v>
      </c>
      <c r="I58" s="1054" t="s">
        <v>1339</v>
      </c>
      <c r="J58" s="1045">
        <v>12</v>
      </c>
      <c r="K58" s="1043">
        <v>3</v>
      </c>
      <c r="L58" s="1700" t="s">
        <v>1340</v>
      </c>
      <c r="M58" s="1697" t="s">
        <v>1341</v>
      </c>
      <c r="N58" s="1693" t="s">
        <v>1342</v>
      </c>
      <c r="O58" s="742">
        <f>+T58/P58</f>
        <v>0.6470588235294118</v>
      </c>
      <c r="P58" s="1702">
        <f>+T58+T59</f>
        <v>170000000</v>
      </c>
      <c r="Q58" s="1693" t="s">
        <v>1343</v>
      </c>
      <c r="R58" s="1293" t="s">
        <v>1344</v>
      </c>
      <c r="S58" s="1046" t="s">
        <v>1338</v>
      </c>
      <c r="T58" s="1177">
        <v>110000000</v>
      </c>
      <c r="U58" s="1177">
        <v>16333333</v>
      </c>
      <c r="V58" s="1177">
        <v>13533333</v>
      </c>
      <c r="W58" s="1710" t="s">
        <v>1309</v>
      </c>
      <c r="X58" s="1689" t="s">
        <v>1310</v>
      </c>
      <c r="Y58" s="1578">
        <v>289394</v>
      </c>
      <c r="Z58" s="1578">
        <f>SUM(Y58*0.1)</f>
        <v>28939.4</v>
      </c>
      <c r="AA58" s="1578">
        <v>279112</v>
      </c>
      <c r="AB58" s="1578">
        <f>SUM(AA58*0.1)</f>
        <v>27911.200000000001</v>
      </c>
      <c r="AC58" s="1578">
        <v>63164</v>
      </c>
      <c r="AD58" s="1578">
        <f>SUM(AC58*0.1)</f>
        <v>6316.4000000000005</v>
      </c>
      <c r="AE58" s="1578">
        <v>45607</v>
      </c>
      <c r="AF58" s="1578">
        <f>SUM(AE58*0.1)</f>
        <v>4560.7</v>
      </c>
      <c r="AG58" s="1578">
        <v>365607</v>
      </c>
      <c r="AH58" s="1578">
        <f>SUM(AG58*0.1)</f>
        <v>36560.700000000004</v>
      </c>
      <c r="AI58" s="1578">
        <v>75612</v>
      </c>
      <c r="AJ58" s="1578">
        <f>SUM(AI58*0.1)</f>
        <v>7561.2000000000007</v>
      </c>
      <c r="AK58" s="1578">
        <v>2145</v>
      </c>
      <c r="AL58" s="1578">
        <f>SUM(AK58*0.1)</f>
        <v>214.5</v>
      </c>
      <c r="AM58" s="1578">
        <v>12718</v>
      </c>
      <c r="AN58" s="1578">
        <f>SUM(AM58*0.1)</f>
        <v>1271.8000000000002</v>
      </c>
      <c r="AO58" s="1578">
        <v>26</v>
      </c>
      <c r="AP58" s="1578">
        <f>SUM(AO58*0.1)</f>
        <v>2.6</v>
      </c>
      <c r="AQ58" s="1578">
        <v>37</v>
      </c>
      <c r="AR58" s="1578">
        <f>SUM(AQ58*0.1)</f>
        <v>3.7</v>
      </c>
      <c r="AS58" s="1578">
        <v>0</v>
      </c>
      <c r="AT58" s="1578">
        <f>SUM(AS58*0.1)</f>
        <v>0</v>
      </c>
      <c r="AU58" s="1578">
        <v>0</v>
      </c>
      <c r="AV58" s="1578">
        <f>SUM(AU58*0.1)</f>
        <v>0</v>
      </c>
      <c r="AW58" s="1578">
        <v>78</v>
      </c>
      <c r="AX58" s="1578">
        <f>SUM(AW58*0.1)</f>
        <v>7.8000000000000007</v>
      </c>
      <c r="AY58" s="1578">
        <v>16897</v>
      </c>
      <c r="AZ58" s="1578">
        <f>SUM(AY58*0.1)</f>
        <v>1689.7</v>
      </c>
      <c r="BA58" s="1578">
        <v>852</v>
      </c>
      <c r="BB58" s="1578">
        <f>SUM(BA58*0.1)</f>
        <v>85.2</v>
      </c>
      <c r="BC58" s="1578">
        <v>568506</v>
      </c>
      <c r="BD58" s="1578">
        <f>SUM(BC58*0.1)</f>
        <v>56850.600000000006</v>
      </c>
      <c r="BE58" s="1413"/>
      <c r="BF58" s="1599">
        <f>SUM(U58:U59)</f>
        <v>16333333</v>
      </c>
      <c r="BG58" s="1599">
        <f>SUM(V58:V59)</f>
        <v>13533333</v>
      </c>
      <c r="BH58" s="1694">
        <f>SUM(BF58/P58)</f>
        <v>9.6078429411764713E-2</v>
      </c>
      <c r="BI58" s="1449" t="s">
        <v>1204</v>
      </c>
      <c r="BJ58" s="1449" t="s">
        <v>1205</v>
      </c>
      <c r="BK58" s="1315">
        <v>43832</v>
      </c>
      <c r="BL58" s="1315">
        <v>43832</v>
      </c>
      <c r="BM58" s="1306">
        <v>44195</v>
      </c>
      <c r="BN58" s="1306">
        <v>44195</v>
      </c>
      <c r="BO58" s="1299" t="s">
        <v>1206</v>
      </c>
    </row>
    <row r="59" spans="1:67" s="4" customFormat="1" ht="97.5" customHeight="1" x14ac:dyDescent="0.2">
      <c r="A59" s="283"/>
      <c r="B59" s="91"/>
      <c r="C59" s="91"/>
      <c r="D59" s="90"/>
      <c r="E59" s="91"/>
      <c r="F59" s="89"/>
      <c r="G59" s="1059">
        <v>1905031</v>
      </c>
      <c r="H59" s="1046" t="s">
        <v>1301</v>
      </c>
      <c r="I59" s="1054" t="s">
        <v>1302</v>
      </c>
      <c r="J59" s="1045">
        <v>12</v>
      </c>
      <c r="K59" s="1043">
        <v>3</v>
      </c>
      <c r="L59" s="1701"/>
      <c r="M59" s="1697"/>
      <c r="N59" s="1693"/>
      <c r="O59" s="742">
        <f>+T59/P58</f>
        <v>0.35294117647058826</v>
      </c>
      <c r="P59" s="1693"/>
      <c r="Q59" s="1693"/>
      <c r="R59" s="1295"/>
      <c r="S59" s="1046" t="s">
        <v>1301</v>
      </c>
      <c r="T59" s="1177">
        <v>60000000</v>
      </c>
      <c r="U59" s="1177"/>
      <c r="V59" s="1177"/>
      <c r="W59" s="1712"/>
      <c r="X59" s="1690"/>
      <c r="Y59" s="1580"/>
      <c r="Z59" s="1580"/>
      <c r="AA59" s="1580"/>
      <c r="AB59" s="1580"/>
      <c r="AC59" s="1580"/>
      <c r="AD59" s="1580"/>
      <c r="AE59" s="1580"/>
      <c r="AF59" s="1580"/>
      <c r="AG59" s="1580"/>
      <c r="AH59" s="1580"/>
      <c r="AI59" s="1580"/>
      <c r="AJ59" s="1580"/>
      <c r="AK59" s="1580"/>
      <c r="AL59" s="1580"/>
      <c r="AM59" s="1580"/>
      <c r="AN59" s="1580"/>
      <c r="AO59" s="1580"/>
      <c r="AP59" s="1580"/>
      <c r="AQ59" s="1580"/>
      <c r="AR59" s="1580"/>
      <c r="AS59" s="1580"/>
      <c r="AT59" s="1580"/>
      <c r="AU59" s="1580"/>
      <c r="AV59" s="1580"/>
      <c r="AW59" s="1580"/>
      <c r="AX59" s="1580"/>
      <c r="AY59" s="1580"/>
      <c r="AZ59" s="1580"/>
      <c r="BA59" s="1580"/>
      <c r="BB59" s="1580"/>
      <c r="BC59" s="1580"/>
      <c r="BD59" s="1580"/>
      <c r="BE59" s="1432"/>
      <c r="BF59" s="1451"/>
      <c r="BG59" s="1451"/>
      <c r="BH59" s="1696"/>
      <c r="BI59" s="1451"/>
      <c r="BJ59" s="1451"/>
      <c r="BK59" s="1317"/>
      <c r="BL59" s="1317"/>
      <c r="BM59" s="1308"/>
      <c r="BN59" s="1308"/>
      <c r="BO59" s="1300"/>
    </row>
    <row r="60" spans="1:67" s="4" customFormat="1" ht="62.25" customHeight="1" x14ac:dyDescent="0.2">
      <c r="A60" s="283"/>
      <c r="B60" s="91"/>
      <c r="C60" s="91"/>
      <c r="D60" s="90"/>
      <c r="E60" s="91"/>
      <c r="F60" s="89"/>
      <c r="G60" s="1059">
        <v>1905012</v>
      </c>
      <c r="H60" s="1046" t="s">
        <v>1345</v>
      </c>
      <c r="I60" s="1054" t="s">
        <v>1345</v>
      </c>
      <c r="J60" s="1045">
        <v>1</v>
      </c>
      <c r="K60" s="1043">
        <v>0</v>
      </c>
      <c r="L60" s="1700" t="s">
        <v>1346</v>
      </c>
      <c r="M60" s="1697" t="s">
        <v>1347</v>
      </c>
      <c r="N60" s="1693" t="s">
        <v>1348</v>
      </c>
      <c r="O60" s="742">
        <f>+T60/P60</f>
        <v>0.14285714285714285</v>
      </c>
      <c r="P60" s="1702">
        <f>+T60+T61+T62</f>
        <v>140000000</v>
      </c>
      <c r="Q60" s="1693" t="s">
        <v>1349</v>
      </c>
      <c r="R60" s="1293" t="s">
        <v>1350</v>
      </c>
      <c r="S60" s="1046" t="s">
        <v>1345</v>
      </c>
      <c r="T60" s="1158">
        <v>20000000</v>
      </c>
      <c r="U60" s="1174"/>
      <c r="V60" s="1174"/>
      <c r="W60" s="1710" t="s">
        <v>1309</v>
      </c>
      <c r="X60" s="1689" t="s">
        <v>1351</v>
      </c>
      <c r="Y60" s="1578">
        <v>289394</v>
      </c>
      <c r="Z60" s="1578">
        <f>SUM(Y60*0.16)</f>
        <v>46303.040000000001</v>
      </c>
      <c r="AA60" s="1578">
        <v>279112</v>
      </c>
      <c r="AB60" s="1578">
        <f>SUM(AA60*0.16)</f>
        <v>44657.919999999998</v>
      </c>
      <c r="AC60" s="1578">
        <v>63164</v>
      </c>
      <c r="AD60" s="1578">
        <f>SUM(AC60*0.16)</f>
        <v>10106.24</v>
      </c>
      <c r="AE60" s="1578">
        <v>45607</v>
      </c>
      <c r="AF60" s="1578">
        <f>SUM(AE60*0.16)</f>
        <v>7297.12</v>
      </c>
      <c r="AG60" s="1578">
        <v>365607</v>
      </c>
      <c r="AH60" s="1578">
        <f>SUM(AG60*0.16)</f>
        <v>58497.120000000003</v>
      </c>
      <c r="AI60" s="1578">
        <v>75612</v>
      </c>
      <c r="AJ60" s="1578">
        <f>SUM(AI60*0.16)</f>
        <v>12097.92</v>
      </c>
      <c r="AK60" s="1578">
        <v>2145</v>
      </c>
      <c r="AL60" s="1578">
        <f>SUM(AK60*0.16)</f>
        <v>343.2</v>
      </c>
      <c r="AM60" s="1578">
        <v>12718</v>
      </c>
      <c r="AN60" s="1578">
        <f>SUM(AM60*0.16)</f>
        <v>2034.88</v>
      </c>
      <c r="AO60" s="1578">
        <v>26</v>
      </c>
      <c r="AP60" s="1578">
        <f>SUM(AO60*0.16)</f>
        <v>4.16</v>
      </c>
      <c r="AQ60" s="1578">
        <v>37</v>
      </c>
      <c r="AR60" s="1578">
        <f>SUM(AQ60*0.16)</f>
        <v>5.92</v>
      </c>
      <c r="AS60" s="1578">
        <v>0</v>
      </c>
      <c r="AT60" s="1578">
        <f>SUM(AS60*0.16)</f>
        <v>0</v>
      </c>
      <c r="AU60" s="1578">
        <v>0</v>
      </c>
      <c r="AV60" s="1578">
        <f>SUM(AU60*0.16)</f>
        <v>0</v>
      </c>
      <c r="AW60" s="1578">
        <v>78</v>
      </c>
      <c r="AX60" s="1578">
        <f>SUM(AW60*0.16)</f>
        <v>12.48</v>
      </c>
      <c r="AY60" s="1578">
        <v>16897</v>
      </c>
      <c r="AZ60" s="1578">
        <f>SUM(AY60*0.16)</f>
        <v>2703.52</v>
      </c>
      <c r="BA60" s="1578">
        <v>852</v>
      </c>
      <c r="BB60" s="1578">
        <f>SUM(BA60*0.16)</f>
        <v>136.32</v>
      </c>
      <c r="BC60" s="1578">
        <v>568506</v>
      </c>
      <c r="BD60" s="1578">
        <f>SUM(BC60*0.16)</f>
        <v>90960.960000000006</v>
      </c>
      <c r="BE60" s="1413"/>
      <c r="BF60" s="1599">
        <f>SUM(U60:U62)</f>
        <v>21799999</v>
      </c>
      <c r="BG60" s="1599">
        <f>SUM(V60:V62)</f>
        <v>21799999</v>
      </c>
      <c r="BH60" s="1694">
        <f>SUM(BF60/P60)</f>
        <v>0.15571427857142858</v>
      </c>
      <c r="BI60" s="1449" t="s">
        <v>1204</v>
      </c>
      <c r="BJ60" s="1449" t="s">
        <v>1205</v>
      </c>
      <c r="BK60" s="1315">
        <v>43832</v>
      </c>
      <c r="BL60" s="1315">
        <v>43832</v>
      </c>
      <c r="BM60" s="1306">
        <v>44195</v>
      </c>
      <c r="BN60" s="1306">
        <v>44195</v>
      </c>
      <c r="BO60" s="1299" t="s">
        <v>1206</v>
      </c>
    </row>
    <row r="61" spans="1:67" s="4" customFormat="1" ht="78" customHeight="1" x14ac:dyDescent="0.2">
      <c r="A61" s="283"/>
      <c r="B61" s="91"/>
      <c r="C61" s="91"/>
      <c r="D61" s="90"/>
      <c r="E61" s="91"/>
      <c r="F61" s="89"/>
      <c r="G61" s="1059">
        <v>1905026</v>
      </c>
      <c r="H61" s="1046" t="s">
        <v>1352</v>
      </c>
      <c r="I61" s="1054" t="s">
        <v>1353</v>
      </c>
      <c r="J61" s="1045">
        <v>12</v>
      </c>
      <c r="K61" s="1043">
        <v>2</v>
      </c>
      <c r="L61" s="1709"/>
      <c r="M61" s="1697"/>
      <c r="N61" s="1693"/>
      <c r="O61" s="742">
        <f>+T61/P60</f>
        <v>0.42857142857142855</v>
      </c>
      <c r="P61" s="1693"/>
      <c r="Q61" s="1693"/>
      <c r="R61" s="1294"/>
      <c r="S61" s="1046" t="s">
        <v>1352</v>
      </c>
      <c r="T61" s="1158">
        <v>60000000</v>
      </c>
      <c r="U61" s="1158">
        <v>21799999</v>
      </c>
      <c r="V61" s="1158">
        <v>21799999</v>
      </c>
      <c r="W61" s="1711"/>
      <c r="X61" s="1713"/>
      <c r="Y61" s="1579"/>
      <c r="Z61" s="1579"/>
      <c r="AA61" s="1579"/>
      <c r="AB61" s="1579"/>
      <c r="AC61" s="1579"/>
      <c r="AD61" s="1579"/>
      <c r="AE61" s="1579"/>
      <c r="AF61" s="1579"/>
      <c r="AG61" s="1579"/>
      <c r="AH61" s="1579"/>
      <c r="AI61" s="1579"/>
      <c r="AJ61" s="1579"/>
      <c r="AK61" s="1579"/>
      <c r="AL61" s="1579"/>
      <c r="AM61" s="1579"/>
      <c r="AN61" s="1579"/>
      <c r="AO61" s="1579"/>
      <c r="AP61" s="1579"/>
      <c r="AQ61" s="1579"/>
      <c r="AR61" s="1579"/>
      <c r="AS61" s="1579"/>
      <c r="AT61" s="1579"/>
      <c r="AU61" s="1579"/>
      <c r="AV61" s="1579"/>
      <c r="AW61" s="1579"/>
      <c r="AX61" s="1579"/>
      <c r="AY61" s="1579"/>
      <c r="AZ61" s="1579"/>
      <c r="BA61" s="1579"/>
      <c r="BB61" s="1579"/>
      <c r="BC61" s="1579"/>
      <c r="BD61" s="1579"/>
      <c r="BE61" s="1414"/>
      <c r="BF61" s="1450"/>
      <c r="BG61" s="1450"/>
      <c r="BH61" s="1695"/>
      <c r="BI61" s="1450"/>
      <c r="BJ61" s="1450"/>
      <c r="BK61" s="1316"/>
      <c r="BL61" s="1316"/>
      <c r="BM61" s="1307"/>
      <c r="BN61" s="1307"/>
      <c r="BO61" s="1300"/>
    </row>
    <row r="62" spans="1:67" s="4" customFormat="1" ht="79.5" customHeight="1" x14ac:dyDescent="0.2">
      <c r="A62" s="283"/>
      <c r="B62" s="91"/>
      <c r="C62" s="91"/>
      <c r="D62" s="90"/>
      <c r="E62" s="91"/>
      <c r="F62" s="89"/>
      <c r="G62" s="1059">
        <v>1905027</v>
      </c>
      <c r="H62" s="1046" t="s">
        <v>1354</v>
      </c>
      <c r="I62" s="1054" t="s">
        <v>1355</v>
      </c>
      <c r="J62" s="1045">
        <v>12</v>
      </c>
      <c r="K62" s="1043">
        <v>2</v>
      </c>
      <c r="L62" s="1701"/>
      <c r="M62" s="1697"/>
      <c r="N62" s="1693"/>
      <c r="O62" s="742">
        <f>+T62/P60</f>
        <v>0.42857142857142855</v>
      </c>
      <c r="P62" s="1693"/>
      <c r="Q62" s="1693"/>
      <c r="R62" s="1295"/>
      <c r="S62" s="1046" t="s">
        <v>1354</v>
      </c>
      <c r="T62" s="1158">
        <v>60000000</v>
      </c>
      <c r="U62" s="1178"/>
      <c r="V62" s="1178"/>
      <c r="W62" s="1712"/>
      <c r="X62" s="1690"/>
      <c r="Y62" s="1580"/>
      <c r="Z62" s="1580"/>
      <c r="AA62" s="1580"/>
      <c r="AB62" s="1580"/>
      <c r="AC62" s="1580"/>
      <c r="AD62" s="1580"/>
      <c r="AE62" s="1580"/>
      <c r="AF62" s="1580"/>
      <c r="AG62" s="1580"/>
      <c r="AH62" s="1580"/>
      <c r="AI62" s="1580"/>
      <c r="AJ62" s="1580"/>
      <c r="AK62" s="1580"/>
      <c r="AL62" s="1580"/>
      <c r="AM62" s="1580"/>
      <c r="AN62" s="1580"/>
      <c r="AO62" s="1580"/>
      <c r="AP62" s="1580"/>
      <c r="AQ62" s="1580"/>
      <c r="AR62" s="1580"/>
      <c r="AS62" s="1580"/>
      <c r="AT62" s="1580"/>
      <c r="AU62" s="1580"/>
      <c r="AV62" s="1580"/>
      <c r="AW62" s="1580"/>
      <c r="AX62" s="1580"/>
      <c r="AY62" s="1580"/>
      <c r="AZ62" s="1580"/>
      <c r="BA62" s="1580"/>
      <c r="BB62" s="1580"/>
      <c r="BC62" s="1580"/>
      <c r="BD62" s="1580"/>
      <c r="BE62" s="1432"/>
      <c r="BF62" s="1451"/>
      <c r="BG62" s="1451"/>
      <c r="BH62" s="1696"/>
      <c r="BI62" s="1451"/>
      <c r="BJ62" s="1451"/>
      <c r="BK62" s="1317"/>
      <c r="BL62" s="1317"/>
      <c r="BM62" s="1308"/>
      <c r="BN62" s="1308"/>
      <c r="BO62" s="1301"/>
    </row>
    <row r="63" spans="1:67" s="4" customFormat="1" ht="43.5" customHeight="1" x14ac:dyDescent="0.2">
      <c r="A63" s="283"/>
      <c r="B63" s="91"/>
      <c r="C63" s="91"/>
      <c r="D63" s="90"/>
      <c r="E63" s="91"/>
      <c r="F63" s="89"/>
      <c r="G63" s="1705" t="s">
        <v>62</v>
      </c>
      <c r="H63" s="1693" t="s">
        <v>1317</v>
      </c>
      <c r="I63" s="1693" t="s">
        <v>1318</v>
      </c>
      <c r="J63" s="1697">
        <v>2</v>
      </c>
      <c r="K63" s="1496">
        <v>0</v>
      </c>
      <c r="L63" s="1284" t="s">
        <v>1356</v>
      </c>
      <c r="M63" s="1697" t="s">
        <v>1357</v>
      </c>
      <c r="N63" s="1693" t="s">
        <v>1358</v>
      </c>
      <c r="O63" s="1699">
        <f>+(T63+T64+T65)/P63</f>
        <v>0.64540221557182886</v>
      </c>
      <c r="P63" s="1698">
        <f>+T63+T64+T65+T66+T67</f>
        <v>759387298.61000001</v>
      </c>
      <c r="Q63" s="1706" t="s">
        <v>1359</v>
      </c>
      <c r="R63" s="1293" t="s">
        <v>1360</v>
      </c>
      <c r="S63" s="1693" t="s">
        <v>1317</v>
      </c>
      <c r="T63" s="1158">
        <v>100000000</v>
      </c>
      <c r="U63" s="1158">
        <v>17240000</v>
      </c>
      <c r="V63" s="1158">
        <v>17240000</v>
      </c>
      <c r="W63" s="1179" t="s">
        <v>1309</v>
      </c>
      <c r="X63" s="1180" t="s">
        <v>1351</v>
      </c>
      <c r="Y63" s="1578">
        <v>292684</v>
      </c>
      <c r="Z63" s="1578">
        <f>SUM(Y63*0.18)</f>
        <v>52683.119999999995</v>
      </c>
      <c r="AA63" s="1578">
        <v>282326</v>
      </c>
      <c r="AB63" s="1578">
        <f>SUM(AA63*0.18)</f>
        <v>50818.68</v>
      </c>
      <c r="AC63" s="1578">
        <v>135912</v>
      </c>
      <c r="AD63" s="1578">
        <f>SUM(AC63*0.18)</f>
        <v>24464.16</v>
      </c>
      <c r="AE63" s="1578">
        <v>45122</v>
      </c>
      <c r="AF63" s="1578">
        <f>SUM(AE63*0.18)</f>
        <v>8121.96</v>
      </c>
      <c r="AG63" s="1578">
        <v>307101</v>
      </c>
      <c r="AH63" s="1578">
        <f>SUM(AG63*0.18)</f>
        <v>55278.18</v>
      </c>
      <c r="AI63" s="1578">
        <v>86875</v>
      </c>
      <c r="AJ63" s="1578">
        <f>SUM(AI63*0.18)</f>
        <v>15637.5</v>
      </c>
      <c r="AK63" s="1578">
        <v>2145</v>
      </c>
      <c r="AL63" s="1578">
        <f>SUM(AK63*0.18)</f>
        <v>386.09999999999997</v>
      </c>
      <c r="AM63" s="1578">
        <v>12718</v>
      </c>
      <c r="AN63" s="1578">
        <f>SUM(AM63*0.18)</f>
        <v>2289.2399999999998</v>
      </c>
      <c r="AO63" s="1578">
        <v>26</v>
      </c>
      <c r="AP63" s="1578">
        <f>SUM(AO63*0.18)</f>
        <v>4.68</v>
      </c>
      <c r="AQ63" s="1578">
        <v>37</v>
      </c>
      <c r="AR63" s="1578">
        <f>SUM(AQ63*0.18)</f>
        <v>6.66</v>
      </c>
      <c r="AS63" s="1578" t="s">
        <v>960</v>
      </c>
      <c r="AT63" s="1578" t="s">
        <v>960</v>
      </c>
      <c r="AU63" s="1578" t="s">
        <v>960</v>
      </c>
      <c r="AV63" s="1578" t="s">
        <v>960</v>
      </c>
      <c r="AW63" s="1578">
        <v>53164</v>
      </c>
      <c r="AX63" s="1578">
        <f>SUM(AW63*0.18)</f>
        <v>9569.52</v>
      </c>
      <c r="AY63" s="1578">
        <v>16982</v>
      </c>
      <c r="AZ63" s="1578">
        <f>SUM(AY63*0.18)</f>
        <v>3056.7599999999998</v>
      </c>
      <c r="BA63" s="1578">
        <v>60013</v>
      </c>
      <c r="BB63" s="1578">
        <f>SUM(BA63*0.18)</f>
        <v>10802.34</v>
      </c>
      <c r="BC63" s="1578">
        <v>575010</v>
      </c>
      <c r="BD63" s="1578">
        <f>SUM(BC63*0.18)</f>
        <v>103501.8</v>
      </c>
      <c r="BE63" s="1413"/>
      <c r="BF63" s="1599">
        <f>SUM(U63:U67)</f>
        <v>136505420</v>
      </c>
      <c r="BG63" s="1599">
        <f>SUM(V63:V67)</f>
        <v>129038754</v>
      </c>
      <c r="BH63" s="1694">
        <f>SUM(BF63/P63)</f>
        <v>0.17975731257273156</v>
      </c>
      <c r="BI63" s="1449" t="s">
        <v>1361</v>
      </c>
      <c r="BJ63" s="1449" t="s">
        <v>1205</v>
      </c>
      <c r="BK63" s="1315">
        <v>43832</v>
      </c>
      <c r="BL63" s="1315">
        <v>43832</v>
      </c>
      <c r="BM63" s="1306">
        <v>44195</v>
      </c>
      <c r="BN63" s="1306">
        <v>44195</v>
      </c>
      <c r="BO63" s="1299" t="s">
        <v>1206</v>
      </c>
    </row>
    <row r="64" spans="1:67" s="4" customFormat="1" ht="58.5" customHeight="1" x14ac:dyDescent="0.2">
      <c r="A64" s="283"/>
      <c r="B64" s="91"/>
      <c r="C64" s="91"/>
      <c r="D64" s="90"/>
      <c r="E64" s="91"/>
      <c r="F64" s="89"/>
      <c r="G64" s="1705"/>
      <c r="H64" s="1693"/>
      <c r="I64" s="1693"/>
      <c r="J64" s="1697"/>
      <c r="K64" s="1496"/>
      <c r="L64" s="1285"/>
      <c r="M64" s="1697"/>
      <c r="N64" s="1693"/>
      <c r="O64" s="1699"/>
      <c r="P64" s="1697"/>
      <c r="Q64" s="1707"/>
      <c r="R64" s="1294"/>
      <c r="S64" s="1693"/>
      <c r="T64" s="109">
        <f>75000000+55000000</f>
        <v>130000000</v>
      </c>
      <c r="U64" s="109">
        <v>60146487</v>
      </c>
      <c r="V64" s="109">
        <v>52679821</v>
      </c>
      <c r="W64" s="1179" t="s">
        <v>631</v>
      </c>
      <c r="X64" s="1180" t="s">
        <v>1362</v>
      </c>
      <c r="Y64" s="1579"/>
      <c r="Z64" s="1579"/>
      <c r="AA64" s="1579"/>
      <c r="AB64" s="1579"/>
      <c r="AC64" s="1579"/>
      <c r="AD64" s="1579"/>
      <c r="AE64" s="1579"/>
      <c r="AF64" s="1579"/>
      <c r="AG64" s="1579"/>
      <c r="AH64" s="1579"/>
      <c r="AI64" s="1579"/>
      <c r="AJ64" s="1579"/>
      <c r="AK64" s="1579"/>
      <c r="AL64" s="1579"/>
      <c r="AM64" s="1579"/>
      <c r="AN64" s="1579"/>
      <c r="AO64" s="1579"/>
      <c r="AP64" s="1579"/>
      <c r="AQ64" s="1579"/>
      <c r="AR64" s="1579"/>
      <c r="AS64" s="1579"/>
      <c r="AT64" s="1579"/>
      <c r="AU64" s="1579"/>
      <c r="AV64" s="1579"/>
      <c r="AW64" s="1579"/>
      <c r="AX64" s="1579"/>
      <c r="AY64" s="1579"/>
      <c r="AZ64" s="1579"/>
      <c r="BA64" s="1579"/>
      <c r="BB64" s="1579"/>
      <c r="BC64" s="1579"/>
      <c r="BD64" s="1579"/>
      <c r="BE64" s="1414"/>
      <c r="BF64" s="1450"/>
      <c r="BG64" s="1450"/>
      <c r="BH64" s="1695"/>
      <c r="BI64" s="1450"/>
      <c r="BJ64" s="1450"/>
      <c r="BK64" s="1316"/>
      <c r="BL64" s="1316"/>
      <c r="BM64" s="1307"/>
      <c r="BN64" s="1307"/>
      <c r="BO64" s="1300"/>
    </row>
    <row r="65" spans="1:67" s="4" customFormat="1" ht="42" customHeight="1" x14ac:dyDescent="0.2">
      <c r="A65" s="283"/>
      <c r="B65" s="91"/>
      <c r="C65" s="91"/>
      <c r="D65" s="90"/>
      <c r="E65" s="91"/>
      <c r="F65" s="89"/>
      <c r="G65" s="1705"/>
      <c r="H65" s="1693"/>
      <c r="I65" s="1693"/>
      <c r="J65" s="1697"/>
      <c r="K65" s="1496"/>
      <c r="L65" s="1285"/>
      <c r="M65" s="1697"/>
      <c r="N65" s="1693"/>
      <c r="O65" s="1699"/>
      <c r="P65" s="1697"/>
      <c r="Q65" s="1707"/>
      <c r="R65" s="1294"/>
      <c r="S65" s="1693"/>
      <c r="T65" s="1158">
        <v>260110245</v>
      </c>
      <c r="U65" s="1158">
        <v>59118933</v>
      </c>
      <c r="V65" s="1158">
        <v>59118933</v>
      </c>
      <c r="W65" s="1179" t="s">
        <v>1363</v>
      </c>
      <c r="X65" s="1180" t="s">
        <v>1364</v>
      </c>
      <c r="Y65" s="1579"/>
      <c r="Z65" s="1579"/>
      <c r="AA65" s="1579"/>
      <c r="AB65" s="1579"/>
      <c r="AC65" s="1579"/>
      <c r="AD65" s="1579"/>
      <c r="AE65" s="1579"/>
      <c r="AF65" s="1579"/>
      <c r="AG65" s="1579"/>
      <c r="AH65" s="1579"/>
      <c r="AI65" s="1579"/>
      <c r="AJ65" s="1579"/>
      <c r="AK65" s="1579"/>
      <c r="AL65" s="1579"/>
      <c r="AM65" s="1579"/>
      <c r="AN65" s="1579"/>
      <c r="AO65" s="1579"/>
      <c r="AP65" s="1579"/>
      <c r="AQ65" s="1579"/>
      <c r="AR65" s="1579"/>
      <c r="AS65" s="1579"/>
      <c r="AT65" s="1579"/>
      <c r="AU65" s="1579"/>
      <c r="AV65" s="1579"/>
      <c r="AW65" s="1579"/>
      <c r="AX65" s="1579"/>
      <c r="AY65" s="1579"/>
      <c r="AZ65" s="1579"/>
      <c r="BA65" s="1579"/>
      <c r="BB65" s="1579"/>
      <c r="BC65" s="1579"/>
      <c r="BD65" s="1579"/>
      <c r="BE65" s="1414"/>
      <c r="BF65" s="1450"/>
      <c r="BG65" s="1450"/>
      <c r="BH65" s="1695"/>
      <c r="BI65" s="1450"/>
      <c r="BJ65" s="1450"/>
      <c r="BK65" s="1316"/>
      <c r="BL65" s="1316"/>
      <c r="BM65" s="1307"/>
      <c r="BN65" s="1307"/>
      <c r="BO65" s="1300"/>
    </row>
    <row r="66" spans="1:67" s="4" customFormat="1" ht="53.25" customHeight="1" x14ac:dyDescent="0.2">
      <c r="A66" s="283"/>
      <c r="B66" s="91"/>
      <c r="C66" s="91"/>
      <c r="D66" s="90"/>
      <c r="E66" s="91"/>
      <c r="F66" s="89"/>
      <c r="G66" s="1705">
        <v>1905026</v>
      </c>
      <c r="H66" s="1693" t="s">
        <v>1352</v>
      </c>
      <c r="I66" s="1693" t="s">
        <v>1353</v>
      </c>
      <c r="J66" s="1697">
        <v>12</v>
      </c>
      <c r="K66" s="1496">
        <v>2</v>
      </c>
      <c r="L66" s="1285"/>
      <c r="M66" s="1697"/>
      <c r="N66" s="1693"/>
      <c r="O66" s="1699">
        <f>+(T66+T67)/P63</f>
        <v>0.35459778442817114</v>
      </c>
      <c r="P66" s="1697"/>
      <c r="Q66" s="1707"/>
      <c r="R66" s="1294"/>
      <c r="S66" s="1693" t="s">
        <v>1352</v>
      </c>
      <c r="T66" s="1158">
        <v>100000000</v>
      </c>
      <c r="U66" s="1158"/>
      <c r="V66" s="1158"/>
      <c r="W66" s="1179" t="s">
        <v>1309</v>
      </c>
      <c r="X66" s="1180" t="s">
        <v>1351</v>
      </c>
      <c r="Y66" s="1579"/>
      <c r="Z66" s="1579"/>
      <c r="AA66" s="1579"/>
      <c r="AB66" s="1579"/>
      <c r="AC66" s="1579"/>
      <c r="AD66" s="1579"/>
      <c r="AE66" s="1579"/>
      <c r="AF66" s="1579"/>
      <c r="AG66" s="1579"/>
      <c r="AH66" s="1579"/>
      <c r="AI66" s="1579"/>
      <c r="AJ66" s="1579"/>
      <c r="AK66" s="1579"/>
      <c r="AL66" s="1579"/>
      <c r="AM66" s="1579"/>
      <c r="AN66" s="1579"/>
      <c r="AO66" s="1579"/>
      <c r="AP66" s="1579"/>
      <c r="AQ66" s="1579"/>
      <c r="AR66" s="1579"/>
      <c r="AS66" s="1579"/>
      <c r="AT66" s="1579"/>
      <c r="AU66" s="1579"/>
      <c r="AV66" s="1579"/>
      <c r="AW66" s="1579"/>
      <c r="AX66" s="1579"/>
      <c r="AY66" s="1579"/>
      <c r="AZ66" s="1579"/>
      <c r="BA66" s="1579"/>
      <c r="BB66" s="1579"/>
      <c r="BC66" s="1579"/>
      <c r="BD66" s="1579"/>
      <c r="BE66" s="1414"/>
      <c r="BF66" s="1450"/>
      <c r="BG66" s="1450"/>
      <c r="BH66" s="1695"/>
      <c r="BI66" s="1450"/>
      <c r="BJ66" s="1450"/>
      <c r="BK66" s="1316"/>
      <c r="BL66" s="1316"/>
      <c r="BM66" s="1307"/>
      <c r="BN66" s="1307"/>
      <c r="BO66" s="1300"/>
    </row>
    <row r="67" spans="1:67" s="4" customFormat="1" ht="130.5" customHeight="1" x14ac:dyDescent="0.2">
      <c r="A67" s="283"/>
      <c r="B67" s="91"/>
      <c r="C67" s="91"/>
      <c r="D67" s="90"/>
      <c r="E67" s="91"/>
      <c r="F67" s="89"/>
      <c r="G67" s="1705"/>
      <c r="H67" s="1693"/>
      <c r="I67" s="1693"/>
      <c r="J67" s="1697"/>
      <c r="K67" s="1496"/>
      <c r="L67" s="1286"/>
      <c r="M67" s="1697"/>
      <c r="N67" s="1693"/>
      <c r="O67" s="1699"/>
      <c r="P67" s="1697"/>
      <c r="Q67" s="1708"/>
      <c r="R67" s="1295"/>
      <c r="S67" s="1693"/>
      <c r="T67" s="1181">
        <f>170092678-815624.39</f>
        <v>169277053.61000001</v>
      </c>
      <c r="U67" s="1181"/>
      <c r="V67" s="1181"/>
      <c r="W67" s="1179" t="s">
        <v>1365</v>
      </c>
      <c r="X67" s="1180" t="s">
        <v>1366</v>
      </c>
      <c r="Y67" s="1580"/>
      <c r="Z67" s="1580"/>
      <c r="AA67" s="1580"/>
      <c r="AB67" s="1580"/>
      <c r="AC67" s="1580"/>
      <c r="AD67" s="1580"/>
      <c r="AE67" s="1580"/>
      <c r="AF67" s="1580"/>
      <c r="AG67" s="1580"/>
      <c r="AH67" s="1580"/>
      <c r="AI67" s="1580"/>
      <c r="AJ67" s="1580"/>
      <c r="AK67" s="1580"/>
      <c r="AL67" s="1580"/>
      <c r="AM67" s="1580"/>
      <c r="AN67" s="1580"/>
      <c r="AO67" s="1580"/>
      <c r="AP67" s="1580"/>
      <c r="AQ67" s="1580"/>
      <c r="AR67" s="1580"/>
      <c r="AS67" s="1580"/>
      <c r="AT67" s="1580"/>
      <c r="AU67" s="1580"/>
      <c r="AV67" s="1580"/>
      <c r="AW67" s="1580"/>
      <c r="AX67" s="1580"/>
      <c r="AY67" s="1580"/>
      <c r="AZ67" s="1580"/>
      <c r="BA67" s="1580"/>
      <c r="BB67" s="1580"/>
      <c r="BC67" s="1580"/>
      <c r="BD67" s="1580"/>
      <c r="BE67" s="1432"/>
      <c r="BF67" s="1451"/>
      <c r="BG67" s="1451"/>
      <c r="BH67" s="1696"/>
      <c r="BI67" s="1451"/>
      <c r="BJ67" s="1451"/>
      <c r="BK67" s="1317"/>
      <c r="BL67" s="1317"/>
      <c r="BM67" s="1308"/>
      <c r="BN67" s="1308"/>
      <c r="BO67" s="1301"/>
    </row>
    <row r="68" spans="1:67" s="4" customFormat="1" ht="87.75" customHeight="1" x14ac:dyDescent="0.2">
      <c r="A68" s="283"/>
      <c r="B68" s="91"/>
      <c r="C68" s="91"/>
      <c r="D68" s="90"/>
      <c r="E68" s="91"/>
      <c r="F68" s="89"/>
      <c r="G68" s="1059">
        <v>1905014</v>
      </c>
      <c r="H68" s="1046" t="s">
        <v>1074</v>
      </c>
      <c r="I68" s="1054" t="s">
        <v>1091</v>
      </c>
      <c r="J68" s="1045">
        <v>12</v>
      </c>
      <c r="K68" s="1043">
        <v>4</v>
      </c>
      <c r="L68" s="1700" t="s">
        <v>1367</v>
      </c>
      <c r="M68" s="1697" t="s">
        <v>1368</v>
      </c>
      <c r="N68" s="1693" t="s">
        <v>1369</v>
      </c>
      <c r="O68" s="742">
        <f>+T68/$P$68</f>
        <v>0.20159502611849478</v>
      </c>
      <c r="P68" s="1702">
        <f>+T68+T69</f>
        <v>223219793</v>
      </c>
      <c r="Q68" s="1693" t="s">
        <v>1370</v>
      </c>
      <c r="R68" s="1703" t="s">
        <v>1371</v>
      </c>
      <c r="S68" s="1046" t="s">
        <v>1074</v>
      </c>
      <c r="T68" s="1158">
        <v>45000000</v>
      </c>
      <c r="U68" s="1158">
        <v>26100000</v>
      </c>
      <c r="V68" s="1158">
        <v>18800000</v>
      </c>
      <c r="W68" s="1179" t="s">
        <v>1309</v>
      </c>
      <c r="X68" s="1180" t="s">
        <v>1351</v>
      </c>
      <c r="Y68" s="1578">
        <v>289394</v>
      </c>
      <c r="Z68" s="1578">
        <f>SUM(Y68*0.12)</f>
        <v>34727.279999999999</v>
      </c>
      <c r="AA68" s="1578">
        <v>279112</v>
      </c>
      <c r="AB68" s="1578">
        <f>SUM(AA68*0.12)</f>
        <v>33493.440000000002</v>
      </c>
      <c r="AC68" s="1578">
        <v>63164</v>
      </c>
      <c r="AD68" s="1578">
        <f>SUM(AC68*0.12)</f>
        <v>7579.6799999999994</v>
      </c>
      <c r="AE68" s="1578">
        <v>45607</v>
      </c>
      <c r="AF68" s="1578">
        <f>SUM(AE68*0.12)</f>
        <v>5472.84</v>
      </c>
      <c r="AG68" s="1578">
        <v>365607</v>
      </c>
      <c r="AH68" s="1578">
        <f>SUM(AG68*0.12)</f>
        <v>43872.84</v>
      </c>
      <c r="AI68" s="1578">
        <v>75612</v>
      </c>
      <c r="AJ68" s="1578">
        <f>SUM(AI68*0.12)</f>
        <v>9073.44</v>
      </c>
      <c r="AK68" s="1578">
        <v>2145</v>
      </c>
      <c r="AL68" s="1578">
        <f>SUM(AK68*0.12)</f>
        <v>257.39999999999998</v>
      </c>
      <c r="AM68" s="1578">
        <v>12718</v>
      </c>
      <c r="AN68" s="1578">
        <f>SUM(AM68*0.12)</f>
        <v>1526.1599999999999</v>
      </c>
      <c r="AO68" s="1578">
        <v>26</v>
      </c>
      <c r="AP68" s="1578">
        <f>SUM(AO68*0.12)</f>
        <v>3.12</v>
      </c>
      <c r="AQ68" s="1578">
        <v>37</v>
      </c>
      <c r="AR68" s="1578">
        <f>SUM(AQ68*0.12)</f>
        <v>4.4399999999999995</v>
      </c>
      <c r="AS68" s="1578">
        <v>0</v>
      </c>
      <c r="AT68" s="1578">
        <f>SUM(AS68*0.12)</f>
        <v>0</v>
      </c>
      <c r="AU68" s="1578">
        <v>0</v>
      </c>
      <c r="AV68" s="1578">
        <f>SUM(AU68*0.12)</f>
        <v>0</v>
      </c>
      <c r="AW68" s="1578">
        <v>78</v>
      </c>
      <c r="AX68" s="1578">
        <f>SUM(AW68*0.12)</f>
        <v>9.36</v>
      </c>
      <c r="AY68" s="1578">
        <v>16897</v>
      </c>
      <c r="AZ68" s="1578">
        <f>SUM(AY68*0.12)</f>
        <v>2027.6399999999999</v>
      </c>
      <c r="BA68" s="1578">
        <v>852</v>
      </c>
      <c r="BB68" s="1578">
        <f>SUM(BA68*0.12)</f>
        <v>102.24</v>
      </c>
      <c r="BC68" s="1578">
        <v>568506</v>
      </c>
      <c r="BD68" s="1578">
        <f>SUM(BC68*0.12)</f>
        <v>68220.72</v>
      </c>
      <c r="BE68" s="1413"/>
      <c r="BF68" s="1599">
        <f>SUM(U68:U69)</f>
        <v>26100000</v>
      </c>
      <c r="BG68" s="1599">
        <f>SUM(V68:V69)</f>
        <v>18800000</v>
      </c>
      <c r="BH68" s="1694">
        <f>SUM(BF68/P68)</f>
        <v>0.11692511514872697</v>
      </c>
      <c r="BI68" s="1449" t="s">
        <v>1204</v>
      </c>
      <c r="BJ68" s="1449" t="s">
        <v>1205</v>
      </c>
      <c r="BK68" s="1315">
        <v>43832</v>
      </c>
      <c r="BL68" s="1315">
        <v>43832</v>
      </c>
      <c r="BM68" s="1306">
        <v>44195</v>
      </c>
      <c r="BN68" s="1306">
        <v>44195</v>
      </c>
      <c r="BO68" s="1299" t="s">
        <v>1206</v>
      </c>
    </row>
    <row r="69" spans="1:67" s="4" customFormat="1" ht="103.5" customHeight="1" x14ac:dyDescent="0.2">
      <c r="A69" s="283"/>
      <c r="B69" s="91"/>
      <c r="C69" s="91"/>
      <c r="D69" s="90"/>
      <c r="E69" s="91"/>
      <c r="F69" s="89"/>
      <c r="G69" s="1059">
        <v>1905026</v>
      </c>
      <c r="H69" s="1046" t="s">
        <v>1372</v>
      </c>
      <c r="I69" s="1054" t="s">
        <v>1353</v>
      </c>
      <c r="J69" s="1045">
        <v>12</v>
      </c>
      <c r="K69" s="1043">
        <v>4</v>
      </c>
      <c r="L69" s="1701"/>
      <c r="M69" s="1697"/>
      <c r="N69" s="1693"/>
      <c r="O69" s="742">
        <f>+T69/$P$68</f>
        <v>0.79840497388150522</v>
      </c>
      <c r="P69" s="1693"/>
      <c r="Q69" s="1693"/>
      <c r="R69" s="1704"/>
      <c r="S69" s="1046" t="s">
        <v>1372</v>
      </c>
      <c r="T69" s="109">
        <f>155911553+22308240</f>
        <v>178219793</v>
      </c>
      <c r="U69" s="109"/>
      <c r="V69" s="109"/>
      <c r="W69" s="1179" t="s">
        <v>1373</v>
      </c>
      <c r="X69" s="108" t="s">
        <v>1374</v>
      </c>
      <c r="Y69" s="1580"/>
      <c r="Z69" s="1580"/>
      <c r="AA69" s="1580"/>
      <c r="AB69" s="1580"/>
      <c r="AC69" s="1580"/>
      <c r="AD69" s="1580"/>
      <c r="AE69" s="1580"/>
      <c r="AF69" s="1580"/>
      <c r="AG69" s="1580"/>
      <c r="AH69" s="1580"/>
      <c r="AI69" s="1580"/>
      <c r="AJ69" s="1580"/>
      <c r="AK69" s="1580"/>
      <c r="AL69" s="1580"/>
      <c r="AM69" s="1580"/>
      <c r="AN69" s="1580"/>
      <c r="AO69" s="1580"/>
      <c r="AP69" s="1580"/>
      <c r="AQ69" s="1580"/>
      <c r="AR69" s="1580"/>
      <c r="AS69" s="1580"/>
      <c r="AT69" s="1580"/>
      <c r="AU69" s="1580"/>
      <c r="AV69" s="1580"/>
      <c r="AW69" s="1580"/>
      <c r="AX69" s="1580"/>
      <c r="AY69" s="1580"/>
      <c r="AZ69" s="1580"/>
      <c r="BA69" s="1580"/>
      <c r="BB69" s="1580"/>
      <c r="BC69" s="1580"/>
      <c r="BD69" s="1580"/>
      <c r="BE69" s="1432"/>
      <c r="BF69" s="1451"/>
      <c r="BG69" s="1451"/>
      <c r="BH69" s="1696"/>
      <c r="BI69" s="1451"/>
      <c r="BJ69" s="1451"/>
      <c r="BK69" s="1317"/>
      <c r="BL69" s="1317"/>
      <c r="BM69" s="1308"/>
      <c r="BN69" s="1308"/>
      <c r="BO69" s="1301"/>
    </row>
    <row r="70" spans="1:67" s="4" customFormat="1" ht="86.25" customHeight="1" x14ac:dyDescent="0.2">
      <c r="A70" s="283"/>
      <c r="B70" s="91"/>
      <c r="C70" s="91"/>
      <c r="D70" s="90"/>
      <c r="E70" s="91"/>
      <c r="F70" s="89"/>
      <c r="G70" s="1059">
        <v>1905026</v>
      </c>
      <c r="H70" s="1046" t="s">
        <v>1352</v>
      </c>
      <c r="I70" s="1054" t="s">
        <v>1353</v>
      </c>
      <c r="J70" s="1045">
        <v>12</v>
      </c>
      <c r="K70" s="1043">
        <v>6</v>
      </c>
      <c r="L70" s="1182" t="s">
        <v>1375</v>
      </c>
      <c r="M70" s="1055" t="s">
        <v>1376</v>
      </c>
      <c r="N70" s="1054" t="s">
        <v>1377</v>
      </c>
      <c r="O70" s="742">
        <f>+T70/P70</f>
        <v>1</v>
      </c>
      <c r="P70" s="1165">
        <f>+T70</f>
        <v>2929870740</v>
      </c>
      <c r="Q70" s="1054" t="s">
        <v>1378</v>
      </c>
      <c r="R70" s="1048" t="s">
        <v>1379</v>
      </c>
      <c r="S70" s="1046" t="s">
        <v>1352</v>
      </c>
      <c r="T70" s="109">
        <v>2929870740</v>
      </c>
      <c r="U70" s="109">
        <v>1040213960</v>
      </c>
      <c r="V70" s="109">
        <v>559983825</v>
      </c>
      <c r="W70" s="1179" t="s">
        <v>1380</v>
      </c>
      <c r="X70" s="1183" t="s">
        <v>624</v>
      </c>
      <c r="Y70" s="512">
        <v>295972</v>
      </c>
      <c r="Z70" s="512">
        <f>Y70*0.36</f>
        <v>106549.92</v>
      </c>
      <c r="AA70" s="512">
        <v>285580</v>
      </c>
      <c r="AB70" s="512">
        <f>AA70*0.36</f>
        <v>102808.8</v>
      </c>
      <c r="AC70" s="512">
        <v>135545</v>
      </c>
      <c r="AD70" s="512">
        <f>AC70*0.36</f>
        <v>48796.2</v>
      </c>
      <c r="AE70" s="512">
        <v>44254</v>
      </c>
      <c r="AF70" s="512">
        <f>AE70*0.36</f>
        <v>15931.439999999999</v>
      </c>
      <c r="AG70" s="512">
        <v>309146</v>
      </c>
      <c r="AH70" s="512">
        <f>AG70*0.36</f>
        <v>111292.56</v>
      </c>
      <c r="AI70" s="512">
        <v>92607</v>
      </c>
      <c r="AJ70" s="512">
        <f>AI70*0.36</f>
        <v>33338.519999999997</v>
      </c>
      <c r="AK70" s="512">
        <v>2145</v>
      </c>
      <c r="AL70" s="512">
        <f>AK70*0.36</f>
        <v>772.19999999999993</v>
      </c>
      <c r="AM70" s="512">
        <v>12718</v>
      </c>
      <c r="AN70" s="512">
        <f>AM70*0.36</f>
        <v>4578.4799999999996</v>
      </c>
      <c r="AO70" s="512">
        <v>26</v>
      </c>
      <c r="AP70" s="512">
        <f>AO70*0.36</f>
        <v>9.36</v>
      </c>
      <c r="AQ70" s="512">
        <v>37</v>
      </c>
      <c r="AR70" s="512">
        <f>AQ70*0.36</f>
        <v>13.32</v>
      </c>
      <c r="AS70" s="512">
        <v>0</v>
      </c>
      <c r="AT70" s="512">
        <f>AS70*0.36</f>
        <v>0</v>
      </c>
      <c r="AU70" s="512">
        <v>0</v>
      </c>
      <c r="AV70" s="512">
        <f>AU70*0.36</f>
        <v>0</v>
      </c>
      <c r="AW70" s="512">
        <v>44350</v>
      </c>
      <c r="AX70" s="512">
        <f>AW70*0.36</f>
        <v>15966</v>
      </c>
      <c r="AY70" s="512">
        <v>21944</v>
      </c>
      <c r="AZ70" s="512">
        <f>AY70*0.36</f>
        <v>7899.84</v>
      </c>
      <c r="BA70" s="512">
        <v>75687</v>
      </c>
      <c r="BB70" s="512">
        <f>BA70*0.36</f>
        <v>27247.32</v>
      </c>
      <c r="BC70" s="512">
        <f>SUM(AC70:AI70)</f>
        <v>757572.2</v>
      </c>
      <c r="BD70" s="512">
        <f>BC70*0.36</f>
        <v>272725.99199999997</v>
      </c>
      <c r="BE70" s="817"/>
      <c r="BF70" s="512">
        <f>U70</f>
        <v>1040213960</v>
      </c>
      <c r="BG70" s="512">
        <f>V70</f>
        <v>559983825</v>
      </c>
      <c r="BH70" s="513">
        <f>SUM(BF70/P70)</f>
        <v>0.35503749220008252</v>
      </c>
      <c r="BI70" s="514" t="s">
        <v>72</v>
      </c>
      <c r="BJ70" s="512" t="s">
        <v>1287</v>
      </c>
      <c r="BK70" s="648">
        <v>43914</v>
      </c>
      <c r="BL70" s="648">
        <v>43914</v>
      </c>
      <c r="BM70" s="1184">
        <v>44195</v>
      </c>
      <c r="BN70" s="1184">
        <v>44195</v>
      </c>
      <c r="BO70" s="1054" t="s">
        <v>1206</v>
      </c>
    </row>
    <row r="71" spans="1:67" s="4" customFormat="1" ht="105" x14ac:dyDescent="0.2">
      <c r="A71" s="283"/>
      <c r="B71" s="91"/>
      <c r="C71" s="91"/>
      <c r="D71" s="90"/>
      <c r="E71" s="91"/>
      <c r="F71" s="89"/>
      <c r="G71" s="1059">
        <v>1905029</v>
      </c>
      <c r="H71" s="1046" t="s">
        <v>1381</v>
      </c>
      <c r="I71" s="1054" t="s">
        <v>1382</v>
      </c>
      <c r="J71" s="1045">
        <v>60</v>
      </c>
      <c r="K71" s="1043">
        <v>0</v>
      </c>
      <c r="L71" s="1185" t="s">
        <v>1383</v>
      </c>
      <c r="M71" s="1055" t="s">
        <v>1384</v>
      </c>
      <c r="N71" s="1054" t="s">
        <v>1385</v>
      </c>
      <c r="O71" s="742">
        <f t="shared" ref="O71:O75" si="4">+T71/P71</f>
        <v>1</v>
      </c>
      <c r="P71" s="1165">
        <f t="shared" ref="P71:P75" si="5">+T71</f>
        <v>20000000</v>
      </c>
      <c r="Q71" s="1054" t="s">
        <v>1386</v>
      </c>
      <c r="R71" s="1048" t="s">
        <v>1387</v>
      </c>
      <c r="S71" s="1046" t="s">
        <v>1381</v>
      </c>
      <c r="T71" s="1158">
        <v>20000000</v>
      </c>
      <c r="U71" s="1158"/>
      <c r="V71" s="1158"/>
      <c r="W71" s="1179" t="s">
        <v>1309</v>
      </c>
      <c r="X71" s="477" t="s">
        <v>1351</v>
      </c>
      <c r="Y71" s="1042">
        <v>292684</v>
      </c>
      <c r="Z71" s="1042">
        <f>SUM(Y71*0)</f>
        <v>0</v>
      </c>
      <c r="AA71" s="1042">
        <v>282326</v>
      </c>
      <c r="AB71" s="1042">
        <f>SUM(AA71*0)</f>
        <v>0</v>
      </c>
      <c r="AC71" s="1042">
        <v>135912</v>
      </c>
      <c r="AD71" s="1042">
        <f>SUM(AC71*0)</f>
        <v>0</v>
      </c>
      <c r="AE71" s="1042">
        <v>45122</v>
      </c>
      <c r="AF71" s="1042">
        <f>SUM(AE71*0)</f>
        <v>0</v>
      </c>
      <c r="AG71" s="1042">
        <v>307101</v>
      </c>
      <c r="AH71" s="1042">
        <f>SUM(AG71*0)</f>
        <v>0</v>
      </c>
      <c r="AI71" s="1042">
        <v>86875</v>
      </c>
      <c r="AJ71" s="1042">
        <f>SUM(AI71*0)</f>
        <v>0</v>
      </c>
      <c r="AK71" s="1042">
        <v>2145</v>
      </c>
      <c r="AL71" s="1042">
        <f>SUM(AK71*0)</f>
        <v>0</v>
      </c>
      <c r="AM71" s="1042">
        <v>12718</v>
      </c>
      <c r="AN71" s="1042">
        <f>SUM(AM71*0)</f>
        <v>0</v>
      </c>
      <c r="AO71" s="1042">
        <v>26</v>
      </c>
      <c r="AP71" s="1042">
        <f>SUM(AO71*0)</f>
        <v>0</v>
      </c>
      <c r="AQ71" s="1042">
        <v>37</v>
      </c>
      <c r="AR71" s="1042">
        <f>SUM(AQ71*0)</f>
        <v>0</v>
      </c>
      <c r="AS71" s="1042">
        <v>0</v>
      </c>
      <c r="AT71" s="1042">
        <f>SUM(AS71*0)</f>
        <v>0</v>
      </c>
      <c r="AU71" s="1042">
        <v>0</v>
      </c>
      <c r="AV71" s="1042">
        <f>SUM(AU71*0)</f>
        <v>0</v>
      </c>
      <c r="AW71" s="1042">
        <v>0</v>
      </c>
      <c r="AX71" s="1042">
        <f>SUM(AW71*0)</f>
        <v>0</v>
      </c>
      <c r="AY71" s="1042">
        <v>41.542999999999999</v>
      </c>
      <c r="AZ71" s="1042">
        <f>SUM(AY71*0)</f>
        <v>0</v>
      </c>
      <c r="BA71" s="1042">
        <v>88.56</v>
      </c>
      <c r="BB71" s="1042">
        <f>SUM(BA71*0)</f>
        <v>0</v>
      </c>
      <c r="BC71" s="1042">
        <v>575010</v>
      </c>
      <c r="BD71" s="1042">
        <f>SUM(BC71*0)</f>
        <v>0</v>
      </c>
      <c r="BE71" s="1041"/>
      <c r="BF71" s="1186">
        <v>0</v>
      </c>
      <c r="BG71" s="1186">
        <v>0</v>
      </c>
      <c r="BH71" s="1187">
        <f>SUM(BF71/P71)</f>
        <v>0</v>
      </c>
      <c r="BI71" s="1036" t="s">
        <v>1204</v>
      </c>
      <c r="BJ71" s="1036" t="s">
        <v>1205</v>
      </c>
      <c r="BK71" s="648">
        <v>43832</v>
      </c>
      <c r="BL71" s="648">
        <v>43832</v>
      </c>
      <c r="BM71" s="1184">
        <v>44195</v>
      </c>
      <c r="BN71" s="1184">
        <v>44195</v>
      </c>
      <c r="BO71" s="1054" t="s">
        <v>1206</v>
      </c>
    </row>
    <row r="72" spans="1:67" s="4" customFormat="1" ht="180" x14ac:dyDescent="0.2">
      <c r="A72" s="283"/>
      <c r="B72" s="91"/>
      <c r="C72" s="91"/>
      <c r="D72" s="90"/>
      <c r="E72" s="91"/>
      <c r="F72" s="89"/>
      <c r="G72" s="1059">
        <v>1905025</v>
      </c>
      <c r="H72" s="1046" t="s">
        <v>1388</v>
      </c>
      <c r="I72" s="1054" t="s">
        <v>1389</v>
      </c>
      <c r="J72" s="1045">
        <v>12</v>
      </c>
      <c r="K72" s="1043">
        <v>6</v>
      </c>
      <c r="L72" s="1182" t="s">
        <v>1390</v>
      </c>
      <c r="M72" s="1055" t="s">
        <v>1391</v>
      </c>
      <c r="N72" s="1054" t="s">
        <v>1392</v>
      </c>
      <c r="O72" s="742">
        <f t="shared" si="4"/>
        <v>1</v>
      </c>
      <c r="P72" s="1165">
        <f t="shared" si="5"/>
        <v>76000000</v>
      </c>
      <c r="Q72" s="1054" t="s">
        <v>1393</v>
      </c>
      <c r="R72" s="1048" t="s">
        <v>1394</v>
      </c>
      <c r="S72" s="1046" t="s">
        <v>1388</v>
      </c>
      <c r="T72" s="1158">
        <v>76000000</v>
      </c>
      <c r="U72" s="1158">
        <v>10173331</v>
      </c>
      <c r="V72" s="1158">
        <v>10173331</v>
      </c>
      <c r="W72" s="1179" t="s">
        <v>1309</v>
      </c>
      <c r="X72" s="477" t="s">
        <v>1351</v>
      </c>
      <c r="Y72" s="1051">
        <v>292684</v>
      </c>
      <c r="Z72" s="1051">
        <f>SUM(Y72*BH72)</f>
        <v>39178.568557947365</v>
      </c>
      <c r="AA72" s="1051">
        <v>282326</v>
      </c>
      <c r="AB72" s="1051">
        <f>SUM(AA72*BH72)</f>
        <v>37792.050630342106</v>
      </c>
      <c r="AC72" s="1051">
        <v>135912</v>
      </c>
      <c r="AD72" s="1051">
        <f>SUM(AC72*BH72)</f>
        <v>18193.128458842104</v>
      </c>
      <c r="AE72" s="1051">
        <v>45122</v>
      </c>
      <c r="AF72" s="1051">
        <f>SUM(AE72*BH72)</f>
        <v>6040.0137023947364</v>
      </c>
      <c r="AG72" s="1051">
        <v>0</v>
      </c>
      <c r="AH72" s="1051">
        <v>0</v>
      </c>
      <c r="AI72" s="1051">
        <v>0</v>
      </c>
      <c r="AJ72" s="1051">
        <v>0</v>
      </c>
      <c r="AK72" s="1051">
        <v>2145</v>
      </c>
      <c r="AL72" s="1051">
        <f>SUM(AK72*BH72)</f>
        <v>287.12888151315786</v>
      </c>
      <c r="AM72" s="1051">
        <v>12718</v>
      </c>
      <c r="AN72" s="1051">
        <f>SUM(AM72*BH72)</f>
        <v>1702.4266270789471</v>
      </c>
      <c r="AO72" s="1051">
        <v>26</v>
      </c>
      <c r="AP72" s="1051">
        <f>SUM(AO72*BH72)</f>
        <v>3.4803500789473683</v>
      </c>
      <c r="AQ72" s="1051">
        <v>37</v>
      </c>
      <c r="AR72" s="1051">
        <f>SUM(AQ72*BH72)</f>
        <v>4.9528058815789473</v>
      </c>
      <c r="AS72" s="1051" t="s">
        <v>960</v>
      </c>
      <c r="AT72" s="1051" t="s">
        <v>960</v>
      </c>
      <c r="AU72" s="1051" t="s">
        <v>960</v>
      </c>
      <c r="AV72" s="1051" t="s">
        <v>960</v>
      </c>
      <c r="AW72" s="1051">
        <v>53164</v>
      </c>
      <c r="AX72" s="1051">
        <f>SUM(AW72*BH72)</f>
        <v>7116.5127537368417</v>
      </c>
      <c r="AY72" s="1051">
        <v>16982</v>
      </c>
      <c r="AZ72" s="1051">
        <f>SUM(AY72*BH72)</f>
        <v>2273.2040400263159</v>
      </c>
      <c r="BA72" s="1051">
        <v>60013</v>
      </c>
      <c r="BB72" s="1051">
        <f>SUM(BA72*BH72)</f>
        <v>8033.3172803026309</v>
      </c>
      <c r="BC72" s="1051">
        <v>575010</v>
      </c>
      <c r="BD72" s="1051">
        <f>SUM(BC72*BH72)</f>
        <v>76970.619188289464</v>
      </c>
      <c r="BE72" s="1041"/>
      <c r="BF72" s="512">
        <f>U72</f>
        <v>10173331</v>
      </c>
      <c r="BG72" s="512">
        <f>V72</f>
        <v>10173331</v>
      </c>
      <c r="BH72" s="513">
        <f>SUM(BF72/P72)</f>
        <v>0.13385961842105262</v>
      </c>
      <c r="BI72" s="1036" t="s">
        <v>1204</v>
      </c>
      <c r="BJ72" s="1036" t="s">
        <v>1205</v>
      </c>
      <c r="BK72" s="648">
        <v>43832</v>
      </c>
      <c r="BL72" s="648">
        <v>43832</v>
      </c>
      <c r="BM72" s="1184">
        <v>44195</v>
      </c>
      <c r="BN72" s="1184">
        <v>44195</v>
      </c>
      <c r="BO72" s="1054" t="s">
        <v>1206</v>
      </c>
    </row>
    <row r="73" spans="1:67" s="221" customFormat="1" ht="108.75" customHeight="1" x14ac:dyDescent="0.2">
      <c r="A73" s="286"/>
      <c r="B73" s="287"/>
      <c r="C73" s="287"/>
      <c r="D73" s="468"/>
      <c r="E73" s="287"/>
      <c r="F73" s="288"/>
      <c r="G73" s="466">
        <v>1905015</v>
      </c>
      <c r="H73" s="1044" t="s">
        <v>475</v>
      </c>
      <c r="I73" s="1050" t="s">
        <v>1395</v>
      </c>
      <c r="J73" s="1043">
        <v>15</v>
      </c>
      <c r="K73" s="1043">
        <v>6</v>
      </c>
      <c r="L73" s="272" t="s">
        <v>1396</v>
      </c>
      <c r="M73" s="1043" t="s">
        <v>1254</v>
      </c>
      <c r="N73" s="1044" t="s">
        <v>1255</v>
      </c>
      <c r="O73" s="1188">
        <f>+P73/($T$31+$T$32+$T$73)</f>
        <v>0.13241985191957037</v>
      </c>
      <c r="P73" s="1189">
        <f t="shared" si="5"/>
        <v>100126107.14</v>
      </c>
      <c r="Q73" s="1190" t="s">
        <v>1256</v>
      </c>
      <c r="R73" s="1191" t="s">
        <v>1397</v>
      </c>
      <c r="S73" s="1044" t="s">
        <v>475</v>
      </c>
      <c r="T73" s="911">
        <f>100126107.49-0.35</f>
        <v>100126107.14</v>
      </c>
      <c r="U73" s="911"/>
      <c r="V73" s="911"/>
      <c r="W73" s="1192" t="s">
        <v>1398</v>
      </c>
      <c r="X73" s="1193" t="s">
        <v>1399</v>
      </c>
      <c r="Y73" s="1040">
        <v>292684</v>
      </c>
      <c r="Z73" s="1040">
        <v>0</v>
      </c>
      <c r="AA73" s="1040">
        <v>282326</v>
      </c>
      <c r="AB73" s="1040">
        <v>0</v>
      </c>
      <c r="AC73" s="1040">
        <v>135912</v>
      </c>
      <c r="AD73" s="1040">
        <v>0</v>
      </c>
      <c r="AE73" s="1040">
        <v>45122</v>
      </c>
      <c r="AF73" s="1040">
        <v>0</v>
      </c>
      <c r="AG73" s="1040">
        <v>365607</v>
      </c>
      <c r="AH73" s="1040">
        <v>0</v>
      </c>
      <c r="AI73" s="1040">
        <v>75612</v>
      </c>
      <c r="AJ73" s="1040">
        <v>0</v>
      </c>
      <c r="AK73" s="1040">
        <v>2145</v>
      </c>
      <c r="AL73" s="1040">
        <v>0</v>
      </c>
      <c r="AM73" s="1040">
        <v>12718</v>
      </c>
      <c r="AN73" s="1040">
        <v>0</v>
      </c>
      <c r="AO73" s="1040">
        <v>26</v>
      </c>
      <c r="AP73" s="1040">
        <v>0</v>
      </c>
      <c r="AQ73" s="1040">
        <v>37</v>
      </c>
      <c r="AR73" s="1040">
        <v>0</v>
      </c>
      <c r="AS73" s="1040" t="s">
        <v>960</v>
      </c>
      <c r="AT73" s="1040" t="s">
        <v>960</v>
      </c>
      <c r="AU73" s="1040" t="s">
        <v>960</v>
      </c>
      <c r="AV73" s="1040" t="s">
        <v>960</v>
      </c>
      <c r="AW73" s="1040">
        <v>53164</v>
      </c>
      <c r="AX73" s="1040">
        <v>0</v>
      </c>
      <c r="AY73" s="1040">
        <v>16982</v>
      </c>
      <c r="AZ73" s="1040">
        <v>0</v>
      </c>
      <c r="BA73" s="1040">
        <v>60013</v>
      </c>
      <c r="BB73" s="1040">
        <v>0</v>
      </c>
      <c r="BC73" s="1040">
        <v>575010</v>
      </c>
      <c r="BD73" s="1040">
        <v>0</v>
      </c>
      <c r="BE73" s="1041"/>
      <c r="BF73" s="1194">
        <v>0</v>
      </c>
      <c r="BG73" s="1194">
        <v>0</v>
      </c>
      <c r="BH73" s="1195">
        <f>SUM(BF73/P73)</f>
        <v>0</v>
      </c>
      <c r="BI73" s="1041"/>
      <c r="BJ73" s="1041" t="s">
        <v>1205</v>
      </c>
      <c r="BK73" s="648">
        <v>43832</v>
      </c>
      <c r="BL73" s="648">
        <v>43832</v>
      </c>
      <c r="BM73" s="1184">
        <v>44195</v>
      </c>
      <c r="BN73" s="1184">
        <v>44195</v>
      </c>
      <c r="BO73" s="1044" t="s">
        <v>1206</v>
      </c>
    </row>
    <row r="74" spans="1:67" s="4" customFormat="1" ht="118.5" customHeight="1" x14ac:dyDescent="0.2">
      <c r="A74" s="283"/>
      <c r="B74" s="91"/>
      <c r="C74" s="91"/>
      <c r="D74" s="90"/>
      <c r="E74" s="91"/>
      <c r="F74" s="89"/>
      <c r="G74" s="1059" t="s">
        <v>62</v>
      </c>
      <c r="H74" s="1048" t="s">
        <v>1400</v>
      </c>
      <c r="I74" s="33" t="s">
        <v>1401</v>
      </c>
      <c r="J74" s="1049">
        <v>1</v>
      </c>
      <c r="K74" s="1084">
        <v>0</v>
      </c>
      <c r="L74" s="1196" t="s">
        <v>1402</v>
      </c>
      <c r="M74" s="1055" t="s">
        <v>1403</v>
      </c>
      <c r="N74" s="1054" t="s">
        <v>1404</v>
      </c>
      <c r="O74" s="742">
        <f t="shared" si="4"/>
        <v>1</v>
      </c>
      <c r="P74" s="1165">
        <f t="shared" si="5"/>
        <v>300000000</v>
      </c>
      <c r="Q74" s="1054" t="s">
        <v>1405</v>
      </c>
      <c r="R74" s="1191" t="s">
        <v>1406</v>
      </c>
      <c r="S74" s="1048" t="s">
        <v>1400</v>
      </c>
      <c r="T74" s="109">
        <f>161000000+139000000</f>
        <v>300000000</v>
      </c>
      <c r="U74" s="109">
        <v>111618484</v>
      </c>
      <c r="V74" s="109">
        <v>73990042</v>
      </c>
      <c r="W74" s="1179" t="s">
        <v>191</v>
      </c>
      <c r="X74" s="1180" t="s">
        <v>151</v>
      </c>
      <c r="Y74" s="1056">
        <v>292684</v>
      </c>
      <c r="Z74" s="1056">
        <f>SUM(Y74*0.37)</f>
        <v>108293.08</v>
      </c>
      <c r="AA74" s="1056">
        <v>282326</v>
      </c>
      <c r="AB74" s="1056">
        <f>SUM(AA74*0.37)</f>
        <v>104460.62</v>
      </c>
      <c r="AC74" s="1056">
        <v>135912</v>
      </c>
      <c r="AD74" s="1056">
        <f>SUM(AC74*0.37)</f>
        <v>50287.44</v>
      </c>
      <c r="AE74" s="1056">
        <v>45122</v>
      </c>
      <c r="AF74" s="1056">
        <f>SUM(AE74*0.37)</f>
        <v>16695.14</v>
      </c>
      <c r="AG74" s="1056">
        <v>365607</v>
      </c>
      <c r="AH74" s="1056">
        <f>SUM(AG74*0.37)</f>
        <v>135274.59</v>
      </c>
      <c r="AI74" s="1056">
        <v>86875</v>
      </c>
      <c r="AJ74" s="1056">
        <f>SUM(AI74*0.37)</f>
        <v>32143.75</v>
      </c>
      <c r="AK74" s="1056">
        <v>2145</v>
      </c>
      <c r="AL74" s="1056">
        <f>SUM(AK74*0.37)</f>
        <v>793.65</v>
      </c>
      <c r="AM74" s="1056">
        <v>12718</v>
      </c>
      <c r="AN74" s="1056">
        <f>SUM(AM74*0.37)</f>
        <v>4705.66</v>
      </c>
      <c r="AO74" s="1056">
        <v>26</v>
      </c>
      <c r="AP74" s="1056">
        <f>SUM(AO74*0.37)</f>
        <v>9.6199999999999992</v>
      </c>
      <c r="AQ74" s="1056">
        <v>37</v>
      </c>
      <c r="AR74" s="1056">
        <f>SUM(AQ74*0.37)</f>
        <v>13.69</v>
      </c>
      <c r="AS74" s="1056" t="s">
        <v>960</v>
      </c>
      <c r="AT74" s="1056" t="s">
        <v>960</v>
      </c>
      <c r="AU74" s="1056" t="s">
        <v>960</v>
      </c>
      <c r="AV74" s="1056" t="s">
        <v>960</v>
      </c>
      <c r="AW74" s="1056">
        <v>53164</v>
      </c>
      <c r="AX74" s="1056">
        <f>SUM(AW74*0.37)</f>
        <v>19670.68</v>
      </c>
      <c r="AY74" s="1056">
        <v>16982</v>
      </c>
      <c r="AZ74" s="1056">
        <f>SUM(AY74*0.37)</f>
        <v>6283.34</v>
      </c>
      <c r="BA74" s="1056">
        <v>60013</v>
      </c>
      <c r="BB74" s="1056">
        <f>SUM(BA74*0.37)</f>
        <v>22204.81</v>
      </c>
      <c r="BC74" s="1056">
        <v>575010</v>
      </c>
      <c r="BD74" s="1056">
        <f>SUM(BC74*0.37)</f>
        <v>212753.7</v>
      </c>
      <c r="BE74" s="1044"/>
      <c r="BF74" s="512">
        <f>U74</f>
        <v>111618484</v>
      </c>
      <c r="BG74" s="512">
        <f>V74</f>
        <v>73990042</v>
      </c>
      <c r="BH74" s="513">
        <f>SUM(BF74/T74)</f>
        <v>0.37206161333333332</v>
      </c>
      <c r="BI74" s="1054" t="s">
        <v>72</v>
      </c>
      <c r="BJ74" s="1054" t="s">
        <v>1267</v>
      </c>
      <c r="BK74" s="648">
        <v>43832</v>
      </c>
      <c r="BL74" s="648">
        <v>43832</v>
      </c>
      <c r="BM74" s="1184">
        <v>44195</v>
      </c>
      <c r="BN74" s="1184">
        <v>44195</v>
      </c>
      <c r="BO74" s="1054" t="s">
        <v>1206</v>
      </c>
    </row>
    <row r="75" spans="1:67" s="4" customFormat="1" ht="120" x14ac:dyDescent="0.2">
      <c r="A75" s="283"/>
      <c r="B75" s="91"/>
      <c r="C75" s="91"/>
      <c r="D75" s="102"/>
      <c r="E75" s="103"/>
      <c r="F75" s="104"/>
      <c r="G75" s="1176">
        <v>1905031</v>
      </c>
      <c r="H75" s="1046" t="s">
        <v>1301</v>
      </c>
      <c r="I75" s="1054" t="s">
        <v>1302</v>
      </c>
      <c r="J75" s="1045">
        <v>12</v>
      </c>
      <c r="K75" s="1043">
        <v>9</v>
      </c>
      <c r="L75" s="1182" t="s">
        <v>1407</v>
      </c>
      <c r="M75" s="1055" t="s">
        <v>1408</v>
      </c>
      <c r="N75" s="1054" t="s">
        <v>1409</v>
      </c>
      <c r="O75" s="742">
        <f t="shared" si="4"/>
        <v>1</v>
      </c>
      <c r="P75" s="1165">
        <f t="shared" si="5"/>
        <v>1400126107.49</v>
      </c>
      <c r="Q75" s="1054" t="s">
        <v>1410</v>
      </c>
      <c r="R75" s="1048" t="s">
        <v>1411</v>
      </c>
      <c r="S75" s="1046" t="s">
        <v>1301</v>
      </c>
      <c r="T75" s="1158">
        <f>1300000000+100126107.49</f>
        <v>1400126107.49</v>
      </c>
      <c r="U75" s="1158">
        <v>436818666</v>
      </c>
      <c r="V75" s="1158">
        <v>19632666</v>
      </c>
      <c r="W75" s="1179" t="s">
        <v>1412</v>
      </c>
      <c r="X75" s="1183" t="s">
        <v>1413</v>
      </c>
      <c r="Y75" s="1051">
        <v>289394</v>
      </c>
      <c r="Z75" s="1051">
        <f>SUM(Y75*0.31)</f>
        <v>89712.14</v>
      </c>
      <c r="AA75" s="1051">
        <v>279112</v>
      </c>
      <c r="AB75" s="1051">
        <f>SUM(AA75*0.31)</f>
        <v>86524.72</v>
      </c>
      <c r="AC75" s="1051">
        <v>63164</v>
      </c>
      <c r="AD75" s="1051">
        <f>SUM(AC75*0.31)</f>
        <v>19580.84</v>
      </c>
      <c r="AE75" s="1051">
        <v>45607</v>
      </c>
      <c r="AF75" s="1051">
        <f>SUM(AE75*0.31)</f>
        <v>14138.17</v>
      </c>
      <c r="AG75" s="1051">
        <v>365607</v>
      </c>
      <c r="AH75" s="1051">
        <f>SUM(AG75*0.31)</f>
        <v>113338.17</v>
      </c>
      <c r="AI75" s="1051">
        <v>75612</v>
      </c>
      <c r="AJ75" s="1051">
        <f>SUM(AI75*0.31)</f>
        <v>23439.72</v>
      </c>
      <c r="AK75" s="1051">
        <v>2145</v>
      </c>
      <c r="AL75" s="1051">
        <f>SUM(AK75*0.31)</f>
        <v>664.95</v>
      </c>
      <c r="AM75" s="1051">
        <v>12718</v>
      </c>
      <c r="AN75" s="1051">
        <f>SUM(AM75*0.31)</f>
        <v>3942.58</v>
      </c>
      <c r="AO75" s="1051">
        <v>26</v>
      </c>
      <c r="AP75" s="1051">
        <f>SUM(AO75*0.31)</f>
        <v>8.06</v>
      </c>
      <c r="AQ75" s="1051">
        <v>37</v>
      </c>
      <c r="AR75" s="1051">
        <f>SUM(AQ75*0.31)</f>
        <v>11.47</v>
      </c>
      <c r="AS75" s="1051">
        <v>0</v>
      </c>
      <c r="AT75" s="1051">
        <f>SUM(AS75*0.31)</f>
        <v>0</v>
      </c>
      <c r="AU75" s="1051">
        <v>0</v>
      </c>
      <c r="AV75" s="1051">
        <f>SUM(AU75*0.31)</f>
        <v>0</v>
      </c>
      <c r="AW75" s="1051">
        <v>78</v>
      </c>
      <c r="AX75" s="1051">
        <f>SUM(AW75*0.31)</f>
        <v>24.18</v>
      </c>
      <c r="AY75" s="1051">
        <v>16897</v>
      </c>
      <c r="AZ75" s="1051">
        <f>SUM(AY75*0.31)</f>
        <v>5238.07</v>
      </c>
      <c r="BA75" s="1051">
        <v>852</v>
      </c>
      <c r="BB75" s="1051">
        <f>SUM(BA75*0.31)</f>
        <v>264.12</v>
      </c>
      <c r="BC75" s="1051">
        <v>568506</v>
      </c>
      <c r="BD75" s="1051">
        <f>SUM(BC75*0.31)</f>
        <v>176236.86</v>
      </c>
      <c r="BE75" s="1041"/>
      <c r="BF75" s="512">
        <f>U75</f>
        <v>436818666</v>
      </c>
      <c r="BG75" s="512">
        <f>V75</f>
        <v>19632666</v>
      </c>
      <c r="BH75" s="513">
        <f>SUM(BF75/T75)</f>
        <v>0.31198523023264163</v>
      </c>
      <c r="BI75" s="1036" t="s">
        <v>1204</v>
      </c>
      <c r="BJ75" s="1036" t="s">
        <v>1205</v>
      </c>
      <c r="BK75" s="648">
        <v>43832</v>
      </c>
      <c r="BL75" s="648">
        <v>43832</v>
      </c>
      <c r="BM75" s="1184">
        <v>44195</v>
      </c>
      <c r="BN75" s="1184">
        <v>44195</v>
      </c>
      <c r="BO75" s="1054" t="s">
        <v>1206</v>
      </c>
    </row>
    <row r="76" spans="1:67" s="4" customFormat="1" ht="19.5" customHeight="1" x14ac:dyDescent="0.2">
      <c r="A76" s="902"/>
      <c r="B76" s="698"/>
      <c r="C76" s="903"/>
      <c r="D76" s="904">
        <v>13</v>
      </c>
      <c r="E76" s="905" t="s">
        <v>167</v>
      </c>
      <c r="F76" s="906"/>
      <c r="G76" s="947"/>
      <c r="H76" s="450"/>
      <c r="I76" s="450"/>
      <c r="J76" s="450"/>
      <c r="K76" s="1197"/>
      <c r="L76" s="1197"/>
      <c r="M76" s="947"/>
      <c r="N76" s="1198"/>
      <c r="O76" s="1199"/>
      <c r="P76" s="1200"/>
      <c r="Q76" s="1201"/>
      <c r="R76" s="1198"/>
      <c r="S76" s="450"/>
      <c r="T76" s="450"/>
      <c r="U76" s="450"/>
      <c r="V76" s="450"/>
      <c r="W76" s="1202"/>
      <c r="X76" s="1203"/>
      <c r="Y76" s="1200"/>
      <c r="Z76" s="1200"/>
      <c r="AA76" s="1200"/>
      <c r="AB76" s="1200"/>
      <c r="AC76" s="1200"/>
      <c r="AD76" s="1200"/>
      <c r="AE76" s="1200"/>
      <c r="AF76" s="1200"/>
      <c r="AG76" s="1200"/>
      <c r="AH76" s="1200"/>
      <c r="AI76" s="1200"/>
      <c r="AJ76" s="1200"/>
      <c r="AK76" s="1200"/>
      <c r="AL76" s="1200"/>
      <c r="AM76" s="1200"/>
      <c r="AN76" s="1200"/>
      <c r="AO76" s="1200"/>
      <c r="AP76" s="1200"/>
      <c r="AQ76" s="1200"/>
      <c r="AR76" s="1200"/>
      <c r="AS76" s="1200"/>
      <c r="AT76" s="1200"/>
      <c r="AU76" s="1200"/>
      <c r="AV76" s="1200"/>
      <c r="AW76" s="1200"/>
      <c r="AX76" s="1200"/>
      <c r="AY76" s="1200"/>
      <c r="AZ76" s="1200"/>
      <c r="BA76" s="1200"/>
      <c r="BB76" s="1200"/>
      <c r="BC76" s="1200"/>
      <c r="BD76" s="1200"/>
      <c r="BE76" s="1200"/>
      <c r="BF76" s="1200"/>
      <c r="BG76" s="1200"/>
      <c r="BH76" s="1200"/>
      <c r="BI76" s="1201"/>
      <c r="BJ76" s="1200"/>
      <c r="BK76" s="1200"/>
      <c r="BL76" s="1200"/>
      <c r="BM76" s="1200"/>
      <c r="BN76" s="1200"/>
      <c r="BO76" s="1204"/>
    </row>
    <row r="77" spans="1:67" s="4" customFormat="1" ht="105" customHeight="1" x14ac:dyDescent="0.2">
      <c r="A77" s="283"/>
      <c r="B77" s="91"/>
      <c r="C77" s="91"/>
      <c r="D77" s="885"/>
      <c r="E77" s="330"/>
      <c r="F77" s="331"/>
      <c r="G77" s="1059">
        <v>1906032</v>
      </c>
      <c r="H77" s="1054" t="s">
        <v>1414</v>
      </c>
      <c r="I77" s="1054" t="s">
        <v>1415</v>
      </c>
      <c r="J77" s="1055">
        <v>1500</v>
      </c>
      <c r="K77" s="1040">
        <v>750</v>
      </c>
      <c r="L77" s="1042"/>
      <c r="M77" s="1697" t="s">
        <v>1416</v>
      </c>
      <c r="N77" s="1693" t="s">
        <v>1417</v>
      </c>
      <c r="O77" s="1057">
        <f>+T77/P77</f>
        <v>0</v>
      </c>
      <c r="P77" s="1698">
        <f>+T77+T78+T79</f>
        <v>21660622878.040001</v>
      </c>
      <c r="Q77" s="1693" t="s">
        <v>1418</v>
      </c>
      <c r="R77" s="1293" t="s">
        <v>1419</v>
      </c>
      <c r="S77" s="1054" t="s">
        <v>1414</v>
      </c>
      <c r="T77" s="1181">
        <v>0</v>
      </c>
      <c r="U77" s="1181"/>
      <c r="V77" s="1181"/>
      <c r="W77" s="1179"/>
      <c r="X77" s="1048"/>
      <c r="Y77" s="1578">
        <v>292684</v>
      </c>
      <c r="Z77" s="1578">
        <f>SUM(Y77*0.92)</f>
        <v>269269.28000000003</v>
      </c>
      <c r="AA77" s="1578">
        <v>282326</v>
      </c>
      <c r="AB77" s="1578">
        <f>SUM(AA77*0.92)</f>
        <v>259739.92</v>
      </c>
      <c r="AC77" s="1578">
        <v>135912</v>
      </c>
      <c r="AD77" s="1578">
        <f>SUM(AC77*0.92)</f>
        <v>125039.04000000001</v>
      </c>
      <c r="AE77" s="1578">
        <v>45122</v>
      </c>
      <c r="AF77" s="1578">
        <f>SUM(AE77*0.92)</f>
        <v>41512.240000000005</v>
      </c>
      <c r="AG77" s="1578">
        <v>365607</v>
      </c>
      <c r="AH77" s="1578">
        <f>SUM(AG77*0.92)</f>
        <v>336358.44</v>
      </c>
      <c r="AI77" s="1578">
        <v>75612</v>
      </c>
      <c r="AJ77" s="1578">
        <f>SUM(AI77*0.92)</f>
        <v>69563.040000000008</v>
      </c>
      <c r="AK77" s="1578">
        <v>2145</v>
      </c>
      <c r="AL77" s="1578">
        <f>SUM(AK77*0.92)</f>
        <v>1973.4</v>
      </c>
      <c r="AM77" s="1578">
        <v>12718</v>
      </c>
      <c r="AN77" s="1578">
        <f>SUM(AM77*0.92)</f>
        <v>11700.560000000001</v>
      </c>
      <c r="AO77" s="1578">
        <v>26</v>
      </c>
      <c r="AP77" s="1578">
        <f>SUM(AO77*0.92)</f>
        <v>23.92</v>
      </c>
      <c r="AQ77" s="1578">
        <v>37</v>
      </c>
      <c r="AR77" s="1578">
        <f>SUM(AQ77*0.92)</f>
        <v>34.04</v>
      </c>
      <c r="AS77" s="1578" t="s">
        <v>960</v>
      </c>
      <c r="AT77" s="1578" t="s">
        <v>960</v>
      </c>
      <c r="AU77" s="1578" t="s">
        <v>960</v>
      </c>
      <c r="AV77" s="1578" t="s">
        <v>960</v>
      </c>
      <c r="AW77" s="1578">
        <v>53164</v>
      </c>
      <c r="AX77" s="1578">
        <f>SUM(AW77*0.92)</f>
        <v>48910.880000000005</v>
      </c>
      <c r="AY77" s="1578">
        <v>16982</v>
      </c>
      <c r="AZ77" s="1578">
        <f>SUM(AY77*0.92)</f>
        <v>15623.44</v>
      </c>
      <c r="BA77" s="1578">
        <v>60013</v>
      </c>
      <c r="BB77" s="1578">
        <f>SUM(BA77*0.92)</f>
        <v>55211.96</v>
      </c>
      <c r="BC77" s="1578">
        <v>575010</v>
      </c>
      <c r="BD77" s="1578">
        <f>SUM(BC77*0.92)</f>
        <v>529009.20000000007</v>
      </c>
      <c r="BE77" s="1413"/>
      <c r="BF77" s="1599">
        <f>SUM(U77:U79)</f>
        <v>19911514812</v>
      </c>
      <c r="BG77" s="1599">
        <f>SUM(V77:V79)</f>
        <v>11200000</v>
      </c>
      <c r="BH77" s="1694">
        <f>SUM(BF77/P77)</f>
        <v>0.91924941051379994</v>
      </c>
      <c r="BI77" s="1449" t="s">
        <v>1420</v>
      </c>
      <c r="BJ77" s="1449" t="s">
        <v>1267</v>
      </c>
      <c r="BK77" s="1315">
        <v>43832</v>
      </c>
      <c r="BL77" s="1315">
        <v>43832</v>
      </c>
      <c r="BM77" s="1306">
        <v>44195</v>
      </c>
      <c r="BN77" s="1306">
        <v>44195</v>
      </c>
      <c r="BO77" s="1693" t="s">
        <v>1206</v>
      </c>
    </row>
    <row r="78" spans="1:67" s="221" customFormat="1" ht="84" customHeight="1" x14ac:dyDescent="0.2">
      <c r="A78" s="286"/>
      <c r="B78" s="287"/>
      <c r="C78" s="287"/>
      <c r="D78" s="468"/>
      <c r="E78" s="287"/>
      <c r="F78" s="288"/>
      <c r="G78" s="1684" t="s">
        <v>62</v>
      </c>
      <c r="H78" s="1497" t="s">
        <v>1421</v>
      </c>
      <c r="I78" s="1497" t="s">
        <v>1422</v>
      </c>
      <c r="J78" s="1496">
        <v>19899</v>
      </c>
      <c r="K78" s="1496">
        <v>100000</v>
      </c>
      <c r="L78" s="1040" t="s">
        <v>1423</v>
      </c>
      <c r="M78" s="1697"/>
      <c r="N78" s="1693"/>
      <c r="O78" s="1682">
        <f>+(T78+T79)/P77</f>
        <v>1</v>
      </c>
      <c r="P78" s="1697"/>
      <c r="Q78" s="1693"/>
      <c r="R78" s="1294"/>
      <c r="S78" s="1497" t="s">
        <v>1421</v>
      </c>
      <c r="T78" s="1205">
        <f>21634597197+14825685-3.96</f>
        <v>21649422878.040001</v>
      </c>
      <c r="U78" s="1205">
        <f>19911514812-U79</f>
        <v>19900314812</v>
      </c>
      <c r="V78" s="1205"/>
      <c r="W78" s="1192" t="s">
        <v>1424</v>
      </c>
      <c r="X78" s="1167" t="s">
        <v>1425</v>
      </c>
      <c r="Y78" s="1579"/>
      <c r="Z78" s="1579"/>
      <c r="AA78" s="1579"/>
      <c r="AB78" s="1579"/>
      <c r="AC78" s="1579"/>
      <c r="AD78" s="1579"/>
      <c r="AE78" s="1579"/>
      <c r="AF78" s="1579"/>
      <c r="AG78" s="1579"/>
      <c r="AH78" s="1579"/>
      <c r="AI78" s="1579"/>
      <c r="AJ78" s="1579"/>
      <c r="AK78" s="1579"/>
      <c r="AL78" s="1579"/>
      <c r="AM78" s="1579"/>
      <c r="AN78" s="1579"/>
      <c r="AO78" s="1579"/>
      <c r="AP78" s="1579"/>
      <c r="AQ78" s="1579"/>
      <c r="AR78" s="1579"/>
      <c r="AS78" s="1579"/>
      <c r="AT78" s="1579"/>
      <c r="AU78" s="1579"/>
      <c r="AV78" s="1579"/>
      <c r="AW78" s="1579"/>
      <c r="AX78" s="1579"/>
      <c r="AY78" s="1579"/>
      <c r="AZ78" s="1579"/>
      <c r="BA78" s="1579"/>
      <c r="BB78" s="1579"/>
      <c r="BC78" s="1579"/>
      <c r="BD78" s="1579"/>
      <c r="BE78" s="1414"/>
      <c r="BF78" s="1450"/>
      <c r="BG78" s="1450"/>
      <c r="BH78" s="1695"/>
      <c r="BI78" s="1450"/>
      <c r="BJ78" s="1450"/>
      <c r="BK78" s="1316"/>
      <c r="BL78" s="1316"/>
      <c r="BM78" s="1307"/>
      <c r="BN78" s="1307"/>
      <c r="BO78" s="1693"/>
    </row>
    <row r="79" spans="1:67" s="221" customFormat="1" ht="61.5" customHeight="1" x14ac:dyDescent="0.2">
      <c r="A79" s="286"/>
      <c r="B79" s="287"/>
      <c r="C79" s="287"/>
      <c r="D79" s="468"/>
      <c r="E79" s="287"/>
      <c r="F79" s="288"/>
      <c r="G79" s="1684"/>
      <c r="H79" s="1497"/>
      <c r="I79" s="1497"/>
      <c r="J79" s="1496"/>
      <c r="K79" s="1496"/>
      <c r="L79" s="1043" t="s">
        <v>1426</v>
      </c>
      <c r="M79" s="1697"/>
      <c r="N79" s="1693"/>
      <c r="O79" s="1682"/>
      <c r="P79" s="1697"/>
      <c r="Q79" s="1693"/>
      <c r="R79" s="1295"/>
      <c r="S79" s="1497"/>
      <c r="T79" s="109">
        <v>11200000</v>
      </c>
      <c r="U79" s="109">
        <v>11200000</v>
      </c>
      <c r="V79" s="109">
        <v>11200000</v>
      </c>
      <c r="W79" s="1192" t="s">
        <v>1380</v>
      </c>
      <c r="X79" s="1167" t="s">
        <v>1427</v>
      </c>
      <c r="Y79" s="1580"/>
      <c r="Z79" s="1580"/>
      <c r="AA79" s="1580"/>
      <c r="AB79" s="1580"/>
      <c r="AC79" s="1580"/>
      <c r="AD79" s="1580"/>
      <c r="AE79" s="1580"/>
      <c r="AF79" s="1580"/>
      <c r="AG79" s="1580"/>
      <c r="AH79" s="1580"/>
      <c r="AI79" s="1580"/>
      <c r="AJ79" s="1580"/>
      <c r="AK79" s="1580"/>
      <c r="AL79" s="1580"/>
      <c r="AM79" s="1580"/>
      <c r="AN79" s="1580"/>
      <c r="AO79" s="1580"/>
      <c r="AP79" s="1580"/>
      <c r="AQ79" s="1580"/>
      <c r="AR79" s="1580"/>
      <c r="AS79" s="1580"/>
      <c r="AT79" s="1580"/>
      <c r="AU79" s="1580"/>
      <c r="AV79" s="1580"/>
      <c r="AW79" s="1580"/>
      <c r="AX79" s="1580"/>
      <c r="AY79" s="1580"/>
      <c r="AZ79" s="1580"/>
      <c r="BA79" s="1580"/>
      <c r="BB79" s="1580"/>
      <c r="BC79" s="1580"/>
      <c r="BD79" s="1580"/>
      <c r="BE79" s="1432"/>
      <c r="BF79" s="1451"/>
      <c r="BG79" s="1451"/>
      <c r="BH79" s="1696"/>
      <c r="BI79" s="1451"/>
      <c r="BJ79" s="1451"/>
      <c r="BK79" s="1317"/>
      <c r="BL79" s="1317"/>
      <c r="BM79" s="1308"/>
      <c r="BN79" s="1308"/>
      <c r="BO79" s="1693"/>
    </row>
    <row r="80" spans="1:67" s="221" customFormat="1" ht="52.5" customHeight="1" x14ac:dyDescent="0.2">
      <c r="A80" s="286"/>
      <c r="B80" s="287"/>
      <c r="C80" s="287"/>
      <c r="D80" s="468"/>
      <c r="E80" s="287"/>
      <c r="F80" s="288"/>
      <c r="G80" s="1684" t="s">
        <v>62</v>
      </c>
      <c r="H80" s="1497" t="s">
        <v>1428</v>
      </c>
      <c r="I80" s="1413" t="s">
        <v>1429</v>
      </c>
      <c r="J80" s="1413">
        <v>60</v>
      </c>
      <c r="K80" s="1413">
        <v>27</v>
      </c>
      <c r="L80" s="1496" t="s">
        <v>1430</v>
      </c>
      <c r="M80" s="1496" t="s">
        <v>1431</v>
      </c>
      <c r="N80" s="1497" t="s">
        <v>1432</v>
      </c>
      <c r="O80" s="1691">
        <f>+T80/$P$80</f>
        <v>0.20071017052758064</v>
      </c>
      <c r="P80" s="1683">
        <f>SUM(T80:T86)</f>
        <v>7821560282.039999</v>
      </c>
      <c r="Q80" s="1497" t="s">
        <v>1433</v>
      </c>
      <c r="R80" s="1296" t="s">
        <v>1434</v>
      </c>
      <c r="S80" s="1497" t="s">
        <v>1428</v>
      </c>
      <c r="T80" s="1688">
        <f>1530716729+39149969</f>
        <v>1569866698</v>
      </c>
      <c r="U80" s="1206"/>
      <c r="V80" s="1206"/>
      <c r="W80" s="1678" t="s">
        <v>1435</v>
      </c>
      <c r="X80" s="1689" t="s">
        <v>1436</v>
      </c>
      <c r="Y80" s="1413">
        <v>292684</v>
      </c>
      <c r="Z80" s="1413">
        <v>0</v>
      </c>
      <c r="AA80" s="1413">
        <v>282326</v>
      </c>
      <c r="AB80" s="1413">
        <v>0</v>
      </c>
      <c r="AC80" s="1413">
        <v>135912</v>
      </c>
      <c r="AD80" s="1413">
        <v>0</v>
      </c>
      <c r="AE80" s="1413">
        <v>45122</v>
      </c>
      <c r="AF80" s="1413">
        <v>0</v>
      </c>
      <c r="AG80" s="1413">
        <v>365607</v>
      </c>
      <c r="AH80" s="1413">
        <v>0</v>
      </c>
      <c r="AI80" s="1413">
        <v>75612</v>
      </c>
      <c r="AJ80" s="1413">
        <v>0</v>
      </c>
      <c r="AK80" s="1413">
        <v>2145</v>
      </c>
      <c r="AL80" s="1413">
        <v>0</v>
      </c>
      <c r="AM80" s="1413">
        <v>12718</v>
      </c>
      <c r="AN80" s="1413">
        <v>0</v>
      </c>
      <c r="AO80" s="1413">
        <v>26</v>
      </c>
      <c r="AP80" s="1413">
        <v>0</v>
      </c>
      <c r="AQ80" s="1413">
        <v>37</v>
      </c>
      <c r="AR80" s="1413">
        <v>0</v>
      </c>
      <c r="AS80" s="1413" t="s">
        <v>960</v>
      </c>
      <c r="AT80" s="1413" t="s">
        <v>960</v>
      </c>
      <c r="AU80" s="1413" t="s">
        <v>960</v>
      </c>
      <c r="AV80" s="1413" t="s">
        <v>960</v>
      </c>
      <c r="AW80" s="1413">
        <v>53164</v>
      </c>
      <c r="AX80" s="1413">
        <v>0</v>
      </c>
      <c r="AY80" s="1413">
        <v>16982</v>
      </c>
      <c r="AZ80" s="1413">
        <v>0</v>
      </c>
      <c r="BA80" s="1413">
        <v>60013</v>
      </c>
      <c r="BB80" s="1413">
        <v>0</v>
      </c>
      <c r="BC80" s="1413">
        <v>575010</v>
      </c>
      <c r="BD80" s="1413">
        <v>0</v>
      </c>
      <c r="BE80" s="1413"/>
      <c r="BF80" s="1685">
        <v>0</v>
      </c>
      <c r="BG80" s="1685">
        <v>0</v>
      </c>
      <c r="BH80" s="1675">
        <f>SUM(BF80/P80)</f>
        <v>0</v>
      </c>
      <c r="BI80" s="1413"/>
      <c r="BJ80" s="1413" t="s">
        <v>1267</v>
      </c>
      <c r="BK80" s="1315">
        <v>43832</v>
      </c>
      <c r="BL80" s="1315">
        <v>43832</v>
      </c>
      <c r="BM80" s="1315">
        <v>44195</v>
      </c>
      <c r="BN80" s="1315">
        <v>44195</v>
      </c>
      <c r="BO80" s="1497" t="s">
        <v>1206</v>
      </c>
    </row>
    <row r="81" spans="1:67" s="221" customFormat="1" ht="37.5" customHeight="1" x14ac:dyDescent="0.2">
      <c r="A81" s="286"/>
      <c r="B81" s="287"/>
      <c r="C81" s="287"/>
      <c r="D81" s="468"/>
      <c r="E81" s="287"/>
      <c r="F81" s="288"/>
      <c r="G81" s="1684"/>
      <c r="H81" s="1497"/>
      <c r="I81" s="1432"/>
      <c r="J81" s="1432"/>
      <c r="K81" s="1432"/>
      <c r="L81" s="1496"/>
      <c r="M81" s="1496"/>
      <c r="N81" s="1497"/>
      <c r="O81" s="1691"/>
      <c r="P81" s="1496"/>
      <c r="Q81" s="1497"/>
      <c r="R81" s="1297"/>
      <c r="S81" s="1497"/>
      <c r="T81" s="1688"/>
      <c r="U81" s="1207"/>
      <c r="V81" s="1207"/>
      <c r="W81" s="1679"/>
      <c r="X81" s="1690"/>
      <c r="Y81" s="1414"/>
      <c r="Z81" s="1414"/>
      <c r="AA81" s="1414"/>
      <c r="AB81" s="1414"/>
      <c r="AC81" s="1414"/>
      <c r="AD81" s="1414"/>
      <c r="AE81" s="1414"/>
      <c r="AF81" s="1414"/>
      <c r="AG81" s="1414"/>
      <c r="AH81" s="1414"/>
      <c r="AI81" s="1414"/>
      <c r="AJ81" s="1414"/>
      <c r="AK81" s="1414"/>
      <c r="AL81" s="1414"/>
      <c r="AM81" s="1414"/>
      <c r="AN81" s="1414"/>
      <c r="AO81" s="1414"/>
      <c r="AP81" s="1414"/>
      <c r="AQ81" s="1414"/>
      <c r="AR81" s="1414"/>
      <c r="AS81" s="1414"/>
      <c r="AT81" s="1414"/>
      <c r="AU81" s="1414"/>
      <c r="AV81" s="1414"/>
      <c r="AW81" s="1414"/>
      <c r="AX81" s="1414"/>
      <c r="AY81" s="1414"/>
      <c r="AZ81" s="1414"/>
      <c r="BA81" s="1414"/>
      <c r="BB81" s="1414"/>
      <c r="BC81" s="1414"/>
      <c r="BD81" s="1414"/>
      <c r="BE81" s="1414"/>
      <c r="BF81" s="1686"/>
      <c r="BG81" s="1686"/>
      <c r="BH81" s="1676"/>
      <c r="BI81" s="1414"/>
      <c r="BJ81" s="1414"/>
      <c r="BK81" s="1316"/>
      <c r="BL81" s="1316"/>
      <c r="BM81" s="1316"/>
      <c r="BN81" s="1316"/>
      <c r="BO81" s="1497"/>
    </row>
    <row r="82" spans="1:67" s="221" customFormat="1" ht="78.75" customHeight="1" x14ac:dyDescent="0.2">
      <c r="A82" s="286"/>
      <c r="B82" s="287"/>
      <c r="C82" s="287"/>
      <c r="D82" s="468"/>
      <c r="E82" s="287"/>
      <c r="F82" s="288"/>
      <c r="G82" s="466" t="s">
        <v>62</v>
      </c>
      <c r="H82" s="1044" t="s">
        <v>1437</v>
      </c>
      <c r="I82" s="1044" t="s">
        <v>1438</v>
      </c>
      <c r="J82" s="1043">
        <v>100</v>
      </c>
      <c r="K82" s="1043">
        <v>0</v>
      </c>
      <c r="L82" s="272" t="s">
        <v>1439</v>
      </c>
      <c r="M82" s="1496"/>
      <c r="N82" s="1497"/>
      <c r="O82" s="1208">
        <f>+T82/P80</f>
        <v>0.19131054534425024</v>
      </c>
      <c r="P82" s="1496"/>
      <c r="Q82" s="1497"/>
      <c r="R82" s="1297"/>
      <c r="S82" s="1044" t="s">
        <v>1437</v>
      </c>
      <c r="T82" s="1158">
        <v>1496346963</v>
      </c>
      <c r="U82" s="1158"/>
      <c r="V82" s="1158"/>
      <c r="W82" s="1192" t="s">
        <v>1440</v>
      </c>
      <c r="X82" s="1209" t="s">
        <v>1441</v>
      </c>
      <c r="Y82" s="1414"/>
      <c r="Z82" s="1414"/>
      <c r="AA82" s="1414"/>
      <c r="AB82" s="1414"/>
      <c r="AC82" s="1414"/>
      <c r="AD82" s="1414"/>
      <c r="AE82" s="1414"/>
      <c r="AF82" s="1414"/>
      <c r="AG82" s="1414"/>
      <c r="AH82" s="1414"/>
      <c r="AI82" s="1414"/>
      <c r="AJ82" s="1414"/>
      <c r="AK82" s="1414"/>
      <c r="AL82" s="1414"/>
      <c r="AM82" s="1414"/>
      <c r="AN82" s="1414"/>
      <c r="AO82" s="1414"/>
      <c r="AP82" s="1414"/>
      <c r="AQ82" s="1414"/>
      <c r="AR82" s="1414"/>
      <c r="AS82" s="1414"/>
      <c r="AT82" s="1414"/>
      <c r="AU82" s="1414"/>
      <c r="AV82" s="1414"/>
      <c r="AW82" s="1414"/>
      <c r="AX82" s="1414"/>
      <c r="AY82" s="1414"/>
      <c r="AZ82" s="1414"/>
      <c r="BA82" s="1414"/>
      <c r="BB82" s="1414"/>
      <c r="BC82" s="1414"/>
      <c r="BD82" s="1414"/>
      <c r="BE82" s="1414"/>
      <c r="BF82" s="1686"/>
      <c r="BG82" s="1686"/>
      <c r="BH82" s="1676"/>
      <c r="BI82" s="1414"/>
      <c r="BJ82" s="1414"/>
      <c r="BK82" s="1316"/>
      <c r="BL82" s="1316"/>
      <c r="BM82" s="1316"/>
      <c r="BN82" s="1316"/>
      <c r="BO82" s="1497"/>
    </row>
    <row r="83" spans="1:67" s="221" customFormat="1" ht="67.5" customHeight="1" x14ac:dyDescent="0.2">
      <c r="A83" s="286"/>
      <c r="B83" s="287"/>
      <c r="C83" s="287"/>
      <c r="D83" s="468"/>
      <c r="E83" s="287"/>
      <c r="F83" s="288"/>
      <c r="G83" s="1684" t="s">
        <v>62</v>
      </c>
      <c r="H83" s="1497" t="s">
        <v>1442</v>
      </c>
      <c r="I83" s="1497" t="s">
        <v>1443</v>
      </c>
      <c r="J83" s="1496">
        <v>100</v>
      </c>
      <c r="K83" s="1496">
        <v>0</v>
      </c>
      <c r="L83" s="1084" t="s">
        <v>1444</v>
      </c>
      <c r="M83" s="1496"/>
      <c r="N83" s="1497"/>
      <c r="O83" s="1691">
        <f>+(T83+T85+T86)/$P$80</f>
        <v>0.60568899980841084</v>
      </c>
      <c r="P83" s="1496"/>
      <c r="Q83" s="1497"/>
      <c r="R83" s="1297"/>
      <c r="S83" s="1497" t="s">
        <v>1442</v>
      </c>
      <c r="T83" s="1158">
        <v>680251497</v>
      </c>
      <c r="U83" s="1158"/>
      <c r="V83" s="1158"/>
      <c r="W83" s="1192" t="s">
        <v>1445</v>
      </c>
      <c r="X83" s="1193" t="s">
        <v>1446</v>
      </c>
      <c r="Y83" s="1414"/>
      <c r="Z83" s="1414"/>
      <c r="AA83" s="1414"/>
      <c r="AB83" s="1414"/>
      <c r="AC83" s="1414"/>
      <c r="AD83" s="1414"/>
      <c r="AE83" s="1414"/>
      <c r="AF83" s="1414"/>
      <c r="AG83" s="1414"/>
      <c r="AH83" s="1414"/>
      <c r="AI83" s="1414"/>
      <c r="AJ83" s="1414"/>
      <c r="AK83" s="1414"/>
      <c r="AL83" s="1414"/>
      <c r="AM83" s="1414"/>
      <c r="AN83" s="1414"/>
      <c r="AO83" s="1414"/>
      <c r="AP83" s="1414"/>
      <c r="AQ83" s="1414"/>
      <c r="AR83" s="1414"/>
      <c r="AS83" s="1414"/>
      <c r="AT83" s="1414"/>
      <c r="AU83" s="1414"/>
      <c r="AV83" s="1414"/>
      <c r="AW83" s="1414"/>
      <c r="AX83" s="1414"/>
      <c r="AY83" s="1414"/>
      <c r="AZ83" s="1414"/>
      <c r="BA83" s="1414"/>
      <c r="BB83" s="1414"/>
      <c r="BC83" s="1414"/>
      <c r="BD83" s="1414"/>
      <c r="BE83" s="1414"/>
      <c r="BF83" s="1686"/>
      <c r="BG83" s="1686"/>
      <c r="BH83" s="1676"/>
      <c r="BI83" s="1414"/>
      <c r="BJ83" s="1414"/>
      <c r="BK83" s="1316"/>
      <c r="BL83" s="1316"/>
      <c r="BM83" s="1316"/>
      <c r="BN83" s="1316"/>
      <c r="BO83" s="1497"/>
    </row>
    <row r="84" spans="1:67" s="221" customFormat="1" ht="67.5" customHeight="1" x14ac:dyDescent="0.2">
      <c r="A84" s="286"/>
      <c r="B84" s="287"/>
      <c r="C84" s="287"/>
      <c r="D84" s="468"/>
      <c r="E84" s="287"/>
      <c r="F84" s="288"/>
      <c r="G84" s="1684"/>
      <c r="H84" s="1497"/>
      <c r="I84" s="1497"/>
      <c r="J84" s="1496"/>
      <c r="K84" s="1496"/>
      <c r="L84" s="1052"/>
      <c r="M84" s="1496"/>
      <c r="N84" s="1497"/>
      <c r="O84" s="1691"/>
      <c r="P84" s="1496"/>
      <c r="Q84" s="1497"/>
      <c r="R84" s="1297"/>
      <c r="S84" s="1497"/>
      <c r="T84" s="1158">
        <v>17913596.870000001</v>
      </c>
      <c r="U84" s="1158"/>
      <c r="V84" s="1158"/>
      <c r="W84" s="1192" t="s">
        <v>1447</v>
      </c>
      <c r="X84" s="1209" t="s">
        <v>1448</v>
      </c>
      <c r="Y84" s="1414"/>
      <c r="Z84" s="1414"/>
      <c r="AA84" s="1414"/>
      <c r="AB84" s="1414"/>
      <c r="AC84" s="1414"/>
      <c r="AD84" s="1414"/>
      <c r="AE84" s="1414"/>
      <c r="AF84" s="1414"/>
      <c r="AG84" s="1414"/>
      <c r="AH84" s="1414"/>
      <c r="AI84" s="1414"/>
      <c r="AJ84" s="1414"/>
      <c r="AK84" s="1414"/>
      <c r="AL84" s="1414"/>
      <c r="AM84" s="1414"/>
      <c r="AN84" s="1414"/>
      <c r="AO84" s="1414"/>
      <c r="AP84" s="1414"/>
      <c r="AQ84" s="1414"/>
      <c r="AR84" s="1414"/>
      <c r="AS84" s="1414"/>
      <c r="AT84" s="1414"/>
      <c r="AU84" s="1414"/>
      <c r="AV84" s="1414"/>
      <c r="AW84" s="1414"/>
      <c r="AX84" s="1414"/>
      <c r="AY84" s="1414"/>
      <c r="AZ84" s="1414"/>
      <c r="BA84" s="1414"/>
      <c r="BB84" s="1414"/>
      <c r="BC84" s="1414"/>
      <c r="BD84" s="1414"/>
      <c r="BE84" s="1414"/>
      <c r="BF84" s="1686"/>
      <c r="BG84" s="1686"/>
      <c r="BH84" s="1676"/>
      <c r="BI84" s="1414"/>
      <c r="BJ84" s="1414"/>
      <c r="BK84" s="1316"/>
      <c r="BL84" s="1316"/>
      <c r="BM84" s="1316"/>
      <c r="BN84" s="1316"/>
      <c r="BO84" s="1497"/>
    </row>
    <row r="85" spans="1:67" s="221" customFormat="1" ht="67.5" customHeight="1" x14ac:dyDescent="0.2">
      <c r="A85" s="286"/>
      <c r="B85" s="287"/>
      <c r="C85" s="287"/>
      <c r="D85" s="468"/>
      <c r="E85" s="287"/>
      <c r="F85" s="288"/>
      <c r="G85" s="1684"/>
      <c r="H85" s="1497"/>
      <c r="I85" s="1497"/>
      <c r="J85" s="1496"/>
      <c r="K85" s="1496"/>
      <c r="L85" s="272" t="s">
        <v>1449</v>
      </c>
      <c r="M85" s="1496"/>
      <c r="N85" s="1497"/>
      <c r="O85" s="1691"/>
      <c r="P85" s="1496"/>
      <c r="Q85" s="1497"/>
      <c r="R85" s="1297"/>
      <c r="S85" s="1497"/>
      <c r="T85" s="911">
        <f>1200096.53+4427083.08+6409080.2+3298588097+241539752.22+428092534.45</f>
        <v>3980256643.4799995</v>
      </c>
      <c r="U85" s="911"/>
      <c r="V85" s="911"/>
      <c r="W85" s="1084" t="s">
        <v>1450</v>
      </c>
      <c r="X85" s="1209" t="s">
        <v>1451</v>
      </c>
      <c r="Y85" s="1414"/>
      <c r="Z85" s="1414"/>
      <c r="AA85" s="1414"/>
      <c r="AB85" s="1414"/>
      <c r="AC85" s="1414"/>
      <c r="AD85" s="1414"/>
      <c r="AE85" s="1414"/>
      <c r="AF85" s="1414"/>
      <c r="AG85" s="1414"/>
      <c r="AH85" s="1414"/>
      <c r="AI85" s="1414"/>
      <c r="AJ85" s="1414"/>
      <c r="AK85" s="1414"/>
      <c r="AL85" s="1414"/>
      <c r="AM85" s="1414"/>
      <c r="AN85" s="1414"/>
      <c r="AO85" s="1414"/>
      <c r="AP85" s="1414"/>
      <c r="AQ85" s="1414"/>
      <c r="AR85" s="1414"/>
      <c r="AS85" s="1414"/>
      <c r="AT85" s="1414"/>
      <c r="AU85" s="1414"/>
      <c r="AV85" s="1414"/>
      <c r="AW85" s="1414"/>
      <c r="AX85" s="1414"/>
      <c r="AY85" s="1414"/>
      <c r="AZ85" s="1414"/>
      <c r="BA85" s="1414"/>
      <c r="BB85" s="1414"/>
      <c r="BC85" s="1414"/>
      <c r="BD85" s="1414"/>
      <c r="BE85" s="1414"/>
      <c r="BF85" s="1686"/>
      <c r="BG85" s="1686"/>
      <c r="BH85" s="1676"/>
      <c r="BI85" s="1414"/>
      <c r="BJ85" s="1414"/>
      <c r="BK85" s="1316"/>
      <c r="BL85" s="1316"/>
      <c r="BM85" s="1316"/>
      <c r="BN85" s="1316"/>
      <c r="BO85" s="1497"/>
    </row>
    <row r="86" spans="1:67" s="221" customFormat="1" ht="67.5" customHeight="1" x14ac:dyDescent="0.2">
      <c r="A86" s="286"/>
      <c r="B86" s="287"/>
      <c r="C86" s="287"/>
      <c r="D86" s="468"/>
      <c r="E86" s="287"/>
      <c r="F86" s="288"/>
      <c r="G86" s="1684"/>
      <c r="H86" s="1497"/>
      <c r="I86" s="1497"/>
      <c r="J86" s="1496"/>
      <c r="K86" s="1496"/>
      <c r="L86" s="1040" t="s">
        <v>1452</v>
      </c>
      <c r="M86" s="1413"/>
      <c r="N86" s="1415"/>
      <c r="O86" s="1692"/>
      <c r="P86" s="1413"/>
      <c r="Q86" s="1415"/>
      <c r="R86" s="1298"/>
      <c r="S86" s="1415"/>
      <c r="T86" s="1174">
        <v>76924883.689999998</v>
      </c>
      <c r="U86" s="1158"/>
      <c r="V86" s="1158"/>
      <c r="W86" s="272" t="s">
        <v>1453</v>
      </c>
      <c r="X86" s="1210" t="s">
        <v>1454</v>
      </c>
      <c r="Y86" s="1432"/>
      <c r="Z86" s="1432"/>
      <c r="AA86" s="1432"/>
      <c r="AB86" s="1432"/>
      <c r="AC86" s="1432"/>
      <c r="AD86" s="1432"/>
      <c r="AE86" s="1432"/>
      <c r="AF86" s="1432"/>
      <c r="AG86" s="1432"/>
      <c r="AH86" s="1432"/>
      <c r="AI86" s="1432"/>
      <c r="AJ86" s="1432"/>
      <c r="AK86" s="1432"/>
      <c r="AL86" s="1432"/>
      <c r="AM86" s="1432"/>
      <c r="AN86" s="1432"/>
      <c r="AO86" s="1432"/>
      <c r="AP86" s="1432"/>
      <c r="AQ86" s="1432"/>
      <c r="AR86" s="1432"/>
      <c r="AS86" s="1432"/>
      <c r="AT86" s="1432"/>
      <c r="AU86" s="1432"/>
      <c r="AV86" s="1432"/>
      <c r="AW86" s="1432"/>
      <c r="AX86" s="1432"/>
      <c r="AY86" s="1432"/>
      <c r="AZ86" s="1432"/>
      <c r="BA86" s="1432"/>
      <c r="BB86" s="1432"/>
      <c r="BC86" s="1432"/>
      <c r="BD86" s="1432"/>
      <c r="BE86" s="1432"/>
      <c r="BF86" s="1687"/>
      <c r="BG86" s="1687"/>
      <c r="BH86" s="1677"/>
      <c r="BI86" s="1432"/>
      <c r="BJ86" s="1432"/>
      <c r="BK86" s="1317"/>
      <c r="BL86" s="1317"/>
      <c r="BM86" s="1317"/>
      <c r="BN86" s="1317"/>
      <c r="BO86" s="1497"/>
    </row>
    <row r="87" spans="1:67" s="221" customFormat="1" ht="62.25" customHeight="1" x14ac:dyDescent="0.2">
      <c r="A87" s="286"/>
      <c r="B87" s="287"/>
      <c r="C87" s="287"/>
      <c r="D87" s="468"/>
      <c r="E87" s="287"/>
      <c r="F87" s="288"/>
      <c r="G87" s="1684">
        <v>1906029</v>
      </c>
      <c r="H87" s="1497" t="s">
        <v>1455</v>
      </c>
      <c r="I87" s="1497" t="s">
        <v>1456</v>
      </c>
      <c r="J87" s="1496">
        <v>40</v>
      </c>
      <c r="K87" s="1496">
        <v>20</v>
      </c>
      <c r="L87" s="1084" t="s">
        <v>1457</v>
      </c>
      <c r="M87" s="1496" t="s">
        <v>1458</v>
      </c>
      <c r="N87" s="1497" t="s">
        <v>1459</v>
      </c>
      <c r="O87" s="1682">
        <v>1</v>
      </c>
      <c r="P87" s="1683">
        <f>SUM(T87:T89)</f>
        <v>617936000</v>
      </c>
      <c r="Q87" s="1497" t="s">
        <v>1460</v>
      </c>
      <c r="R87" s="1296" t="s">
        <v>1461</v>
      </c>
      <c r="S87" s="1497" t="s">
        <v>1455</v>
      </c>
      <c r="T87" s="1612">
        <v>150390000</v>
      </c>
      <c r="U87" s="1612">
        <v>5600000</v>
      </c>
      <c r="V87" s="1612">
        <v>5600000</v>
      </c>
      <c r="W87" s="1678" t="s">
        <v>631</v>
      </c>
      <c r="X87" s="1680" t="s">
        <v>1362</v>
      </c>
      <c r="Y87" s="1671">
        <v>292684</v>
      </c>
      <c r="Z87" s="1671">
        <f>SUM(Y87*0.01)</f>
        <v>2926.84</v>
      </c>
      <c r="AA87" s="1671">
        <v>282326</v>
      </c>
      <c r="AB87" s="1671">
        <f>SUM(AA87*0.01)</f>
        <v>2823.26</v>
      </c>
      <c r="AC87" s="1671">
        <v>135912</v>
      </c>
      <c r="AD87" s="1671">
        <f>SUM(AC87*0.01)</f>
        <v>1359.1200000000001</v>
      </c>
      <c r="AE87" s="1671">
        <v>45122</v>
      </c>
      <c r="AF87" s="1671">
        <f>SUM(AE87*0.01)</f>
        <v>451.22</v>
      </c>
      <c r="AG87" s="1671">
        <v>365607</v>
      </c>
      <c r="AH87" s="1671">
        <f>SUM(AG87*0.01)</f>
        <v>3656.07</v>
      </c>
      <c r="AI87" s="1671">
        <v>86875</v>
      </c>
      <c r="AJ87" s="1671">
        <f>SUM(AI87*0.01)</f>
        <v>868.75</v>
      </c>
      <c r="AK87" s="1671">
        <v>2145</v>
      </c>
      <c r="AL87" s="1671">
        <f>SUM(AK87*0.01)</f>
        <v>21.45</v>
      </c>
      <c r="AM87" s="1671">
        <v>12718</v>
      </c>
      <c r="AN87" s="1671">
        <f>SUM(AM87*0.01)</f>
        <v>127.18</v>
      </c>
      <c r="AO87" s="1671">
        <v>26</v>
      </c>
      <c r="AP87" s="1671">
        <f>SUM(AO87*0.01)</f>
        <v>0.26</v>
      </c>
      <c r="AQ87" s="1671">
        <v>37</v>
      </c>
      <c r="AR87" s="1671">
        <f>SUM(AQ87*0.01)</f>
        <v>0.37</v>
      </c>
      <c r="AS87" s="1671" t="s">
        <v>960</v>
      </c>
      <c r="AT87" s="1671" t="s">
        <v>960</v>
      </c>
      <c r="AU87" s="1671" t="s">
        <v>960</v>
      </c>
      <c r="AV87" s="1671" t="s">
        <v>960</v>
      </c>
      <c r="AW87" s="1671">
        <v>53164</v>
      </c>
      <c r="AX87" s="1671">
        <f>SUM(AW87*0.01)</f>
        <v>531.64</v>
      </c>
      <c r="AY87" s="1671">
        <v>16982</v>
      </c>
      <c r="AZ87" s="1671">
        <f>SUM(AY87*0.01)</f>
        <v>169.82</v>
      </c>
      <c r="BA87" s="1671">
        <v>60013</v>
      </c>
      <c r="BB87" s="1671">
        <f>SUM(BA87*0.01)</f>
        <v>600.13</v>
      </c>
      <c r="BC87" s="1671">
        <v>575010</v>
      </c>
      <c r="BD87" s="1671">
        <f>SUM(BC87*0.01)</f>
        <v>5750.1</v>
      </c>
      <c r="BE87" s="1413"/>
      <c r="BF87" s="1674">
        <f>SUM(U87:U89)</f>
        <v>5600000</v>
      </c>
      <c r="BG87" s="1674">
        <f>SUM(V87:V89)</f>
        <v>5600000</v>
      </c>
      <c r="BH87" s="1675">
        <f>SUM(BF87/P87)</f>
        <v>9.0624271769244712E-3</v>
      </c>
      <c r="BI87" s="1413" t="s">
        <v>72</v>
      </c>
      <c r="BJ87" s="1413" t="s">
        <v>1267</v>
      </c>
      <c r="BK87" s="1315">
        <v>43832</v>
      </c>
      <c r="BL87" s="1315">
        <v>43832</v>
      </c>
      <c r="BM87" s="1306">
        <v>44195</v>
      </c>
      <c r="BN87" s="1306">
        <v>44195</v>
      </c>
      <c r="BO87" s="1497" t="s">
        <v>1206</v>
      </c>
    </row>
    <row r="88" spans="1:67" s="221" customFormat="1" ht="81" customHeight="1" x14ac:dyDescent="0.2">
      <c r="A88" s="286"/>
      <c r="B88" s="287"/>
      <c r="C88" s="287"/>
      <c r="D88" s="468"/>
      <c r="E88" s="287"/>
      <c r="F88" s="288"/>
      <c r="G88" s="1684"/>
      <c r="H88" s="1497"/>
      <c r="I88" s="1497"/>
      <c r="J88" s="1496"/>
      <c r="K88" s="1496"/>
      <c r="L88" s="1043" t="s">
        <v>1462</v>
      </c>
      <c r="M88" s="1496"/>
      <c r="N88" s="1497"/>
      <c r="O88" s="1682"/>
      <c r="P88" s="1683"/>
      <c r="Q88" s="1497"/>
      <c r="R88" s="1297"/>
      <c r="S88" s="1497"/>
      <c r="T88" s="1613"/>
      <c r="U88" s="1613"/>
      <c r="V88" s="1613"/>
      <c r="W88" s="1679"/>
      <c r="X88" s="1681"/>
      <c r="Y88" s="1672"/>
      <c r="Z88" s="1672"/>
      <c r="AA88" s="1672"/>
      <c r="AB88" s="1672"/>
      <c r="AC88" s="1672"/>
      <c r="AD88" s="1672"/>
      <c r="AE88" s="1672"/>
      <c r="AF88" s="1672"/>
      <c r="AG88" s="1672"/>
      <c r="AH88" s="1672"/>
      <c r="AI88" s="1672"/>
      <c r="AJ88" s="1672"/>
      <c r="AK88" s="1672"/>
      <c r="AL88" s="1672"/>
      <c r="AM88" s="1672"/>
      <c r="AN88" s="1672"/>
      <c r="AO88" s="1672"/>
      <c r="AP88" s="1672"/>
      <c r="AQ88" s="1672"/>
      <c r="AR88" s="1672"/>
      <c r="AS88" s="1672"/>
      <c r="AT88" s="1672"/>
      <c r="AU88" s="1672"/>
      <c r="AV88" s="1672"/>
      <c r="AW88" s="1672"/>
      <c r="AX88" s="1672"/>
      <c r="AY88" s="1672"/>
      <c r="AZ88" s="1672"/>
      <c r="BA88" s="1672"/>
      <c r="BB88" s="1672"/>
      <c r="BC88" s="1672"/>
      <c r="BD88" s="1672"/>
      <c r="BE88" s="1414"/>
      <c r="BF88" s="1414"/>
      <c r="BG88" s="1414"/>
      <c r="BH88" s="1676"/>
      <c r="BI88" s="1414"/>
      <c r="BJ88" s="1414"/>
      <c r="BK88" s="1316"/>
      <c r="BL88" s="1316"/>
      <c r="BM88" s="1307"/>
      <c r="BN88" s="1307"/>
      <c r="BO88" s="1497"/>
    </row>
    <row r="89" spans="1:67" s="221" customFormat="1" ht="67.5" customHeight="1" x14ac:dyDescent="0.2">
      <c r="A89" s="286"/>
      <c r="B89" s="287"/>
      <c r="C89" s="287"/>
      <c r="D89" s="468"/>
      <c r="E89" s="287"/>
      <c r="F89" s="288"/>
      <c r="G89" s="1684"/>
      <c r="H89" s="1497"/>
      <c r="I89" s="1497"/>
      <c r="J89" s="1496"/>
      <c r="K89" s="1496"/>
      <c r="L89" s="1084" t="s">
        <v>1463</v>
      </c>
      <c r="M89" s="1496"/>
      <c r="N89" s="1497"/>
      <c r="O89" s="1682"/>
      <c r="P89" s="1496"/>
      <c r="Q89" s="1497"/>
      <c r="R89" s="1298"/>
      <c r="S89" s="1497"/>
      <c r="T89" s="1211">
        <v>467546000</v>
      </c>
      <c r="U89" s="1212"/>
      <c r="V89" s="1212"/>
      <c r="W89" s="1192" t="s">
        <v>1464</v>
      </c>
      <c r="X89" s="1193" t="s">
        <v>1465</v>
      </c>
      <c r="Y89" s="1673"/>
      <c r="Z89" s="1673"/>
      <c r="AA89" s="1673"/>
      <c r="AB89" s="1673"/>
      <c r="AC89" s="1673"/>
      <c r="AD89" s="1673"/>
      <c r="AE89" s="1673"/>
      <c r="AF89" s="1673"/>
      <c r="AG89" s="1673"/>
      <c r="AH89" s="1673"/>
      <c r="AI89" s="1673"/>
      <c r="AJ89" s="1673"/>
      <c r="AK89" s="1673"/>
      <c r="AL89" s="1673"/>
      <c r="AM89" s="1673"/>
      <c r="AN89" s="1673"/>
      <c r="AO89" s="1673"/>
      <c r="AP89" s="1673"/>
      <c r="AQ89" s="1673"/>
      <c r="AR89" s="1673"/>
      <c r="AS89" s="1673"/>
      <c r="AT89" s="1673"/>
      <c r="AU89" s="1673"/>
      <c r="AV89" s="1673"/>
      <c r="AW89" s="1673"/>
      <c r="AX89" s="1673"/>
      <c r="AY89" s="1673"/>
      <c r="AZ89" s="1673"/>
      <c r="BA89" s="1673"/>
      <c r="BB89" s="1673"/>
      <c r="BC89" s="1673"/>
      <c r="BD89" s="1673"/>
      <c r="BE89" s="1432"/>
      <c r="BF89" s="1432"/>
      <c r="BG89" s="1432"/>
      <c r="BH89" s="1677"/>
      <c r="BI89" s="1432"/>
      <c r="BJ89" s="1432"/>
      <c r="BK89" s="1317"/>
      <c r="BL89" s="1317"/>
      <c r="BM89" s="1308"/>
      <c r="BN89" s="1308"/>
      <c r="BO89" s="1497"/>
    </row>
    <row r="90" spans="1:67" s="4" customFormat="1" ht="24.75" customHeight="1" x14ac:dyDescent="0.2">
      <c r="A90" s="321"/>
      <c r="B90" s="103"/>
      <c r="C90" s="103"/>
      <c r="D90" s="913"/>
      <c r="E90" s="328"/>
      <c r="F90" s="329"/>
      <c r="G90" s="329"/>
      <c r="H90" s="113"/>
      <c r="I90" s="914"/>
      <c r="J90" s="114"/>
      <c r="K90" s="92"/>
      <c r="L90" s="92"/>
      <c r="M90" s="914"/>
      <c r="N90" s="113"/>
      <c r="O90" s="285"/>
      <c r="P90" s="1213">
        <f>SUM(P12:P89)</f>
        <v>40546938900.18</v>
      </c>
      <c r="Q90" s="1137"/>
      <c r="R90" s="1137"/>
      <c r="S90" s="1140"/>
      <c r="T90" s="1213">
        <f>SUM(T12:T89)</f>
        <v>40546938900.180008</v>
      </c>
      <c r="U90" s="1213">
        <f>SUM(U12:U89)</f>
        <v>22142167576</v>
      </c>
      <c r="V90" s="1213">
        <f>SUM(V12:V89)</f>
        <v>1240835921</v>
      </c>
      <c r="W90" s="1214"/>
      <c r="X90" s="1140"/>
      <c r="Y90" s="871"/>
      <c r="Z90" s="871"/>
      <c r="AA90" s="871"/>
      <c r="AB90" s="871"/>
      <c r="AC90" s="871"/>
      <c r="AD90" s="871"/>
      <c r="AE90" s="871"/>
      <c r="AF90" s="871"/>
      <c r="AG90" s="871"/>
      <c r="AH90" s="871"/>
      <c r="AI90" s="871"/>
      <c r="AJ90" s="871"/>
      <c r="AK90" s="871"/>
      <c r="AL90" s="871"/>
      <c r="AM90" s="871"/>
      <c r="AN90" s="871"/>
      <c r="AO90" s="871"/>
      <c r="AP90" s="871"/>
      <c r="AQ90" s="871"/>
      <c r="AR90" s="871"/>
      <c r="AS90" s="871"/>
      <c r="AT90" s="871"/>
      <c r="AU90" s="871"/>
      <c r="AV90" s="871"/>
      <c r="AW90" s="871"/>
      <c r="AX90" s="871"/>
      <c r="AY90" s="871"/>
      <c r="AZ90" s="871"/>
      <c r="BA90" s="871"/>
      <c r="BB90" s="871"/>
      <c r="BC90" s="871"/>
      <c r="BD90" s="871"/>
      <c r="BE90" s="871"/>
      <c r="BF90" s="1213">
        <f t="shared" ref="BF90:BG90" si="6">SUM(BF12:BF89)</f>
        <v>22142167576</v>
      </c>
      <c r="BG90" s="1213">
        <f t="shared" si="6"/>
        <v>1240835921</v>
      </c>
      <c r="BH90" s="372">
        <f>BG90/BF90</f>
        <v>5.603949643778091E-2</v>
      </c>
      <c r="BI90" s="1215"/>
      <c r="BJ90" s="871"/>
      <c r="BK90" s="648"/>
      <c r="BL90" s="648"/>
      <c r="BM90" s="123"/>
      <c r="BN90" s="123"/>
      <c r="BO90" s="124"/>
    </row>
    <row r="91" spans="1:67" s="4" customFormat="1" ht="15" x14ac:dyDescent="0.2">
      <c r="A91" s="88"/>
      <c r="H91" s="125"/>
      <c r="I91" s="841"/>
      <c r="J91" s="3"/>
      <c r="K91" s="132"/>
      <c r="L91" s="132"/>
      <c r="M91" s="841"/>
      <c r="N91" s="125"/>
      <c r="O91" s="842"/>
      <c r="P91" s="137"/>
      <c r="Q91" s="489"/>
      <c r="R91" s="489"/>
      <c r="S91" s="125"/>
      <c r="T91" s="141"/>
      <c r="U91" s="141"/>
      <c r="V91" s="141"/>
      <c r="W91" s="1216"/>
      <c r="X91" s="125"/>
      <c r="BI91" s="1217"/>
      <c r="BK91" s="651"/>
      <c r="BL91" s="651"/>
      <c r="BM91" s="135"/>
      <c r="BN91" s="135"/>
      <c r="BO91" s="136"/>
    </row>
    <row r="92" spans="1:67" ht="27" customHeight="1" x14ac:dyDescent="0.2">
      <c r="T92" s="238"/>
      <c r="U92" s="238"/>
      <c r="V92" s="238"/>
    </row>
    <row r="93" spans="1:67" ht="27" customHeight="1" x14ac:dyDescent="0.2">
      <c r="T93" s="238"/>
      <c r="U93" s="238"/>
      <c r="V93" s="238"/>
    </row>
    <row r="94" spans="1:67" ht="27" customHeight="1" x14ac:dyDescent="0.2">
      <c r="C94" s="236"/>
      <c r="D94" s="236"/>
      <c r="E94" s="236"/>
      <c r="F94" s="236"/>
      <c r="G94" s="1220"/>
    </row>
    <row r="95" spans="1:67" ht="27" customHeight="1" x14ac:dyDescent="0.25">
      <c r="C95" s="1370" t="s">
        <v>1466</v>
      </c>
      <c r="D95" s="1370"/>
      <c r="E95" s="1370"/>
      <c r="F95" s="1370"/>
      <c r="G95" s="1370"/>
    </row>
    <row r="96" spans="1:67" ht="27" customHeight="1" x14ac:dyDescent="0.25">
      <c r="C96" s="1370" t="s">
        <v>1467</v>
      </c>
      <c r="D96" s="1370"/>
      <c r="E96" s="1370"/>
      <c r="F96" s="1370"/>
      <c r="G96" s="1370"/>
    </row>
    <row r="97" spans="3:7" ht="27" customHeight="1" x14ac:dyDescent="0.2">
      <c r="C97" s="145"/>
      <c r="D97" s="224"/>
      <c r="E97" s="225"/>
      <c r="F97" s="226"/>
      <c r="G97" s="235"/>
    </row>
    <row r="98" spans="3:7" ht="27" customHeight="1" x14ac:dyDescent="0.2">
      <c r="G98" s="346"/>
    </row>
  </sheetData>
  <sheetProtection password="A60F" sheet="1" objects="1" scenarios="1"/>
  <mergeCells count="994">
    <mergeCell ref="U7:U9"/>
    <mergeCell ref="I7:I9"/>
    <mergeCell ref="J7:K8"/>
    <mergeCell ref="L7:L9"/>
    <mergeCell ref="M7:M9"/>
    <mergeCell ref="N7:N9"/>
    <mergeCell ref="O7:O9"/>
    <mergeCell ref="A1:BM4"/>
    <mergeCell ref="A5:J6"/>
    <mergeCell ref="L5:BO5"/>
    <mergeCell ref="Y6:BD6"/>
    <mergeCell ref="A7:A9"/>
    <mergeCell ref="B7:C9"/>
    <mergeCell ref="D7:D9"/>
    <mergeCell ref="E7:F9"/>
    <mergeCell ref="G7:G9"/>
    <mergeCell ref="H7:H9"/>
    <mergeCell ref="AW7:BB7"/>
    <mergeCell ref="BC7:BD8"/>
    <mergeCell ref="BE7:BJ7"/>
    <mergeCell ref="BK7:BL8"/>
    <mergeCell ref="BM7:BN8"/>
    <mergeCell ref="Y8:Z8"/>
    <mergeCell ref="AA8:AB8"/>
    <mergeCell ref="AC8:AD8"/>
    <mergeCell ref="AE8:AF8"/>
    <mergeCell ref="AG8:AH8"/>
    <mergeCell ref="Y7:AB7"/>
    <mergeCell ref="AC7:AJ7"/>
    <mergeCell ref="AK7:AV7"/>
    <mergeCell ref="AI8:AJ8"/>
    <mergeCell ref="AK8:AL8"/>
    <mergeCell ref="AM8:AN8"/>
    <mergeCell ref="AO8:AP8"/>
    <mergeCell ref="BE8:BE9"/>
    <mergeCell ref="BF8:BF9"/>
    <mergeCell ref="BG8:BG9"/>
    <mergeCell ref="BH8:BH9"/>
    <mergeCell ref="BI8:BI9"/>
    <mergeCell ref="L13:L23"/>
    <mergeCell ref="M13:M23"/>
    <mergeCell ref="N13:N23"/>
    <mergeCell ref="P13:P23"/>
    <mergeCell ref="Q13:Q23"/>
    <mergeCell ref="AQ8:AR8"/>
    <mergeCell ref="AS8:AT8"/>
    <mergeCell ref="AU8:AV8"/>
    <mergeCell ref="AW8:AX8"/>
    <mergeCell ref="AY8:AZ8"/>
    <mergeCell ref="BA8:BB8"/>
    <mergeCell ref="V7:V9"/>
    <mergeCell ref="W7:W9"/>
    <mergeCell ref="X7:X9"/>
    <mergeCell ref="P7:P9"/>
    <mergeCell ref="Q7:Q9"/>
    <mergeCell ref="R7:R9"/>
    <mergeCell ref="S7:S9"/>
    <mergeCell ref="T7:T9"/>
    <mergeCell ref="AH13:AH23"/>
    <mergeCell ref="AI13:AI23"/>
    <mergeCell ref="AJ13:AJ23"/>
    <mergeCell ref="AK13:AK23"/>
    <mergeCell ref="AL13:AL23"/>
    <mergeCell ref="AM13:AM23"/>
    <mergeCell ref="AB13:AB23"/>
    <mergeCell ref="AC13:AC23"/>
    <mergeCell ref="AD13:AD23"/>
    <mergeCell ref="AE13:AE23"/>
    <mergeCell ref="AF13:AF23"/>
    <mergeCell ref="AG13:AG23"/>
    <mergeCell ref="AV13:AV23"/>
    <mergeCell ref="AW13:AW23"/>
    <mergeCell ref="AX13:AX23"/>
    <mergeCell ref="AY13:AY23"/>
    <mergeCell ref="AN13:AN23"/>
    <mergeCell ref="AO13:AO23"/>
    <mergeCell ref="AP13:AP23"/>
    <mergeCell ref="AQ13:AQ23"/>
    <mergeCell ref="AR13:AR23"/>
    <mergeCell ref="AS13:AS23"/>
    <mergeCell ref="BL13:BL23"/>
    <mergeCell ref="BM13:BM23"/>
    <mergeCell ref="BN13:BN23"/>
    <mergeCell ref="BO13:BO22"/>
    <mergeCell ref="G15:G18"/>
    <mergeCell ref="H15:H18"/>
    <mergeCell ref="I15:I18"/>
    <mergeCell ref="J15:J18"/>
    <mergeCell ref="K15:K18"/>
    <mergeCell ref="O15:O18"/>
    <mergeCell ref="BF13:BF23"/>
    <mergeCell ref="BG13:BG23"/>
    <mergeCell ref="BH13:BH23"/>
    <mergeCell ref="BI13:BI23"/>
    <mergeCell ref="BJ13:BJ23"/>
    <mergeCell ref="BK13:BK23"/>
    <mergeCell ref="AZ13:AZ23"/>
    <mergeCell ref="BA13:BA23"/>
    <mergeCell ref="BB13:BB23"/>
    <mergeCell ref="BC13:BC23"/>
    <mergeCell ref="BD13:BD23"/>
    <mergeCell ref="BE13:BE23"/>
    <mergeCell ref="AT13:AT23"/>
    <mergeCell ref="AU13:AU23"/>
    <mergeCell ref="R24:R25"/>
    <mergeCell ref="W24:W25"/>
    <mergeCell ref="X24:X25"/>
    <mergeCell ref="Y24:Y25"/>
    <mergeCell ref="Z24:Z25"/>
    <mergeCell ref="AA24:AA25"/>
    <mergeCell ref="G22:G23"/>
    <mergeCell ref="H22:H23"/>
    <mergeCell ref="O22:O23"/>
    <mergeCell ref="S22:S23"/>
    <mergeCell ref="T22:T23"/>
    <mergeCell ref="L24:L25"/>
    <mergeCell ref="M24:M25"/>
    <mergeCell ref="N24:N25"/>
    <mergeCell ref="P24:P25"/>
    <mergeCell ref="Q24:Q25"/>
    <mergeCell ref="R13:R23"/>
    <mergeCell ref="W13:W23"/>
    <mergeCell ref="X13:X23"/>
    <mergeCell ref="Y13:Y23"/>
    <mergeCell ref="Z13:Z23"/>
    <mergeCell ref="AA13:AA23"/>
    <mergeCell ref="AH24:AH25"/>
    <mergeCell ref="AI24:AI25"/>
    <mergeCell ref="AJ24:AJ25"/>
    <mergeCell ref="AK24:AK25"/>
    <mergeCell ref="AL24:AL25"/>
    <mergeCell ref="AM24:AM25"/>
    <mergeCell ref="AB24:AB25"/>
    <mergeCell ref="AC24:AC25"/>
    <mergeCell ref="AD24:AD25"/>
    <mergeCell ref="AE24:AE25"/>
    <mergeCell ref="AF24:AF25"/>
    <mergeCell ref="AG24:AG25"/>
    <mergeCell ref="AV24:AV25"/>
    <mergeCell ref="AW24:AW25"/>
    <mergeCell ref="AX24:AX25"/>
    <mergeCell ref="AY24:AY25"/>
    <mergeCell ref="AN24:AN25"/>
    <mergeCell ref="AO24:AO25"/>
    <mergeCell ref="AP24:AP25"/>
    <mergeCell ref="AQ24:AQ25"/>
    <mergeCell ref="AR24:AR25"/>
    <mergeCell ref="AS24:AS25"/>
    <mergeCell ref="BL24:BL25"/>
    <mergeCell ref="BM24:BM25"/>
    <mergeCell ref="BN24:BN25"/>
    <mergeCell ref="BO24:BO25"/>
    <mergeCell ref="G26:G27"/>
    <mergeCell ref="H26:H27"/>
    <mergeCell ref="I26:I27"/>
    <mergeCell ref="J26:J27"/>
    <mergeCell ref="K26:K27"/>
    <mergeCell ref="L26:L30"/>
    <mergeCell ref="BF24:BF25"/>
    <mergeCell ref="BG24:BG25"/>
    <mergeCell ref="BH24:BH25"/>
    <mergeCell ref="BI24:BI25"/>
    <mergeCell ref="BJ24:BJ25"/>
    <mergeCell ref="BK24:BK25"/>
    <mergeCell ref="AZ24:AZ25"/>
    <mergeCell ref="BA24:BA25"/>
    <mergeCell ref="BB24:BB25"/>
    <mergeCell ref="BC24:BC25"/>
    <mergeCell ref="BD24:BD25"/>
    <mergeCell ref="BE24:BE25"/>
    <mergeCell ref="AT24:AT25"/>
    <mergeCell ref="AU24:AU25"/>
    <mergeCell ref="S26:S27"/>
    <mergeCell ref="W26:W30"/>
    <mergeCell ref="X26:X30"/>
    <mergeCell ref="Y26:Y30"/>
    <mergeCell ref="Z26:Z30"/>
    <mergeCell ref="AA26:AA30"/>
    <mergeCell ref="M26:M30"/>
    <mergeCell ref="N26:N30"/>
    <mergeCell ref="O26:O27"/>
    <mergeCell ref="P26:P30"/>
    <mergeCell ref="Q26:Q30"/>
    <mergeCell ref="R26:R30"/>
    <mergeCell ref="AH26:AH30"/>
    <mergeCell ref="AI26:AI30"/>
    <mergeCell ref="AJ26:AJ30"/>
    <mergeCell ref="AK26:AK30"/>
    <mergeCell ref="AL26:AL30"/>
    <mergeCell ref="AM26:AM30"/>
    <mergeCell ref="AB26:AB30"/>
    <mergeCell ref="AC26:AC30"/>
    <mergeCell ref="AD26:AD30"/>
    <mergeCell ref="AE26:AE30"/>
    <mergeCell ref="AF26:AF30"/>
    <mergeCell ref="AG26:AG30"/>
    <mergeCell ref="AW26:AW30"/>
    <mergeCell ref="AX26:AX30"/>
    <mergeCell ref="AY26:AY30"/>
    <mergeCell ref="AN26:AN30"/>
    <mergeCell ref="AO26:AO30"/>
    <mergeCell ref="AP26:AP30"/>
    <mergeCell ref="AQ26:AQ30"/>
    <mergeCell ref="AR26:AR30"/>
    <mergeCell ref="AS26:AS30"/>
    <mergeCell ref="BL26:BL30"/>
    <mergeCell ref="BM26:BM30"/>
    <mergeCell ref="BN26:BN30"/>
    <mergeCell ref="BO26:BO30"/>
    <mergeCell ref="G29:G30"/>
    <mergeCell ref="H29:H30"/>
    <mergeCell ref="O29:O30"/>
    <mergeCell ref="S29:S30"/>
    <mergeCell ref="T29:T30"/>
    <mergeCell ref="BF26:BF30"/>
    <mergeCell ref="BG26:BG30"/>
    <mergeCell ref="BH26:BH30"/>
    <mergeCell ref="BI26:BI30"/>
    <mergeCell ref="BJ26:BJ30"/>
    <mergeCell ref="BK26:BK30"/>
    <mergeCell ref="AZ26:AZ30"/>
    <mergeCell ref="BA26:BA30"/>
    <mergeCell ref="BB26:BB30"/>
    <mergeCell ref="BC26:BC30"/>
    <mergeCell ref="BD26:BD30"/>
    <mergeCell ref="BE26:BE30"/>
    <mergeCell ref="AT26:AT30"/>
    <mergeCell ref="AU26:AU30"/>
    <mergeCell ref="AV26:AV30"/>
    <mergeCell ref="M31:M32"/>
    <mergeCell ref="N31:N32"/>
    <mergeCell ref="O31:O32"/>
    <mergeCell ref="P31:P32"/>
    <mergeCell ref="Q31:Q32"/>
    <mergeCell ref="R31:R32"/>
    <mergeCell ref="G31:G32"/>
    <mergeCell ref="H31:H32"/>
    <mergeCell ref="I31:I32"/>
    <mergeCell ref="J31:J32"/>
    <mergeCell ref="K31:K32"/>
    <mergeCell ref="L31:L32"/>
    <mergeCell ref="AC31:AC32"/>
    <mergeCell ref="AD31:AD32"/>
    <mergeCell ref="AE31:AE32"/>
    <mergeCell ref="AF31:AF32"/>
    <mergeCell ref="AG31:AG32"/>
    <mergeCell ref="S31:S32"/>
    <mergeCell ref="W31:W32"/>
    <mergeCell ref="X31:X32"/>
    <mergeCell ref="Y31:Y32"/>
    <mergeCell ref="Z31:Z32"/>
    <mergeCell ref="AA31:AA32"/>
    <mergeCell ref="BN31:BN32"/>
    <mergeCell ref="BO31:BO32"/>
    <mergeCell ref="L34:L38"/>
    <mergeCell ref="M34:M38"/>
    <mergeCell ref="N34:N38"/>
    <mergeCell ref="P34:P38"/>
    <mergeCell ref="Q34:Q38"/>
    <mergeCell ref="R34:R38"/>
    <mergeCell ref="BF31:BF32"/>
    <mergeCell ref="BG31:BG32"/>
    <mergeCell ref="BH31:BH32"/>
    <mergeCell ref="BI31:BI32"/>
    <mergeCell ref="BJ31:BJ32"/>
    <mergeCell ref="BK31:BK32"/>
    <mergeCell ref="AZ31:AZ32"/>
    <mergeCell ref="BA31:BA32"/>
    <mergeCell ref="BB31:BB32"/>
    <mergeCell ref="BC31:BC32"/>
    <mergeCell ref="BD31:BD32"/>
    <mergeCell ref="BE31:BE32"/>
    <mergeCell ref="AT31:AT32"/>
    <mergeCell ref="AU31:AU32"/>
    <mergeCell ref="AV31:AV32"/>
    <mergeCell ref="AW31:AW32"/>
    <mergeCell ref="AH34:AH38"/>
    <mergeCell ref="W34:W38"/>
    <mergeCell ref="X34:X38"/>
    <mergeCell ref="Y34:Y38"/>
    <mergeCell ref="Z34:Z38"/>
    <mergeCell ref="AA34:AA38"/>
    <mergeCell ref="AB34:AB38"/>
    <mergeCell ref="BL31:BL32"/>
    <mergeCell ref="BM31:BM32"/>
    <mergeCell ref="AX31:AX32"/>
    <mergeCell ref="AY31:AY32"/>
    <mergeCell ref="AN31:AN32"/>
    <mergeCell ref="AO31:AO32"/>
    <mergeCell ref="AP31:AP32"/>
    <mergeCell ref="AQ31:AQ32"/>
    <mergeCell ref="AR31:AR32"/>
    <mergeCell ref="AS31:AS32"/>
    <mergeCell ref="AH31:AH32"/>
    <mergeCell ref="AI31:AI32"/>
    <mergeCell ref="AJ31:AJ32"/>
    <mergeCell ref="AK31:AK32"/>
    <mergeCell ref="AL31:AL32"/>
    <mergeCell ref="AM31:AM32"/>
    <mergeCell ref="AB31:AB32"/>
    <mergeCell ref="G37:G38"/>
    <mergeCell ref="H37:H38"/>
    <mergeCell ref="O37:O38"/>
    <mergeCell ref="S37:S38"/>
    <mergeCell ref="BG34:BG38"/>
    <mergeCell ref="BH34:BH38"/>
    <mergeCell ref="BI34:BI38"/>
    <mergeCell ref="BJ34:BJ38"/>
    <mergeCell ref="BK34:BK38"/>
    <mergeCell ref="BA34:BA38"/>
    <mergeCell ref="BB34:BB38"/>
    <mergeCell ref="BC34:BC38"/>
    <mergeCell ref="BD34:BD38"/>
    <mergeCell ref="BE34:BE38"/>
    <mergeCell ref="BF34:BF38"/>
    <mergeCell ref="AU34:AU38"/>
    <mergeCell ref="AV34:AV38"/>
    <mergeCell ref="AW34:AW38"/>
    <mergeCell ref="AX34:AX38"/>
    <mergeCell ref="AY34:AY38"/>
    <mergeCell ref="AZ34:AZ38"/>
    <mergeCell ref="AO34:AO38"/>
    <mergeCell ref="AP34:AP38"/>
    <mergeCell ref="AQ34:AQ38"/>
    <mergeCell ref="L39:L42"/>
    <mergeCell ref="M39:M42"/>
    <mergeCell ref="N39:N42"/>
    <mergeCell ref="P39:P42"/>
    <mergeCell ref="Q39:Q42"/>
    <mergeCell ref="R39:R42"/>
    <mergeCell ref="BM34:BM38"/>
    <mergeCell ref="BN34:BN38"/>
    <mergeCell ref="BO34:BO38"/>
    <mergeCell ref="BL34:BL38"/>
    <mergeCell ref="AR34:AR38"/>
    <mergeCell ref="AS34:AS38"/>
    <mergeCell ref="AT34:AT38"/>
    <mergeCell ref="AI34:AI38"/>
    <mergeCell ref="AJ34:AJ38"/>
    <mergeCell ref="AK34:AK38"/>
    <mergeCell ref="AL34:AL38"/>
    <mergeCell ref="AM34:AM38"/>
    <mergeCell ref="AN34:AN38"/>
    <mergeCell ref="AC34:AC38"/>
    <mergeCell ref="AD34:AD38"/>
    <mergeCell ref="AE34:AE38"/>
    <mergeCell ref="AF34:AF38"/>
    <mergeCell ref="AG34:AG38"/>
    <mergeCell ref="AE39:AE42"/>
    <mergeCell ref="AF39:AF42"/>
    <mergeCell ref="AG39:AG42"/>
    <mergeCell ref="AH39:AH42"/>
    <mergeCell ref="W39:W42"/>
    <mergeCell ref="X39:X42"/>
    <mergeCell ref="Y39:Y42"/>
    <mergeCell ref="Z39:Z42"/>
    <mergeCell ref="AA39:AA42"/>
    <mergeCell ref="AB39:AB42"/>
    <mergeCell ref="L44:L45"/>
    <mergeCell ref="M44:M45"/>
    <mergeCell ref="N44:N45"/>
    <mergeCell ref="P44:P45"/>
    <mergeCell ref="Q44:Q45"/>
    <mergeCell ref="R44:R45"/>
    <mergeCell ref="W44:W45"/>
    <mergeCell ref="BG39:BG42"/>
    <mergeCell ref="BH39:BH42"/>
    <mergeCell ref="BA39:BA42"/>
    <mergeCell ref="BB39:BB42"/>
    <mergeCell ref="BC39:BC42"/>
    <mergeCell ref="BD39:BD42"/>
    <mergeCell ref="BE39:BE42"/>
    <mergeCell ref="BF39:BF42"/>
    <mergeCell ref="AU39:AU42"/>
    <mergeCell ref="AV39:AV42"/>
    <mergeCell ref="AW39:AW42"/>
    <mergeCell ref="AX39:AX42"/>
    <mergeCell ref="AY39:AY42"/>
    <mergeCell ref="AZ39:AZ42"/>
    <mergeCell ref="AO39:AO42"/>
    <mergeCell ref="AP39:AP42"/>
    <mergeCell ref="AQ39:AQ42"/>
    <mergeCell ref="X44:X45"/>
    <mergeCell ref="Y44:Y45"/>
    <mergeCell ref="Z44:Z45"/>
    <mergeCell ref="AA44:AA45"/>
    <mergeCell ref="AB44:AB45"/>
    <mergeCell ref="AC44:AC45"/>
    <mergeCell ref="BM39:BM42"/>
    <mergeCell ref="BN39:BN42"/>
    <mergeCell ref="BO39:BO42"/>
    <mergeCell ref="BI39:BI42"/>
    <mergeCell ref="BJ39:BJ42"/>
    <mergeCell ref="BK39:BK42"/>
    <mergeCell ref="BL39:BL42"/>
    <mergeCell ref="AR39:AR42"/>
    <mergeCell ref="AS39:AS42"/>
    <mergeCell ref="AT39:AT42"/>
    <mergeCell ref="AI39:AI42"/>
    <mergeCell ref="AJ39:AJ42"/>
    <mergeCell ref="AK39:AK42"/>
    <mergeCell ref="AL39:AL42"/>
    <mergeCell ref="AM39:AM42"/>
    <mergeCell ref="AN39:AN42"/>
    <mergeCell ref="AC39:AC42"/>
    <mergeCell ref="AD39:AD42"/>
    <mergeCell ref="AJ44:AJ45"/>
    <mergeCell ref="AK44:AK45"/>
    <mergeCell ref="AL44:AL45"/>
    <mergeCell ref="AM44:AM45"/>
    <mergeCell ref="AN44:AN45"/>
    <mergeCell ref="AO44:AO45"/>
    <mergeCell ref="AD44:AD45"/>
    <mergeCell ref="AE44:AE45"/>
    <mergeCell ref="AF44:AF45"/>
    <mergeCell ref="AG44:AG45"/>
    <mergeCell ref="AH44:AH45"/>
    <mergeCell ref="AI44:AI45"/>
    <mergeCell ref="AX44:AX45"/>
    <mergeCell ref="AY44:AY45"/>
    <mergeCell ref="AZ44:AZ45"/>
    <mergeCell ref="BA44:BA45"/>
    <mergeCell ref="AP44:AP45"/>
    <mergeCell ref="AQ44:AQ45"/>
    <mergeCell ref="AR44:AR45"/>
    <mergeCell ref="AS44:AS45"/>
    <mergeCell ref="AT44:AT45"/>
    <mergeCell ref="AU44:AU45"/>
    <mergeCell ref="BN44:BN45"/>
    <mergeCell ref="BO44:BO45"/>
    <mergeCell ref="L46:L52"/>
    <mergeCell ref="M46:M52"/>
    <mergeCell ref="N46:N52"/>
    <mergeCell ref="P46:P52"/>
    <mergeCell ref="Q46:Q52"/>
    <mergeCell ref="R46:R52"/>
    <mergeCell ref="W46:W52"/>
    <mergeCell ref="X46:X52"/>
    <mergeCell ref="BH44:BH45"/>
    <mergeCell ref="BI44:BI45"/>
    <mergeCell ref="BJ44:BJ45"/>
    <mergeCell ref="BK44:BK45"/>
    <mergeCell ref="BL44:BL45"/>
    <mergeCell ref="BM44:BM45"/>
    <mergeCell ref="BB44:BB45"/>
    <mergeCell ref="BC44:BC45"/>
    <mergeCell ref="BD44:BD45"/>
    <mergeCell ref="BE44:BE45"/>
    <mergeCell ref="BF44:BF45"/>
    <mergeCell ref="BG44:BG45"/>
    <mergeCell ref="AV44:AV45"/>
    <mergeCell ref="AW44:AW45"/>
    <mergeCell ref="AE46:AE52"/>
    <mergeCell ref="AF46:AF52"/>
    <mergeCell ref="AG46:AG52"/>
    <mergeCell ref="AH46:AH52"/>
    <mergeCell ref="AI46:AI52"/>
    <mergeCell ref="AJ46:AJ52"/>
    <mergeCell ref="Y46:Y52"/>
    <mergeCell ref="Z46:Z52"/>
    <mergeCell ref="AA46:AA52"/>
    <mergeCell ref="AB46:AB52"/>
    <mergeCell ref="AC46:AC52"/>
    <mergeCell ref="AD46:AD52"/>
    <mergeCell ref="AQ46:AQ52"/>
    <mergeCell ref="AR46:AR52"/>
    <mergeCell ref="AS46:AS52"/>
    <mergeCell ref="AT46:AT52"/>
    <mergeCell ref="AU46:AU52"/>
    <mergeCell ref="AV46:AV52"/>
    <mergeCell ref="AK46:AK52"/>
    <mergeCell ref="AL46:AL52"/>
    <mergeCell ref="AM46:AM52"/>
    <mergeCell ref="AN46:AN52"/>
    <mergeCell ref="AO46:AO52"/>
    <mergeCell ref="AP46:AP52"/>
    <mergeCell ref="BE46:BE52"/>
    <mergeCell ref="BF46:BF52"/>
    <mergeCell ref="BG46:BG52"/>
    <mergeCell ref="BH46:BH52"/>
    <mergeCell ref="AW46:AW52"/>
    <mergeCell ref="AX46:AX52"/>
    <mergeCell ref="AY46:AY52"/>
    <mergeCell ref="AZ46:AZ52"/>
    <mergeCell ref="BA46:BA52"/>
    <mergeCell ref="BB46:BB52"/>
    <mergeCell ref="Z53:Z54"/>
    <mergeCell ref="AA53:AA54"/>
    <mergeCell ref="AB53:AB54"/>
    <mergeCell ref="AC53:AC54"/>
    <mergeCell ref="AD53:AD54"/>
    <mergeCell ref="AE53:AE54"/>
    <mergeCell ref="BO46:BO52"/>
    <mergeCell ref="L53:L54"/>
    <mergeCell ref="M53:M54"/>
    <mergeCell ref="N53:N54"/>
    <mergeCell ref="P53:P54"/>
    <mergeCell ref="Q53:Q54"/>
    <mergeCell ref="R53:R54"/>
    <mergeCell ref="W53:W54"/>
    <mergeCell ref="X53:X54"/>
    <mergeCell ref="Y53:Y54"/>
    <mergeCell ref="BI46:BI52"/>
    <mergeCell ref="BJ46:BJ52"/>
    <mergeCell ref="BK46:BK52"/>
    <mergeCell ref="BL46:BL52"/>
    <mergeCell ref="BM46:BM52"/>
    <mergeCell ref="BN46:BN52"/>
    <mergeCell ref="BC46:BC52"/>
    <mergeCell ref="BD46:BD52"/>
    <mergeCell ref="AL53:AL54"/>
    <mergeCell ref="AM53:AM54"/>
    <mergeCell ref="AN53:AN54"/>
    <mergeCell ref="AO53:AO54"/>
    <mergeCell ref="AP53:AP54"/>
    <mergeCell ref="AQ53:AQ54"/>
    <mergeCell ref="AF53:AF54"/>
    <mergeCell ref="AG53:AG54"/>
    <mergeCell ref="AH53:AH54"/>
    <mergeCell ref="AI53:AI54"/>
    <mergeCell ref="AJ53:AJ54"/>
    <mergeCell ref="AK53:AK54"/>
    <mergeCell ref="AX53:AX54"/>
    <mergeCell ref="AY53:AY54"/>
    <mergeCell ref="AZ53:AZ54"/>
    <mergeCell ref="BA53:BA54"/>
    <mergeCell ref="BB53:BB54"/>
    <mergeCell ref="BC53:BC54"/>
    <mergeCell ref="AR53:AR54"/>
    <mergeCell ref="AS53:AS54"/>
    <mergeCell ref="AT53:AT54"/>
    <mergeCell ref="AU53:AU54"/>
    <mergeCell ref="AV53:AV54"/>
    <mergeCell ref="AW53:AW54"/>
    <mergeCell ref="BJ53:BJ54"/>
    <mergeCell ref="BK53:BK54"/>
    <mergeCell ref="BL53:BL54"/>
    <mergeCell ref="BM53:BM54"/>
    <mergeCell ref="BN53:BN54"/>
    <mergeCell ref="BO53:BO54"/>
    <mergeCell ref="BD53:BD54"/>
    <mergeCell ref="BE53:BE54"/>
    <mergeCell ref="BF53:BF54"/>
    <mergeCell ref="BG53:BG54"/>
    <mergeCell ref="BH53:BH54"/>
    <mergeCell ref="BI53:BI54"/>
    <mergeCell ref="W55:W57"/>
    <mergeCell ref="X55:X57"/>
    <mergeCell ref="Y55:Y57"/>
    <mergeCell ref="Z55:Z57"/>
    <mergeCell ref="AA55:AA57"/>
    <mergeCell ref="AB55:AB57"/>
    <mergeCell ref="L55:L57"/>
    <mergeCell ref="M55:M57"/>
    <mergeCell ref="N55:N57"/>
    <mergeCell ref="P55:P57"/>
    <mergeCell ref="Q55:Q57"/>
    <mergeCell ref="R55:R57"/>
    <mergeCell ref="AI55:AI57"/>
    <mergeCell ref="AJ55:AJ57"/>
    <mergeCell ref="AK55:AK57"/>
    <mergeCell ref="AL55:AL57"/>
    <mergeCell ref="AM55:AM57"/>
    <mergeCell ref="AN55:AN57"/>
    <mergeCell ref="AC55:AC57"/>
    <mergeCell ref="AD55:AD57"/>
    <mergeCell ref="AE55:AE57"/>
    <mergeCell ref="AF55:AF57"/>
    <mergeCell ref="AG55:AG57"/>
    <mergeCell ref="AH55:AH57"/>
    <mergeCell ref="AW55:AW57"/>
    <mergeCell ref="AX55:AX57"/>
    <mergeCell ref="AY55:AY57"/>
    <mergeCell ref="AZ55:AZ57"/>
    <mergeCell ref="AO55:AO57"/>
    <mergeCell ref="AP55:AP57"/>
    <mergeCell ref="AQ55:AQ57"/>
    <mergeCell ref="AR55:AR57"/>
    <mergeCell ref="AS55:AS57"/>
    <mergeCell ref="AT55:AT57"/>
    <mergeCell ref="BM55:BM57"/>
    <mergeCell ref="BN55:BN57"/>
    <mergeCell ref="BO55:BO57"/>
    <mergeCell ref="L58:L59"/>
    <mergeCell ref="M58:M59"/>
    <mergeCell ref="N58:N59"/>
    <mergeCell ref="P58:P59"/>
    <mergeCell ref="Q58:Q59"/>
    <mergeCell ref="R58:R59"/>
    <mergeCell ref="W58:W59"/>
    <mergeCell ref="BG55:BG57"/>
    <mergeCell ref="BH55:BH57"/>
    <mergeCell ref="BI55:BI57"/>
    <mergeCell ref="BJ55:BJ57"/>
    <mergeCell ref="BK55:BK57"/>
    <mergeCell ref="BL55:BL57"/>
    <mergeCell ref="BA55:BA57"/>
    <mergeCell ref="BB55:BB57"/>
    <mergeCell ref="BC55:BC57"/>
    <mergeCell ref="BD55:BD57"/>
    <mergeCell ref="BE55:BE57"/>
    <mergeCell ref="BF55:BF57"/>
    <mergeCell ref="AU55:AU57"/>
    <mergeCell ref="AV55:AV57"/>
    <mergeCell ref="AD58:AD59"/>
    <mergeCell ref="AE58:AE59"/>
    <mergeCell ref="AF58:AF59"/>
    <mergeCell ref="AG58:AG59"/>
    <mergeCell ref="AH58:AH59"/>
    <mergeCell ref="AI58:AI59"/>
    <mergeCell ref="X58:X59"/>
    <mergeCell ref="Y58:Y59"/>
    <mergeCell ref="Z58:Z59"/>
    <mergeCell ref="AA58:AA59"/>
    <mergeCell ref="AB58:AB59"/>
    <mergeCell ref="AC58:AC59"/>
    <mergeCell ref="AP58:AP59"/>
    <mergeCell ref="AQ58:AQ59"/>
    <mergeCell ref="AR58:AR59"/>
    <mergeCell ref="AS58:AS59"/>
    <mergeCell ref="AT58:AT59"/>
    <mergeCell ref="AU58:AU59"/>
    <mergeCell ref="AJ58:AJ59"/>
    <mergeCell ref="AK58:AK59"/>
    <mergeCell ref="AL58:AL59"/>
    <mergeCell ref="AM58:AM59"/>
    <mergeCell ref="AN58:AN59"/>
    <mergeCell ref="AO58:AO59"/>
    <mergeCell ref="BD58:BD59"/>
    <mergeCell ref="BE58:BE59"/>
    <mergeCell ref="BF58:BF59"/>
    <mergeCell ref="BG58:BG59"/>
    <mergeCell ref="AV58:AV59"/>
    <mergeCell ref="AW58:AW59"/>
    <mergeCell ref="AX58:AX59"/>
    <mergeCell ref="AY58:AY59"/>
    <mergeCell ref="AZ58:AZ59"/>
    <mergeCell ref="BA58:BA59"/>
    <mergeCell ref="Y60:Y62"/>
    <mergeCell ref="Z60:Z62"/>
    <mergeCell ref="AA60:AA62"/>
    <mergeCell ref="AB60:AB62"/>
    <mergeCell ref="AC60:AC62"/>
    <mergeCell ref="AD60:AD62"/>
    <mergeCell ref="BN58:BN59"/>
    <mergeCell ref="BO58:BO59"/>
    <mergeCell ref="L60:L62"/>
    <mergeCell ref="M60:M62"/>
    <mergeCell ref="N60:N62"/>
    <mergeCell ref="P60:P62"/>
    <mergeCell ref="Q60:Q62"/>
    <mergeCell ref="R60:R62"/>
    <mergeCell ref="W60:W62"/>
    <mergeCell ref="X60:X62"/>
    <mergeCell ref="BH58:BH59"/>
    <mergeCell ref="BI58:BI59"/>
    <mergeCell ref="BJ58:BJ59"/>
    <mergeCell ref="BK58:BK59"/>
    <mergeCell ref="BL58:BL59"/>
    <mergeCell ref="BM58:BM59"/>
    <mergeCell ref="BB58:BB59"/>
    <mergeCell ref="BC58:BC59"/>
    <mergeCell ref="AK60:AK62"/>
    <mergeCell ref="AL60:AL62"/>
    <mergeCell ref="AM60:AM62"/>
    <mergeCell ref="AN60:AN62"/>
    <mergeCell ref="AO60:AO62"/>
    <mergeCell ref="AP60:AP62"/>
    <mergeCell ref="AE60:AE62"/>
    <mergeCell ref="AF60:AF62"/>
    <mergeCell ref="AG60:AG62"/>
    <mergeCell ref="AH60:AH62"/>
    <mergeCell ref="AI60:AI62"/>
    <mergeCell ref="AJ60:AJ62"/>
    <mergeCell ref="AY60:AY62"/>
    <mergeCell ref="AZ60:AZ62"/>
    <mergeCell ref="BA60:BA62"/>
    <mergeCell ref="BB60:BB62"/>
    <mergeCell ref="AQ60:AQ62"/>
    <mergeCell ref="AR60:AR62"/>
    <mergeCell ref="AS60:AS62"/>
    <mergeCell ref="AT60:AT62"/>
    <mergeCell ref="AU60:AU62"/>
    <mergeCell ref="AV60:AV62"/>
    <mergeCell ref="BO60:BO62"/>
    <mergeCell ref="G63:G65"/>
    <mergeCell ref="H63:H65"/>
    <mergeCell ref="I63:I65"/>
    <mergeCell ref="J63:J65"/>
    <mergeCell ref="K63:K65"/>
    <mergeCell ref="L63:L67"/>
    <mergeCell ref="M63:M67"/>
    <mergeCell ref="N63:N67"/>
    <mergeCell ref="O63:O65"/>
    <mergeCell ref="BI60:BI62"/>
    <mergeCell ref="BJ60:BJ62"/>
    <mergeCell ref="BK60:BK62"/>
    <mergeCell ref="BL60:BL62"/>
    <mergeCell ref="BM60:BM62"/>
    <mergeCell ref="BN60:BN62"/>
    <mergeCell ref="BC60:BC62"/>
    <mergeCell ref="BD60:BD62"/>
    <mergeCell ref="BE60:BE62"/>
    <mergeCell ref="BF60:BF62"/>
    <mergeCell ref="BG60:BG62"/>
    <mergeCell ref="BH60:BH62"/>
    <mergeCell ref="AW60:AW62"/>
    <mergeCell ref="AX60:AX62"/>
    <mergeCell ref="AA63:AA67"/>
    <mergeCell ref="AB63:AB67"/>
    <mergeCell ref="AC63:AC67"/>
    <mergeCell ref="AD63:AD67"/>
    <mergeCell ref="AE63:AE67"/>
    <mergeCell ref="AF63:AF67"/>
    <mergeCell ref="P63:P67"/>
    <mergeCell ref="Q63:Q67"/>
    <mergeCell ref="R63:R67"/>
    <mergeCell ref="S63:S65"/>
    <mergeCell ref="Y63:Y67"/>
    <mergeCell ref="Z63:Z67"/>
    <mergeCell ref="BL63:BL67"/>
    <mergeCell ref="BM63:BM67"/>
    <mergeCell ref="BN63:BN67"/>
    <mergeCell ref="BO63:BO67"/>
    <mergeCell ref="G66:G67"/>
    <mergeCell ref="H66:H67"/>
    <mergeCell ref="I66:I67"/>
    <mergeCell ref="J66:J67"/>
    <mergeCell ref="K66:K67"/>
    <mergeCell ref="BE63:BE67"/>
    <mergeCell ref="BF63:BF67"/>
    <mergeCell ref="BG63:BG67"/>
    <mergeCell ref="BH63:BH67"/>
    <mergeCell ref="BI63:BI67"/>
    <mergeCell ref="BJ63:BJ67"/>
    <mergeCell ref="AY63:AY67"/>
    <mergeCell ref="AZ63:AZ67"/>
    <mergeCell ref="BA63:BA67"/>
    <mergeCell ref="BB63:BB67"/>
    <mergeCell ref="BC63:BC67"/>
    <mergeCell ref="BD63:BD67"/>
    <mergeCell ref="AS63:AS67"/>
    <mergeCell ref="AT63:AT67"/>
    <mergeCell ref="AU63:AU67"/>
    <mergeCell ref="O66:O67"/>
    <mergeCell ref="S66:S67"/>
    <mergeCell ref="L68:L69"/>
    <mergeCell ref="M68:M69"/>
    <mergeCell ref="N68:N69"/>
    <mergeCell ref="P68:P69"/>
    <mergeCell ref="Q68:Q69"/>
    <mergeCell ref="R68:R69"/>
    <mergeCell ref="BK63:BK67"/>
    <mergeCell ref="AV63:AV67"/>
    <mergeCell ref="AW63:AW67"/>
    <mergeCell ref="AX63:AX67"/>
    <mergeCell ref="AM63:AM67"/>
    <mergeCell ref="AN63:AN67"/>
    <mergeCell ref="AO63:AO67"/>
    <mergeCell ref="AP63:AP67"/>
    <mergeCell ref="AQ63:AQ67"/>
    <mergeCell ref="AR63:AR67"/>
    <mergeCell ref="AG63:AG67"/>
    <mergeCell ref="AH63:AH67"/>
    <mergeCell ref="AI63:AI67"/>
    <mergeCell ref="AJ63:AJ67"/>
    <mergeCell ref="AK63:AK67"/>
    <mergeCell ref="AL63:AL67"/>
    <mergeCell ref="AE68:AE69"/>
    <mergeCell ref="AF68:AF69"/>
    <mergeCell ref="AG68:AG69"/>
    <mergeCell ref="AH68:AH69"/>
    <mergeCell ref="AI68:AI69"/>
    <mergeCell ref="AJ68:AJ69"/>
    <mergeCell ref="Y68:Y69"/>
    <mergeCell ref="Z68:Z69"/>
    <mergeCell ref="AA68:AA69"/>
    <mergeCell ref="AB68:AB69"/>
    <mergeCell ref="AC68:AC69"/>
    <mergeCell ref="AD68:AD69"/>
    <mergeCell ref="AQ68:AQ69"/>
    <mergeCell ref="AR68:AR69"/>
    <mergeCell ref="AS68:AS69"/>
    <mergeCell ref="AT68:AT69"/>
    <mergeCell ref="AU68:AU69"/>
    <mergeCell ref="AV68:AV69"/>
    <mergeCell ref="AK68:AK69"/>
    <mergeCell ref="AL68:AL69"/>
    <mergeCell ref="AM68:AM69"/>
    <mergeCell ref="AN68:AN69"/>
    <mergeCell ref="AO68:AO69"/>
    <mergeCell ref="AP68:AP69"/>
    <mergeCell ref="BE68:BE69"/>
    <mergeCell ref="BF68:BF69"/>
    <mergeCell ref="BG68:BG69"/>
    <mergeCell ref="BH68:BH69"/>
    <mergeCell ref="AW68:AW69"/>
    <mergeCell ref="AX68:AX69"/>
    <mergeCell ref="AY68:AY69"/>
    <mergeCell ref="AZ68:AZ69"/>
    <mergeCell ref="BA68:BA69"/>
    <mergeCell ref="BB68:BB69"/>
    <mergeCell ref="AC77:AC79"/>
    <mergeCell ref="AD77:AD79"/>
    <mergeCell ref="AE77:AE79"/>
    <mergeCell ref="AF77:AF79"/>
    <mergeCell ref="AG77:AG79"/>
    <mergeCell ref="AH77:AH79"/>
    <mergeCell ref="BO68:BO69"/>
    <mergeCell ref="M77:M79"/>
    <mergeCell ref="N77:N79"/>
    <mergeCell ref="P77:P79"/>
    <mergeCell ref="Q77:Q79"/>
    <mergeCell ref="R77:R79"/>
    <mergeCell ref="Y77:Y79"/>
    <mergeCell ref="Z77:Z79"/>
    <mergeCell ref="AA77:AA79"/>
    <mergeCell ref="AB77:AB79"/>
    <mergeCell ref="BI68:BI69"/>
    <mergeCell ref="BJ68:BJ69"/>
    <mergeCell ref="BK68:BK69"/>
    <mergeCell ref="BL68:BL69"/>
    <mergeCell ref="BM68:BM69"/>
    <mergeCell ref="BN68:BN69"/>
    <mergeCell ref="BC68:BC69"/>
    <mergeCell ref="BD68:BD69"/>
    <mergeCell ref="AO77:AO79"/>
    <mergeCell ref="AP77:AP79"/>
    <mergeCell ref="AQ77:AQ79"/>
    <mergeCell ref="AR77:AR79"/>
    <mergeCell ref="AS77:AS79"/>
    <mergeCell ref="AT77:AT79"/>
    <mergeCell ref="AI77:AI79"/>
    <mergeCell ref="AJ77:AJ79"/>
    <mergeCell ref="AK77:AK79"/>
    <mergeCell ref="AL77:AL79"/>
    <mergeCell ref="AM77:AM79"/>
    <mergeCell ref="AN77:AN79"/>
    <mergeCell ref="BC77:BC79"/>
    <mergeCell ref="BD77:BD79"/>
    <mergeCell ref="BE77:BE79"/>
    <mergeCell ref="BF77:BF79"/>
    <mergeCell ref="AU77:AU79"/>
    <mergeCell ref="AV77:AV79"/>
    <mergeCell ref="AW77:AW79"/>
    <mergeCell ref="AX77:AX79"/>
    <mergeCell ref="AY77:AY79"/>
    <mergeCell ref="AZ77:AZ79"/>
    <mergeCell ref="G80:G81"/>
    <mergeCell ref="H80:H81"/>
    <mergeCell ref="I80:I81"/>
    <mergeCell ref="J80:J81"/>
    <mergeCell ref="K80:K81"/>
    <mergeCell ref="L80:L81"/>
    <mergeCell ref="BM77:BM79"/>
    <mergeCell ref="BN77:BN79"/>
    <mergeCell ref="BO77:BO79"/>
    <mergeCell ref="G78:G79"/>
    <mergeCell ref="H78:H79"/>
    <mergeCell ref="I78:I79"/>
    <mergeCell ref="J78:J79"/>
    <mergeCell ref="K78:K79"/>
    <mergeCell ref="O78:O79"/>
    <mergeCell ref="S78:S79"/>
    <mergeCell ref="BG77:BG79"/>
    <mergeCell ref="BH77:BH79"/>
    <mergeCell ref="BI77:BI79"/>
    <mergeCell ref="BJ77:BJ79"/>
    <mergeCell ref="BK77:BK79"/>
    <mergeCell ref="BL77:BL79"/>
    <mergeCell ref="BA77:BA79"/>
    <mergeCell ref="BB77:BB79"/>
    <mergeCell ref="S80:S81"/>
    <mergeCell ref="T80:T81"/>
    <mergeCell ref="W80:W81"/>
    <mergeCell ref="X80:X81"/>
    <mergeCell ref="Y80:Y86"/>
    <mergeCell ref="Z80:Z86"/>
    <mergeCell ref="S83:S86"/>
    <mergeCell ref="M80:M86"/>
    <mergeCell ref="N80:N86"/>
    <mergeCell ref="O80:O81"/>
    <mergeCell ref="P80:P86"/>
    <mergeCell ref="Q80:Q86"/>
    <mergeCell ref="R80:R86"/>
    <mergeCell ref="O83:O86"/>
    <mergeCell ref="AG80:AG86"/>
    <mergeCell ref="AH80:AH86"/>
    <mergeCell ref="AI80:AI86"/>
    <mergeCell ref="AJ80:AJ86"/>
    <mergeCell ref="AK80:AK86"/>
    <mergeCell ref="AL80:AL86"/>
    <mergeCell ref="AA80:AA86"/>
    <mergeCell ref="AB80:AB86"/>
    <mergeCell ref="AC80:AC86"/>
    <mergeCell ref="AD80:AD86"/>
    <mergeCell ref="AE80:AE86"/>
    <mergeCell ref="AF80:AF86"/>
    <mergeCell ref="AU80:AU86"/>
    <mergeCell ref="AV80:AV86"/>
    <mergeCell ref="AW80:AW86"/>
    <mergeCell ref="AX80:AX86"/>
    <mergeCell ref="AM80:AM86"/>
    <mergeCell ref="AN80:AN86"/>
    <mergeCell ref="AO80:AO86"/>
    <mergeCell ref="AP80:AP86"/>
    <mergeCell ref="AQ80:AQ86"/>
    <mergeCell ref="AR80:AR86"/>
    <mergeCell ref="BK80:BK86"/>
    <mergeCell ref="BL80:BL86"/>
    <mergeCell ref="BM80:BM86"/>
    <mergeCell ref="BN80:BN86"/>
    <mergeCell ref="BO80:BO86"/>
    <mergeCell ref="G83:G86"/>
    <mergeCell ref="H83:H86"/>
    <mergeCell ref="I83:I86"/>
    <mergeCell ref="J83:J86"/>
    <mergeCell ref="K83:K86"/>
    <mergeCell ref="BE80:BE86"/>
    <mergeCell ref="BF80:BF86"/>
    <mergeCell ref="BG80:BG86"/>
    <mergeCell ref="BH80:BH86"/>
    <mergeCell ref="BI80:BI86"/>
    <mergeCell ref="BJ80:BJ86"/>
    <mergeCell ref="AY80:AY86"/>
    <mergeCell ref="AZ80:AZ86"/>
    <mergeCell ref="BA80:BA86"/>
    <mergeCell ref="BB80:BB86"/>
    <mergeCell ref="BC80:BC86"/>
    <mergeCell ref="BD80:BD86"/>
    <mergeCell ref="AS80:AS86"/>
    <mergeCell ref="AT80:AT86"/>
    <mergeCell ref="N87:N89"/>
    <mergeCell ref="O87:O89"/>
    <mergeCell ref="P87:P89"/>
    <mergeCell ref="Q87:Q89"/>
    <mergeCell ref="R87:R89"/>
    <mergeCell ref="S87:S89"/>
    <mergeCell ref="G87:G89"/>
    <mergeCell ref="H87:H89"/>
    <mergeCell ref="I87:I89"/>
    <mergeCell ref="J87:J89"/>
    <mergeCell ref="K87:K89"/>
    <mergeCell ref="M87:M89"/>
    <mergeCell ref="Z87:Z89"/>
    <mergeCell ref="AA87:AA89"/>
    <mergeCell ref="AB87:AB89"/>
    <mergeCell ref="AC87:AC89"/>
    <mergeCell ref="AD87:AD89"/>
    <mergeCell ref="AE87:AE89"/>
    <mergeCell ref="T87:T88"/>
    <mergeCell ref="U87:U88"/>
    <mergeCell ref="V87:V88"/>
    <mergeCell ref="W87:W88"/>
    <mergeCell ref="X87:X88"/>
    <mergeCell ref="Y87:Y89"/>
    <mergeCell ref="AV87:AV89"/>
    <mergeCell ref="AW87:AW89"/>
    <mergeCell ref="AL87:AL89"/>
    <mergeCell ref="AM87:AM89"/>
    <mergeCell ref="AN87:AN89"/>
    <mergeCell ref="AO87:AO89"/>
    <mergeCell ref="AP87:AP89"/>
    <mergeCell ref="AQ87:AQ89"/>
    <mergeCell ref="AF87:AF89"/>
    <mergeCell ref="AG87:AG89"/>
    <mergeCell ref="AH87:AH89"/>
    <mergeCell ref="AI87:AI89"/>
    <mergeCell ref="AJ87:AJ89"/>
    <mergeCell ref="AK87:AK89"/>
    <mergeCell ref="C95:G95"/>
    <mergeCell ref="C96:G96"/>
    <mergeCell ref="BJ87:BJ89"/>
    <mergeCell ref="BK87:BK89"/>
    <mergeCell ref="BL87:BL89"/>
    <mergeCell ref="BM87:BM89"/>
    <mergeCell ref="BN87:BN89"/>
    <mergeCell ref="BO87:BO89"/>
    <mergeCell ref="BD87:BD89"/>
    <mergeCell ref="BE87:BE89"/>
    <mergeCell ref="BF87:BF89"/>
    <mergeCell ref="BG87:BG89"/>
    <mergeCell ref="BH87:BH89"/>
    <mergeCell ref="BI87:BI89"/>
    <mergeCell ref="AX87:AX89"/>
    <mergeCell ref="AY87:AY89"/>
    <mergeCell ref="AZ87:AZ89"/>
    <mergeCell ref="BA87:BA89"/>
    <mergeCell ref="BB87:BB89"/>
    <mergeCell ref="BC87:BC89"/>
    <mergeCell ref="AR87:AR89"/>
    <mergeCell ref="AS87:AS89"/>
    <mergeCell ref="AT87:AT89"/>
    <mergeCell ref="AU87:AU89"/>
  </mergeCells>
  <conditionalFormatting sqref="S37">
    <cfRule type="duplicateValues" dxfId="0" priority="1"/>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H31"/>
  <sheetViews>
    <sheetView showGridLines="0" zoomScale="60" zoomScaleNormal="60" workbookViewId="0">
      <selection activeCell="I12" sqref="I12"/>
    </sheetView>
  </sheetViews>
  <sheetFormatPr baseColWidth="10" defaultColWidth="11.42578125" defaultRowHeight="27" customHeight="1" x14ac:dyDescent="0.2"/>
  <cols>
    <col min="1" max="1" width="13.140625" style="222" customWidth="1"/>
    <col min="2" max="2" width="4" style="146" customWidth="1"/>
    <col min="3" max="3" width="17.140625" style="146" customWidth="1"/>
    <col min="4" max="4" width="13.5703125" style="146" customWidth="1"/>
    <col min="5" max="5" width="10" style="146" customWidth="1"/>
    <col min="6" max="6" width="14.5703125" style="146" customWidth="1"/>
    <col min="7" max="7" width="14.85546875" style="146" customWidth="1"/>
    <col min="8" max="8" width="35.28515625" style="225" customWidth="1"/>
    <col min="9" max="9" width="37.28515625" style="145" customWidth="1"/>
    <col min="10" max="11" width="24.28515625" style="145" customWidth="1"/>
    <col min="12" max="12" width="34.7109375" style="224" customWidth="1"/>
    <col min="13" max="13" width="21.85546875" style="224" customWidth="1"/>
    <col min="14" max="14" width="41.5703125" style="225" customWidth="1"/>
    <col min="15" max="15" width="15.5703125" style="226" customWidth="1"/>
    <col min="16" max="16" width="29.85546875" style="227" customWidth="1"/>
    <col min="17" max="17" width="47.5703125" style="225" customWidth="1"/>
    <col min="18" max="18" width="47.42578125" style="225" customWidth="1"/>
    <col min="19" max="19" width="38.5703125" style="225" customWidth="1"/>
    <col min="20" max="22" width="26.5703125" style="235" customWidth="1"/>
    <col min="23" max="23" width="17.85546875" style="229" customWidth="1"/>
    <col min="24" max="24" width="29" style="230" customWidth="1"/>
    <col min="25" max="26" width="11.5703125" style="146" customWidth="1"/>
    <col min="27" max="28" width="12" style="146" customWidth="1"/>
    <col min="29" max="30" width="11" style="146" customWidth="1"/>
    <col min="31" max="32" width="10.140625" style="146" customWidth="1"/>
    <col min="33" max="34" width="11.7109375" style="146" customWidth="1"/>
    <col min="35" max="54" width="10.7109375" style="146" customWidth="1"/>
    <col min="55" max="56" width="12" style="146" customWidth="1"/>
    <col min="57" max="57" width="19.5703125" style="146" customWidth="1"/>
    <col min="58" max="59" width="24" style="146" customWidth="1"/>
    <col min="60" max="60" width="20.85546875" style="146" customWidth="1"/>
    <col min="61" max="61" width="19.85546875" style="146" customWidth="1"/>
    <col min="62" max="62" width="18.42578125" style="146" customWidth="1"/>
    <col min="63" max="64" width="16.42578125" style="652" customWidth="1"/>
    <col min="65" max="66" width="20.85546875" style="232" customWidth="1"/>
    <col min="67" max="67" width="28.28515625" style="233" customWidth="1"/>
    <col min="68" max="68" width="18.5703125" style="146" customWidth="1"/>
    <col min="69" max="69" width="18" style="146" customWidth="1"/>
    <col min="70" max="16384" width="11.42578125" style="146"/>
  </cols>
  <sheetData>
    <row r="1" spans="1:86" ht="18" customHeight="1" x14ac:dyDescent="0.2">
      <c r="A1" s="1318" t="s">
        <v>867</v>
      </c>
      <c r="B1" s="1318"/>
      <c r="C1" s="1318"/>
      <c r="D1" s="1318"/>
      <c r="E1" s="1318"/>
      <c r="F1" s="1318"/>
      <c r="G1" s="1318"/>
      <c r="H1" s="1318"/>
      <c r="I1" s="1318"/>
      <c r="J1" s="1318"/>
      <c r="K1" s="1318"/>
      <c r="L1" s="1318"/>
      <c r="M1" s="1318"/>
      <c r="N1" s="1318"/>
      <c r="O1" s="1318"/>
      <c r="P1" s="1318"/>
      <c r="Q1" s="1318"/>
      <c r="R1" s="1318"/>
      <c r="S1" s="1318"/>
      <c r="T1" s="1318"/>
      <c r="U1" s="1318"/>
      <c r="V1" s="1318"/>
      <c r="W1" s="1318"/>
      <c r="X1" s="1318"/>
      <c r="Y1" s="1318"/>
      <c r="Z1" s="1318"/>
      <c r="AA1" s="1318"/>
      <c r="AB1" s="1318"/>
      <c r="AC1" s="1318"/>
      <c r="AD1" s="1318"/>
      <c r="AE1" s="1318"/>
      <c r="AF1" s="1318"/>
      <c r="AG1" s="1318"/>
      <c r="AH1" s="1318"/>
      <c r="AI1" s="1318"/>
      <c r="AJ1" s="1318"/>
      <c r="AK1" s="1318"/>
      <c r="AL1" s="1318"/>
      <c r="AM1" s="1318"/>
      <c r="AN1" s="1318"/>
      <c r="AO1" s="1318"/>
      <c r="AP1" s="1318"/>
      <c r="AQ1" s="1318"/>
      <c r="AR1" s="1318"/>
      <c r="AS1" s="1318"/>
      <c r="AT1" s="1318"/>
      <c r="AU1" s="1318"/>
      <c r="AV1" s="1318"/>
      <c r="AW1" s="1318"/>
      <c r="AX1" s="1318"/>
      <c r="AY1" s="1318"/>
      <c r="AZ1" s="1318"/>
      <c r="BA1" s="1318"/>
      <c r="BB1" s="1318"/>
      <c r="BC1" s="1318"/>
      <c r="BD1" s="1318"/>
      <c r="BE1" s="1318"/>
      <c r="BF1" s="1318"/>
      <c r="BG1" s="1318"/>
      <c r="BH1" s="1318"/>
      <c r="BI1" s="1318"/>
      <c r="BJ1" s="1318"/>
      <c r="BK1" s="1318"/>
      <c r="BL1" s="1318"/>
      <c r="BM1" s="1319"/>
      <c r="BN1" s="144" t="s">
        <v>1</v>
      </c>
      <c r="BO1" s="144" t="s">
        <v>868</v>
      </c>
      <c r="BP1" s="145"/>
      <c r="BQ1" s="145"/>
      <c r="BR1" s="145"/>
      <c r="BS1" s="145"/>
      <c r="BT1" s="145"/>
      <c r="BU1" s="145"/>
      <c r="BV1" s="145"/>
      <c r="BW1" s="145"/>
      <c r="BX1" s="145"/>
      <c r="BY1" s="145"/>
      <c r="BZ1" s="145"/>
      <c r="CA1" s="145"/>
      <c r="CB1" s="145"/>
      <c r="CC1" s="145"/>
      <c r="CD1" s="145"/>
      <c r="CE1" s="145"/>
      <c r="CF1" s="145"/>
      <c r="CG1" s="145"/>
      <c r="CH1" s="145"/>
    </row>
    <row r="2" spans="1:86" ht="18" customHeight="1" x14ac:dyDescent="0.2">
      <c r="A2" s="1318"/>
      <c r="B2" s="1318"/>
      <c r="C2" s="1318"/>
      <c r="D2" s="1318"/>
      <c r="E2" s="1318"/>
      <c r="F2" s="1318"/>
      <c r="G2" s="1318"/>
      <c r="H2" s="1318"/>
      <c r="I2" s="1318"/>
      <c r="J2" s="1318"/>
      <c r="K2" s="1318"/>
      <c r="L2" s="1318"/>
      <c r="M2" s="1318"/>
      <c r="N2" s="1318"/>
      <c r="O2" s="1318"/>
      <c r="P2" s="1318"/>
      <c r="Q2" s="1318"/>
      <c r="R2" s="1318"/>
      <c r="S2" s="1318"/>
      <c r="T2" s="1318"/>
      <c r="U2" s="1318"/>
      <c r="V2" s="1318"/>
      <c r="W2" s="1318"/>
      <c r="X2" s="1318"/>
      <c r="Y2" s="1318"/>
      <c r="Z2" s="1318"/>
      <c r="AA2" s="1318"/>
      <c r="AB2" s="1318"/>
      <c r="AC2" s="1318"/>
      <c r="AD2" s="1318"/>
      <c r="AE2" s="1318"/>
      <c r="AF2" s="1318"/>
      <c r="AG2" s="1318"/>
      <c r="AH2" s="1318"/>
      <c r="AI2" s="1318"/>
      <c r="AJ2" s="1318"/>
      <c r="AK2" s="1318"/>
      <c r="AL2" s="1318"/>
      <c r="AM2" s="1318"/>
      <c r="AN2" s="1318"/>
      <c r="AO2" s="1318"/>
      <c r="AP2" s="1318"/>
      <c r="AQ2" s="1318"/>
      <c r="AR2" s="1318"/>
      <c r="AS2" s="1318"/>
      <c r="AT2" s="1318"/>
      <c r="AU2" s="1318"/>
      <c r="AV2" s="1318"/>
      <c r="AW2" s="1318"/>
      <c r="AX2" s="1318"/>
      <c r="AY2" s="1318"/>
      <c r="AZ2" s="1318"/>
      <c r="BA2" s="1318"/>
      <c r="BB2" s="1318"/>
      <c r="BC2" s="1318"/>
      <c r="BD2" s="1318"/>
      <c r="BE2" s="1318"/>
      <c r="BF2" s="1318"/>
      <c r="BG2" s="1318"/>
      <c r="BH2" s="1318"/>
      <c r="BI2" s="1318"/>
      <c r="BJ2" s="1318"/>
      <c r="BK2" s="1318"/>
      <c r="BL2" s="1318"/>
      <c r="BM2" s="1319"/>
      <c r="BN2" s="610" t="s">
        <v>3</v>
      </c>
      <c r="BO2" s="144" t="s">
        <v>4</v>
      </c>
      <c r="BP2" s="145"/>
      <c r="BQ2" s="145"/>
      <c r="BR2" s="145"/>
      <c r="BS2" s="145"/>
      <c r="BT2" s="145"/>
      <c r="BU2" s="145"/>
      <c r="BV2" s="145"/>
      <c r="BW2" s="145"/>
      <c r="BX2" s="145"/>
      <c r="BY2" s="145"/>
      <c r="BZ2" s="145"/>
      <c r="CA2" s="145"/>
      <c r="CB2" s="145"/>
      <c r="CC2" s="145"/>
      <c r="CD2" s="145"/>
      <c r="CE2" s="145"/>
      <c r="CF2" s="145"/>
      <c r="CG2" s="145"/>
      <c r="CH2" s="145"/>
    </row>
    <row r="3" spans="1:86" ht="19.5" customHeight="1" x14ac:dyDescent="0.2">
      <c r="A3" s="1318"/>
      <c r="B3" s="1318"/>
      <c r="C3" s="1318"/>
      <c r="D3" s="1318"/>
      <c r="E3" s="1318"/>
      <c r="F3" s="1318"/>
      <c r="G3" s="1318"/>
      <c r="H3" s="1318"/>
      <c r="I3" s="1318"/>
      <c r="J3" s="1318"/>
      <c r="K3" s="1318"/>
      <c r="L3" s="1318"/>
      <c r="M3" s="1318"/>
      <c r="N3" s="1318"/>
      <c r="O3" s="1318"/>
      <c r="P3" s="1318"/>
      <c r="Q3" s="1318"/>
      <c r="R3" s="1318"/>
      <c r="S3" s="1318"/>
      <c r="T3" s="1318"/>
      <c r="U3" s="1318"/>
      <c r="V3" s="1318"/>
      <c r="W3" s="1318"/>
      <c r="X3" s="1318"/>
      <c r="Y3" s="1318"/>
      <c r="Z3" s="1318"/>
      <c r="AA3" s="1318"/>
      <c r="AB3" s="1318"/>
      <c r="AC3" s="1318"/>
      <c r="AD3" s="1318"/>
      <c r="AE3" s="1318"/>
      <c r="AF3" s="1318"/>
      <c r="AG3" s="1318"/>
      <c r="AH3" s="1318"/>
      <c r="AI3" s="1318"/>
      <c r="AJ3" s="1318"/>
      <c r="AK3" s="1318"/>
      <c r="AL3" s="1318"/>
      <c r="AM3" s="1318"/>
      <c r="AN3" s="1318"/>
      <c r="AO3" s="1318"/>
      <c r="AP3" s="1318"/>
      <c r="AQ3" s="1318"/>
      <c r="AR3" s="1318"/>
      <c r="AS3" s="1318"/>
      <c r="AT3" s="1318"/>
      <c r="AU3" s="1318"/>
      <c r="AV3" s="1318"/>
      <c r="AW3" s="1318"/>
      <c r="AX3" s="1318"/>
      <c r="AY3" s="1318"/>
      <c r="AZ3" s="1318"/>
      <c r="BA3" s="1318"/>
      <c r="BB3" s="1318"/>
      <c r="BC3" s="1318"/>
      <c r="BD3" s="1318"/>
      <c r="BE3" s="1318"/>
      <c r="BF3" s="1318"/>
      <c r="BG3" s="1318"/>
      <c r="BH3" s="1318"/>
      <c r="BI3" s="1318"/>
      <c r="BJ3" s="1318"/>
      <c r="BK3" s="1318"/>
      <c r="BL3" s="1318"/>
      <c r="BM3" s="1319"/>
      <c r="BN3" s="144" t="s">
        <v>5</v>
      </c>
      <c r="BO3" s="147" t="s">
        <v>6</v>
      </c>
      <c r="BP3" s="145"/>
      <c r="BQ3" s="145"/>
      <c r="BR3" s="145"/>
      <c r="BS3" s="145"/>
      <c r="BT3" s="145"/>
      <c r="BU3" s="145"/>
      <c r="BV3" s="145"/>
      <c r="BW3" s="145"/>
      <c r="BX3" s="145"/>
      <c r="BY3" s="145"/>
      <c r="BZ3" s="145"/>
      <c r="CA3" s="145"/>
      <c r="CB3" s="145"/>
      <c r="CC3" s="145"/>
      <c r="CD3" s="145"/>
      <c r="CE3" s="145"/>
      <c r="CF3" s="145"/>
      <c r="CG3" s="145"/>
      <c r="CH3" s="145"/>
    </row>
    <row r="4" spans="1:86" ht="18" customHeight="1" x14ac:dyDescent="0.2">
      <c r="A4" s="1320"/>
      <c r="B4" s="1320"/>
      <c r="C4" s="1320"/>
      <c r="D4" s="1320"/>
      <c r="E4" s="1320"/>
      <c r="F4" s="1320"/>
      <c r="G4" s="1320"/>
      <c r="H4" s="1320"/>
      <c r="I4" s="1320"/>
      <c r="J4" s="1320"/>
      <c r="K4" s="1320"/>
      <c r="L4" s="1320"/>
      <c r="M4" s="1320"/>
      <c r="N4" s="1320"/>
      <c r="O4" s="1320"/>
      <c r="P4" s="1320"/>
      <c r="Q4" s="1320"/>
      <c r="R4" s="1320"/>
      <c r="S4" s="1320"/>
      <c r="T4" s="1320"/>
      <c r="U4" s="1320"/>
      <c r="V4" s="1320"/>
      <c r="W4" s="1320"/>
      <c r="X4" s="1320"/>
      <c r="Y4" s="1320"/>
      <c r="Z4" s="1320"/>
      <c r="AA4" s="1320"/>
      <c r="AB4" s="1320"/>
      <c r="AC4" s="1320"/>
      <c r="AD4" s="1320"/>
      <c r="AE4" s="1320"/>
      <c r="AF4" s="1320"/>
      <c r="AG4" s="1320"/>
      <c r="AH4" s="1320"/>
      <c r="AI4" s="1320"/>
      <c r="AJ4" s="1320"/>
      <c r="AK4" s="1320"/>
      <c r="AL4" s="1320"/>
      <c r="AM4" s="1320"/>
      <c r="AN4" s="1320"/>
      <c r="AO4" s="1320"/>
      <c r="AP4" s="1320"/>
      <c r="AQ4" s="1320"/>
      <c r="AR4" s="1320"/>
      <c r="AS4" s="1320"/>
      <c r="AT4" s="1320"/>
      <c r="AU4" s="1320"/>
      <c r="AV4" s="1320"/>
      <c r="AW4" s="1320"/>
      <c r="AX4" s="1320"/>
      <c r="AY4" s="1320"/>
      <c r="AZ4" s="1320"/>
      <c r="BA4" s="1320"/>
      <c r="BB4" s="1320"/>
      <c r="BC4" s="1320"/>
      <c r="BD4" s="1320"/>
      <c r="BE4" s="1320"/>
      <c r="BF4" s="1320"/>
      <c r="BG4" s="1320"/>
      <c r="BH4" s="1320"/>
      <c r="BI4" s="1320"/>
      <c r="BJ4" s="1320"/>
      <c r="BK4" s="1320"/>
      <c r="BL4" s="1320"/>
      <c r="BM4" s="1321"/>
      <c r="BN4" s="144" t="s">
        <v>7</v>
      </c>
      <c r="BO4" s="148" t="s">
        <v>8</v>
      </c>
      <c r="BP4" s="145"/>
      <c r="BQ4" s="145"/>
      <c r="BR4" s="145"/>
      <c r="BS4" s="145"/>
      <c r="BT4" s="145"/>
      <c r="BU4" s="145"/>
      <c r="BV4" s="145"/>
      <c r="BW4" s="145"/>
      <c r="BX4" s="145"/>
      <c r="BY4" s="145"/>
      <c r="BZ4" s="145"/>
      <c r="CA4" s="145"/>
      <c r="CB4" s="145"/>
      <c r="CC4" s="145"/>
      <c r="CD4" s="145"/>
      <c r="CE4" s="145"/>
      <c r="CF4" s="145"/>
      <c r="CG4" s="145"/>
      <c r="CH4" s="145"/>
    </row>
    <row r="5" spans="1:86" s="4" customFormat="1" ht="21.75" customHeight="1" x14ac:dyDescent="0.2">
      <c r="A5" s="1231" t="s">
        <v>9</v>
      </c>
      <c r="B5" s="1231"/>
      <c r="C5" s="1231"/>
      <c r="D5" s="1231"/>
      <c r="E5" s="1231"/>
      <c r="F5" s="1231"/>
      <c r="G5" s="1231"/>
      <c r="H5" s="1231"/>
      <c r="I5" s="1231"/>
      <c r="J5" s="1231"/>
      <c r="K5" s="7"/>
      <c r="L5" s="1233" t="s">
        <v>10</v>
      </c>
      <c r="M5" s="1233"/>
      <c r="N5" s="1233"/>
      <c r="O5" s="1233"/>
      <c r="P5" s="1233"/>
      <c r="Q5" s="1233"/>
      <c r="R5" s="1233"/>
      <c r="S5" s="1233"/>
      <c r="T5" s="1233"/>
      <c r="U5" s="1233"/>
      <c r="V5" s="1233"/>
      <c r="W5" s="1233"/>
      <c r="X5" s="1233"/>
      <c r="Y5" s="1233"/>
      <c r="Z5" s="1233"/>
      <c r="AA5" s="1233"/>
      <c r="AB5" s="1233"/>
      <c r="AC5" s="1233"/>
      <c r="AD5" s="1233"/>
      <c r="AE5" s="1233"/>
      <c r="AF5" s="1233"/>
      <c r="AG5" s="1233"/>
      <c r="AH5" s="1233"/>
      <c r="AI5" s="1233"/>
      <c r="AJ5" s="1233"/>
      <c r="AK5" s="1233"/>
      <c r="AL5" s="1233"/>
      <c r="AM5" s="1233"/>
      <c r="AN5" s="1233"/>
      <c r="AO5" s="1233"/>
      <c r="AP5" s="1233"/>
      <c r="AQ5" s="1233"/>
      <c r="AR5" s="1233"/>
      <c r="AS5" s="1233"/>
      <c r="AT5" s="1233"/>
      <c r="AU5" s="1233"/>
      <c r="AV5" s="1233"/>
      <c r="AW5" s="1233"/>
      <c r="AX5" s="1233"/>
      <c r="AY5" s="1233"/>
      <c r="AZ5" s="1233"/>
      <c r="BA5" s="1233"/>
      <c r="BB5" s="1233"/>
      <c r="BC5" s="1233"/>
      <c r="BD5" s="1233"/>
      <c r="BE5" s="1233"/>
      <c r="BF5" s="1233"/>
      <c r="BG5" s="1233"/>
      <c r="BH5" s="1233"/>
      <c r="BI5" s="1233"/>
      <c r="BJ5" s="1233"/>
      <c r="BK5" s="1233"/>
      <c r="BL5" s="1233"/>
      <c r="BM5" s="1233"/>
      <c r="BN5" s="1233"/>
      <c r="BO5" s="1233"/>
      <c r="BP5" s="3"/>
      <c r="BQ5" s="3"/>
      <c r="BR5" s="3"/>
      <c r="BS5" s="3"/>
      <c r="BT5" s="3"/>
      <c r="BU5" s="3"/>
      <c r="BV5" s="3"/>
      <c r="BW5" s="3"/>
      <c r="BX5" s="3"/>
      <c r="BY5" s="3"/>
      <c r="BZ5" s="3"/>
      <c r="CA5" s="3"/>
      <c r="CB5" s="3"/>
      <c r="CC5" s="3"/>
      <c r="CD5" s="3"/>
      <c r="CE5" s="3"/>
      <c r="CF5" s="3"/>
      <c r="CG5" s="3"/>
      <c r="CH5" s="3"/>
    </row>
    <row r="6" spans="1:86" s="4" customFormat="1" ht="21.75" customHeight="1" thickBot="1" x14ac:dyDescent="0.25">
      <c r="A6" s="1232"/>
      <c r="B6" s="1232"/>
      <c r="C6" s="1232"/>
      <c r="D6" s="1232"/>
      <c r="E6" s="1232"/>
      <c r="F6" s="1232"/>
      <c r="G6" s="1232"/>
      <c r="H6" s="1232"/>
      <c r="I6" s="1232"/>
      <c r="J6" s="1232"/>
      <c r="K6" s="8"/>
      <c r="L6" s="239"/>
      <c r="M6" s="10"/>
      <c r="N6" s="10"/>
      <c r="O6" s="10"/>
      <c r="P6" s="10"/>
      <c r="Q6" s="10"/>
      <c r="R6" s="10"/>
      <c r="S6" s="10"/>
      <c r="T6" s="10"/>
      <c r="U6" s="10"/>
      <c r="V6" s="10"/>
      <c r="W6" s="10"/>
      <c r="X6" s="10"/>
      <c r="Y6" s="1446" t="s">
        <v>11</v>
      </c>
      <c r="Z6" s="1447"/>
      <c r="AA6" s="1447"/>
      <c r="AB6" s="1447"/>
      <c r="AC6" s="1447"/>
      <c r="AD6" s="1447"/>
      <c r="AE6" s="1447"/>
      <c r="AF6" s="1447"/>
      <c r="AG6" s="1447"/>
      <c r="AH6" s="1447"/>
      <c r="AI6" s="1447"/>
      <c r="AJ6" s="1447"/>
      <c r="AK6" s="1447"/>
      <c r="AL6" s="1447"/>
      <c r="AM6" s="1447"/>
      <c r="AN6" s="1447"/>
      <c r="AO6" s="1447"/>
      <c r="AP6" s="1447"/>
      <c r="AQ6" s="1447"/>
      <c r="AR6" s="1447"/>
      <c r="AS6" s="1447"/>
      <c r="AT6" s="1447"/>
      <c r="AU6" s="1447"/>
      <c r="AV6" s="1447"/>
      <c r="AW6" s="1447"/>
      <c r="AX6" s="1447"/>
      <c r="AY6" s="1447"/>
      <c r="AZ6" s="1447"/>
      <c r="BA6" s="1447"/>
      <c r="BB6" s="1447"/>
      <c r="BC6" s="1447"/>
      <c r="BD6" s="1447"/>
      <c r="BE6" s="8"/>
      <c r="BF6" s="8"/>
      <c r="BG6" s="8"/>
      <c r="BH6" s="8"/>
      <c r="BI6" s="8"/>
      <c r="BJ6" s="8"/>
      <c r="BK6" s="10"/>
      <c r="BL6" s="10"/>
      <c r="BM6" s="10"/>
      <c r="BN6" s="10"/>
      <c r="BO6" s="11"/>
      <c r="BP6" s="3"/>
      <c r="BQ6" s="3"/>
      <c r="BR6" s="3"/>
      <c r="BS6" s="3"/>
      <c r="BT6" s="3"/>
      <c r="BU6" s="3"/>
      <c r="BV6" s="3"/>
      <c r="BW6" s="3"/>
      <c r="BX6" s="3"/>
      <c r="BY6" s="3"/>
      <c r="BZ6" s="3"/>
      <c r="CA6" s="3"/>
      <c r="CB6" s="3"/>
      <c r="CC6" s="3"/>
      <c r="CD6" s="3"/>
      <c r="CE6" s="3"/>
      <c r="CF6" s="3"/>
      <c r="CG6" s="3"/>
      <c r="CH6" s="3"/>
    </row>
    <row r="7" spans="1:86" s="4" customFormat="1" ht="43.5" customHeight="1" x14ac:dyDescent="0.2">
      <c r="A7" s="1234" t="s">
        <v>12</v>
      </c>
      <c r="B7" s="1221" t="s">
        <v>13</v>
      </c>
      <c r="C7" s="1221"/>
      <c r="D7" s="1221" t="s">
        <v>12</v>
      </c>
      <c r="E7" s="1221" t="s">
        <v>14</v>
      </c>
      <c r="F7" s="1221"/>
      <c r="G7" s="1237" t="s">
        <v>12</v>
      </c>
      <c r="H7" s="1221" t="s">
        <v>15</v>
      </c>
      <c r="I7" s="1221" t="s">
        <v>16</v>
      </c>
      <c r="J7" s="1222" t="s">
        <v>17</v>
      </c>
      <c r="K7" s="1223"/>
      <c r="L7" s="1221" t="s">
        <v>18</v>
      </c>
      <c r="M7" s="1221" t="s">
        <v>19</v>
      </c>
      <c r="N7" s="1221" t="s">
        <v>10</v>
      </c>
      <c r="O7" s="1226" t="s">
        <v>20</v>
      </c>
      <c r="P7" s="1253" t="s">
        <v>21</v>
      </c>
      <c r="Q7" s="1221" t="s">
        <v>22</v>
      </c>
      <c r="R7" s="1221" t="s">
        <v>23</v>
      </c>
      <c r="S7" s="1221" t="s">
        <v>24</v>
      </c>
      <c r="T7" s="1253" t="s">
        <v>21</v>
      </c>
      <c r="U7" s="1253" t="s">
        <v>25</v>
      </c>
      <c r="V7" s="1253" t="s">
        <v>26</v>
      </c>
      <c r="W7" s="1264" t="s">
        <v>12</v>
      </c>
      <c r="X7" s="1221" t="s">
        <v>27</v>
      </c>
      <c r="Y7" s="1240" t="s">
        <v>28</v>
      </c>
      <c r="Z7" s="1241"/>
      <c r="AA7" s="1241"/>
      <c r="AB7" s="1242"/>
      <c r="AC7" s="1243" t="s">
        <v>29</v>
      </c>
      <c r="AD7" s="1244"/>
      <c r="AE7" s="1244"/>
      <c r="AF7" s="1244"/>
      <c r="AG7" s="1244"/>
      <c r="AH7" s="1244"/>
      <c r="AI7" s="1244"/>
      <c r="AJ7" s="1245"/>
      <c r="AK7" s="1246" t="s">
        <v>30</v>
      </c>
      <c r="AL7" s="1247"/>
      <c r="AM7" s="1247"/>
      <c r="AN7" s="1247"/>
      <c r="AO7" s="1247"/>
      <c r="AP7" s="1247"/>
      <c r="AQ7" s="1247"/>
      <c r="AR7" s="1247"/>
      <c r="AS7" s="1247"/>
      <c r="AT7" s="1247"/>
      <c r="AU7" s="1247"/>
      <c r="AV7" s="1248"/>
      <c r="AW7" s="1254" t="s">
        <v>31</v>
      </c>
      <c r="AX7" s="1255"/>
      <c r="AY7" s="1255"/>
      <c r="AZ7" s="1255"/>
      <c r="BA7" s="1255"/>
      <c r="BB7" s="1256"/>
      <c r="BC7" s="1257" t="s">
        <v>32</v>
      </c>
      <c r="BD7" s="1258"/>
      <c r="BE7" s="1261" t="s">
        <v>33</v>
      </c>
      <c r="BF7" s="1262"/>
      <c r="BG7" s="1262"/>
      <c r="BH7" s="1262"/>
      <c r="BI7" s="1262"/>
      <c r="BJ7" s="1263"/>
      <c r="BK7" s="1265" t="s">
        <v>34</v>
      </c>
      <c r="BL7" s="1265"/>
      <c r="BM7" s="1266" t="s">
        <v>35</v>
      </c>
      <c r="BN7" s="1267"/>
      <c r="BO7" s="1270" t="s">
        <v>36</v>
      </c>
      <c r="BP7" s="3"/>
      <c r="BQ7" s="3"/>
      <c r="BR7" s="3"/>
      <c r="BS7" s="3"/>
      <c r="BT7" s="3"/>
      <c r="BU7" s="3"/>
      <c r="BV7" s="3"/>
      <c r="BW7" s="3"/>
      <c r="BX7" s="3"/>
      <c r="BY7" s="3"/>
      <c r="BZ7" s="3"/>
      <c r="CA7" s="3"/>
      <c r="CB7" s="3"/>
      <c r="CC7" s="3"/>
      <c r="CD7" s="3"/>
      <c r="CE7" s="3"/>
      <c r="CF7" s="3"/>
    </row>
    <row r="8" spans="1:86" s="4" customFormat="1" ht="120.75" customHeight="1" x14ac:dyDescent="0.2">
      <c r="A8" s="1235"/>
      <c r="B8" s="1221"/>
      <c r="C8" s="1221"/>
      <c r="D8" s="1221"/>
      <c r="E8" s="1221"/>
      <c r="F8" s="1221"/>
      <c r="G8" s="1238"/>
      <c r="H8" s="1221"/>
      <c r="I8" s="1221"/>
      <c r="J8" s="1224"/>
      <c r="K8" s="1225"/>
      <c r="L8" s="1221"/>
      <c r="M8" s="1221"/>
      <c r="N8" s="1221"/>
      <c r="O8" s="1226"/>
      <c r="P8" s="1253"/>
      <c r="Q8" s="1221"/>
      <c r="R8" s="1221"/>
      <c r="S8" s="1221"/>
      <c r="T8" s="1253"/>
      <c r="U8" s="1253"/>
      <c r="V8" s="1253"/>
      <c r="W8" s="1264"/>
      <c r="X8" s="1221"/>
      <c r="Y8" s="1774" t="s">
        <v>37</v>
      </c>
      <c r="Z8" s="1775"/>
      <c r="AA8" s="1777" t="s">
        <v>38</v>
      </c>
      <c r="AB8" s="1778"/>
      <c r="AC8" s="1774" t="s">
        <v>39</v>
      </c>
      <c r="AD8" s="1775"/>
      <c r="AE8" s="1774" t="s">
        <v>40</v>
      </c>
      <c r="AF8" s="1775"/>
      <c r="AG8" s="1774" t="s">
        <v>41</v>
      </c>
      <c r="AH8" s="1775"/>
      <c r="AI8" s="1774" t="s">
        <v>42</v>
      </c>
      <c r="AJ8" s="1775"/>
      <c r="AK8" s="1774" t="s">
        <v>43</v>
      </c>
      <c r="AL8" s="1775"/>
      <c r="AM8" s="1774" t="s">
        <v>44</v>
      </c>
      <c r="AN8" s="1775"/>
      <c r="AO8" s="1774" t="s">
        <v>45</v>
      </c>
      <c r="AP8" s="1775"/>
      <c r="AQ8" s="1774" t="s">
        <v>46</v>
      </c>
      <c r="AR8" s="1775"/>
      <c r="AS8" s="1774" t="s">
        <v>47</v>
      </c>
      <c r="AT8" s="1775"/>
      <c r="AU8" s="1774" t="s">
        <v>48</v>
      </c>
      <c r="AV8" s="1775"/>
      <c r="AW8" s="1774" t="s">
        <v>49</v>
      </c>
      <c r="AX8" s="1775"/>
      <c r="AY8" s="1774" t="s">
        <v>50</v>
      </c>
      <c r="AZ8" s="1775"/>
      <c r="BA8" s="1776" t="s">
        <v>51</v>
      </c>
      <c r="BB8" s="1776"/>
      <c r="BC8" s="1259"/>
      <c r="BD8" s="1260"/>
      <c r="BE8" s="1274" t="s">
        <v>52</v>
      </c>
      <c r="BF8" s="1273" t="s">
        <v>53</v>
      </c>
      <c r="BG8" s="1274" t="s">
        <v>54</v>
      </c>
      <c r="BH8" s="1275" t="s">
        <v>55</v>
      </c>
      <c r="BI8" s="1274" t="s">
        <v>56</v>
      </c>
      <c r="BJ8" s="1276" t="s">
        <v>57</v>
      </c>
      <c r="BK8" s="1265"/>
      <c r="BL8" s="1265"/>
      <c r="BM8" s="1509"/>
      <c r="BN8" s="1510"/>
      <c r="BO8" s="1271"/>
      <c r="BP8" s="3"/>
      <c r="BQ8" s="3"/>
      <c r="BR8" s="3"/>
      <c r="BS8" s="3"/>
      <c r="BT8" s="3"/>
      <c r="BU8" s="3"/>
      <c r="BV8" s="3"/>
      <c r="BW8" s="3"/>
      <c r="BX8" s="3"/>
      <c r="BY8" s="3"/>
      <c r="BZ8" s="3"/>
      <c r="CA8" s="3"/>
      <c r="CB8" s="3"/>
      <c r="CC8" s="3"/>
      <c r="CD8" s="3"/>
      <c r="CE8" s="3"/>
      <c r="CF8" s="3"/>
    </row>
    <row r="9" spans="1:86" s="4" customFormat="1" ht="21.75" customHeight="1" x14ac:dyDescent="0.2">
      <c r="A9" s="1236"/>
      <c r="B9" s="1221"/>
      <c r="C9" s="1221"/>
      <c r="D9" s="1221"/>
      <c r="E9" s="1221"/>
      <c r="F9" s="1221"/>
      <c r="G9" s="1239"/>
      <c r="H9" s="1221"/>
      <c r="I9" s="1221"/>
      <c r="J9" s="12" t="s">
        <v>58</v>
      </c>
      <c r="K9" s="12" t="s">
        <v>59</v>
      </c>
      <c r="L9" s="1221"/>
      <c r="M9" s="1221"/>
      <c r="N9" s="1221"/>
      <c r="O9" s="1226"/>
      <c r="P9" s="1253"/>
      <c r="Q9" s="1221"/>
      <c r="R9" s="1221"/>
      <c r="S9" s="1221"/>
      <c r="T9" s="1253"/>
      <c r="U9" s="1253"/>
      <c r="V9" s="1253"/>
      <c r="W9" s="1264"/>
      <c r="X9" s="1221"/>
      <c r="Y9" s="12" t="s">
        <v>58</v>
      </c>
      <c r="Z9" s="12" t="s">
        <v>60</v>
      </c>
      <c r="AA9" s="12" t="s">
        <v>58</v>
      </c>
      <c r="AB9" s="12" t="s">
        <v>60</v>
      </c>
      <c r="AC9" s="12" t="s">
        <v>58</v>
      </c>
      <c r="AD9" s="12" t="s">
        <v>60</v>
      </c>
      <c r="AE9" s="12" t="s">
        <v>58</v>
      </c>
      <c r="AF9" s="12" t="s">
        <v>60</v>
      </c>
      <c r="AG9" s="12" t="s">
        <v>58</v>
      </c>
      <c r="AH9" s="12" t="s">
        <v>60</v>
      </c>
      <c r="AI9" s="12" t="s">
        <v>58</v>
      </c>
      <c r="AJ9" s="12" t="s">
        <v>60</v>
      </c>
      <c r="AK9" s="12" t="s">
        <v>58</v>
      </c>
      <c r="AL9" s="12" t="s">
        <v>60</v>
      </c>
      <c r="AM9" s="12" t="s">
        <v>58</v>
      </c>
      <c r="AN9" s="12" t="s">
        <v>60</v>
      </c>
      <c r="AO9" s="12" t="s">
        <v>58</v>
      </c>
      <c r="AP9" s="12" t="s">
        <v>60</v>
      </c>
      <c r="AQ9" s="12" t="s">
        <v>58</v>
      </c>
      <c r="AR9" s="12" t="s">
        <v>60</v>
      </c>
      <c r="AS9" s="12" t="s">
        <v>58</v>
      </c>
      <c r="AT9" s="12" t="s">
        <v>60</v>
      </c>
      <c r="AU9" s="12" t="s">
        <v>58</v>
      </c>
      <c r="AV9" s="12" t="s">
        <v>60</v>
      </c>
      <c r="AW9" s="12" t="s">
        <v>58</v>
      </c>
      <c r="AX9" s="12" t="s">
        <v>60</v>
      </c>
      <c r="AY9" s="12" t="s">
        <v>58</v>
      </c>
      <c r="AZ9" s="12" t="s">
        <v>60</v>
      </c>
      <c r="BA9" s="12" t="s">
        <v>58</v>
      </c>
      <c r="BB9" s="12" t="s">
        <v>60</v>
      </c>
      <c r="BC9" s="12" t="s">
        <v>58</v>
      </c>
      <c r="BD9" s="12" t="s">
        <v>60</v>
      </c>
      <c r="BE9" s="1274"/>
      <c r="BF9" s="1273"/>
      <c r="BG9" s="1274"/>
      <c r="BH9" s="1275"/>
      <c r="BI9" s="1274"/>
      <c r="BJ9" s="1277"/>
      <c r="BK9" s="13" t="s">
        <v>58</v>
      </c>
      <c r="BL9" s="13" t="s">
        <v>60</v>
      </c>
      <c r="BM9" s="13" t="s">
        <v>58</v>
      </c>
      <c r="BN9" s="13" t="s">
        <v>60</v>
      </c>
      <c r="BO9" s="1272"/>
      <c r="BP9" s="3"/>
      <c r="BQ9" s="3"/>
      <c r="BR9" s="3"/>
      <c r="BS9" s="3"/>
      <c r="BT9" s="3"/>
      <c r="BU9" s="3"/>
      <c r="BV9" s="3"/>
      <c r="BW9" s="3"/>
      <c r="BX9" s="3"/>
      <c r="BY9" s="3"/>
      <c r="BZ9" s="3"/>
      <c r="CA9" s="3"/>
      <c r="CB9" s="3"/>
      <c r="CC9" s="3"/>
      <c r="CD9" s="3"/>
      <c r="CE9" s="3"/>
      <c r="CF9" s="3"/>
    </row>
    <row r="10" spans="1:86" s="91" customFormat="1" ht="27" customHeight="1" x14ac:dyDescent="0.2">
      <c r="A10" s="611">
        <v>1</v>
      </c>
      <c r="B10" s="156" t="s">
        <v>156</v>
      </c>
      <c r="C10" s="543"/>
      <c r="D10" s="242"/>
      <c r="E10" s="303"/>
      <c r="F10" s="303"/>
      <c r="G10" s="303"/>
      <c r="H10" s="303"/>
      <c r="I10" s="303"/>
      <c r="J10" s="383"/>
      <c r="K10" s="383"/>
      <c r="L10" s="304"/>
      <c r="M10" s="304"/>
      <c r="N10" s="544"/>
      <c r="O10" s="308"/>
      <c r="P10" s="309"/>
      <c r="Q10" s="544"/>
      <c r="R10" s="544"/>
      <c r="S10" s="544"/>
      <c r="T10" s="311"/>
      <c r="U10" s="311"/>
      <c r="V10" s="311"/>
      <c r="W10" s="312"/>
      <c r="X10" s="304"/>
      <c r="Y10" s="383"/>
      <c r="Z10" s="383"/>
      <c r="AA10" s="383"/>
      <c r="AB10" s="383"/>
      <c r="AC10" s="383"/>
      <c r="AD10" s="383"/>
      <c r="AE10" s="383"/>
      <c r="AF10" s="383"/>
      <c r="AG10" s="383"/>
      <c r="AH10" s="383"/>
      <c r="AI10" s="383"/>
      <c r="AJ10" s="383"/>
      <c r="AK10" s="383"/>
      <c r="AL10" s="383"/>
      <c r="AM10" s="383"/>
      <c r="AN10" s="383"/>
      <c r="AO10" s="383"/>
      <c r="AP10" s="383"/>
      <c r="AQ10" s="383"/>
      <c r="AR10" s="383"/>
      <c r="AS10" s="383"/>
      <c r="AT10" s="383"/>
      <c r="AU10" s="383"/>
      <c r="AV10" s="383"/>
      <c r="AW10" s="383"/>
      <c r="AX10" s="383"/>
      <c r="AY10" s="383"/>
      <c r="AZ10" s="383"/>
      <c r="BA10" s="383"/>
      <c r="BB10" s="383"/>
      <c r="BC10" s="383"/>
      <c r="BD10" s="383"/>
      <c r="BE10" s="383"/>
      <c r="BF10" s="383"/>
      <c r="BG10" s="383"/>
      <c r="BH10" s="383"/>
      <c r="BI10" s="383"/>
      <c r="BJ10" s="383"/>
      <c r="BK10" s="847"/>
      <c r="BL10" s="847"/>
      <c r="BM10" s="847"/>
      <c r="BN10" s="847"/>
      <c r="BO10" s="384"/>
      <c r="BP10" s="3"/>
      <c r="BQ10" s="3"/>
      <c r="BR10" s="3"/>
      <c r="BS10" s="3"/>
      <c r="BT10" s="3"/>
      <c r="BU10" s="3"/>
      <c r="BV10" s="3"/>
      <c r="BW10" s="3"/>
      <c r="BX10" s="3"/>
      <c r="BY10" s="3"/>
      <c r="BZ10" s="3"/>
      <c r="CA10" s="3"/>
      <c r="CB10" s="3"/>
      <c r="CC10" s="3"/>
      <c r="CD10" s="3"/>
      <c r="CE10" s="3"/>
      <c r="CF10" s="3"/>
      <c r="CG10" s="3"/>
      <c r="CH10" s="3"/>
    </row>
    <row r="11" spans="1:86" s="3" customFormat="1" ht="27" customHeight="1" x14ac:dyDescent="0.2">
      <c r="A11" s="167"/>
      <c r="B11" s="253"/>
      <c r="C11" s="254"/>
      <c r="D11" s="492">
        <v>16</v>
      </c>
      <c r="E11" s="340" t="s">
        <v>869</v>
      </c>
      <c r="F11" s="341"/>
      <c r="G11" s="258"/>
      <c r="H11" s="259"/>
      <c r="I11" s="260"/>
      <c r="J11" s="261"/>
      <c r="K11" s="547"/>
      <c r="L11" s="848"/>
      <c r="M11" s="848"/>
      <c r="N11" s="263"/>
      <c r="O11" s="264"/>
      <c r="P11" s="849"/>
      <c r="Q11" s="850"/>
      <c r="R11" s="850"/>
      <c r="S11" s="850"/>
      <c r="T11" s="851"/>
      <c r="U11" s="851"/>
      <c r="V11" s="851"/>
      <c r="W11" s="852"/>
      <c r="X11" s="848"/>
      <c r="Y11" s="853"/>
      <c r="Z11" s="853"/>
      <c r="AA11" s="853"/>
      <c r="AB11" s="853"/>
      <c r="AC11" s="853"/>
      <c r="AD11" s="853"/>
      <c r="AE11" s="853"/>
      <c r="AF11" s="853"/>
      <c r="AG11" s="853"/>
      <c r="AH11" s="853"/>
      <c r="AI11" s="853"/>
      <c r="AJ11" s="853"/>
      <c r="AK11" s="853"/>
      <c r="AL11" s="853"/>
      <c r="AM11" s="853"/>
      <c r="AN11" s="853"/>
      <c r="AO11" s="853"/>
      <c r="AP11" s="853"/>
      <c r="AQ11" s="853"/>
      <c r="AR11" s="853"/>
      <c r="AS11" s="853"/>
      <c r="AT11" s="853"/>
      <c r="AU11" s="853"/>
      <c r="AV11" s="853"/>
      <c r="AW11" s="853"/>
      <c r="AX11" s="853"/>
      <c r="AY11" s="853"/>
      <c r="AZ11" s="853"/>
      <c r="BA11" s="853"/>
      <c r="BB11" s="853"/>
      <c r="BC11" s="853"/>
      <c r="BD11" s="853"/>
      <c r="BE11" s="853"/>
      <c r="BF11" s="853"/>
      <c r="BG11" s="853"/>
      <c r="BH11" s="853"/>
      <c r="BI11" s="853"/>
      <c r="BJ11" s="853"/>
      <c r="BK11" s="854"/>
      <c r="BL11" s="854"/>
      <c r="BM11" s="854"/>
      <c r="BN11" s="854"/>
      <c r="BO11" s="556"/>
    </row>
    <row r="12" spans="1:86" s="3" customFormat="1" ht="123" customHeight="1" x14ac:dyDescent="0.2">
      <c r="A12" s="28"/>
      <c r="B12" s="73"/>
      <c r="C12" s="74"/>
      <c r="D12" s="659"/>
      <c r="E12" s="389"/>
      <c r="F12" s="390"/>
      <c r="G12" s="179">
        <v>2301024</v>
      </c>
      <c r="H12" s="503" t="s">
        <v>870</v>
      </c>
      <c r="I12" s="33" t="s">
        <v>871</v>
      </c>
      <c r="J12" s="855">
        <v>1</v>
      </c>
      <c r="K12" s="856"/>
      <c r="L12" s="1281" t="s">
        <v>872</v>
      </c>
      <c r="M12" s="1408" t="s">
        <v>873</v>
      </c>
      <c r="N12" s="1294" t="s">
        <v>874</v>
      </c>
      <c r="O12" s="857">
        <f>(T12)/(P12+P13)</f>
        <v>0.76012000000000002</v>
      </c>
      <c r="P12" s="275">
        <f>+T12</f>
        <v>152024000</v>
      </c>
      <c r="Q12" s="1565" t="s">
        <v>875</v>
      </c>
      <c r="R12" s="431" t="s">
        <v>876</v>
      </c>
      <c r="S12" s="503" t="s">
        <v>870</v>
      </c>
      <c r="T12" s="430">
        <v>152024000</v>
      </c>
      <c r="U12" s="430"/>
      <c r="V12" s="430"/>
      <c r="W12" s="1303" t="s">
        <v>877</v>
      </c>
      <c r="X12" s="1293" t="s">
        <v>878</v>
      </c>
      <c r="Y12" s="1436">
        <v>295972</v>
      </c>
      <c r="Z12" s="1436"/>
      <c r="AA12" s="1436">
        <v>294321</v>
      </c>
      <c r="AB12" s="1436"/>
      <c r="AC12" s="1436">
        <v>132302</v>
      </c>
      <c r="AD12" s="1436"/>
      <c r="AE12" s="1436">
        <v>43426</v>
      </c>
      <c r="AF12" s="1436"/>
      <c r="AG12" s="1436">
        <v>313940</v>
      </c>
      <c r="AH12" s="1436"/>
      <c r="AI12" s="1436">
        <v>100625</v>
      </c>
      <c r="AJ12" s="1436"/>
      <c r="AK12" s="1436">
        <v>2145</v>
      </c>
      <c r="AL12" s="1436"/>
      <c r="AM12" s="1436">
        <v>12718</v>
      </c>
      <c r="AN12" s="1436"/>
      <c r="AO12" s="1436">
        <v>36</v>
      </c>
      <c r="AP12" s="1436"/>
      <c r="AQ12" s="1436">
        <v>0</v>
      </c>
      <c r="AR12" s="1436"/>
      <c r="AS12" s="1436">
        <v>0</v>
      </c>
      <c r="AT12" s="1436"/>
      <c r="AU12" s="1436">
        <v>0</v>
      </c>
      <c r="AV12" s="1436"/>
      <c r="AW12" s="1436">
        <v>70</v>
      </c>
      <c r="AX12" s="1436"/>
      <c r="AY12" s="1436">
        <v>21944</v>
      </c>
      <c r="AZ12" s="1436"/>
      <c r="BA12" s="1436">
        <v>285</v>
      </c>
      <c r="BB12" s="1436"/>
      <c r="BC12" s="1436">
        <v>590292</v>
      </c>
      <c r="BD12" s="1436"/>
      <c r="BE12" s="1436"/>
      <c r="BF12" s="1540">
        <f>SUM(U12:U13)</f>
        <v>0</v>
      </c>
      <c r="BG12" s="1540">
        <f>SUM(V12:V13)</f>
        <v>0</v>
      </c>
      <c r="BH12" s="1436"/>
      <c r="BI12" s="1436"/>
      <c r="BJ12" s="1436"/>
      <c r="BK12" s="1306">
        <v>44033</v>
      </c>
      <c r="BL12" s="1436"/>
      <c r="BM12" s="1306">
        <v>44195</v>
      </c>
      <c r="BN12" s="1436"/>
      <c r="BO12" s="1597" t="s">
        <v>879</v>
      </c>
      <c r="BP12" s="858"/>
      <c r="BQ12" s="858"/>
    </row>
    <row r="13" spans="1:86" s="4" customFormat="1" ht="178.5" customHeight="1" x14ac:dyDescent="0.2">
      <c r="A13" s="283"/>
      <c r="B13" s="91"/>
      <c r="C13" s="89"/>
      <c r="D13" s="103"/>
      <c r="E13" s="103"/>
      <c r="F13" s="104"/>
      <c r="G13" s="179">
        <v>2301030</v>
      </c>
      <c r="H13" s="503" t="s">
        <v>880</v>
      </c>
      <c r="I13" s="40" t="s">
        <v>881</v>
      </c>
      <c r="J13" s="859">
        <v>500</v>
      </c>
      <c r="K13" s="860"/>
      <c r="L13" s="1283"/>
      <c r="M13" s="1409"/>
      <c r="N13" s="1295"/>
      <c r="O13" s="295">
        <f>(T13)/(P12+P13)</f>
        <v>0.23988000000000001</v>
      </c>
      <c r="P13" s="430">
        <f>+T13</f>
        <v>47976000</v>
      </c>
      <c r="Q13" s="1565"/>
      <c r="R13" s="431" t="s">
        <v>882</v>
      </c>
      <c r="S13" s="503" t="s">
        <v>880</v>
      </c>
      <c r="T13" s="430">
        <v>47976000</v>
      </c>
      <c r="U13" s="274"/>
      <c r="V13" s="274"/>
      <c r="W13" s="1305"/>
      <c r="X13" s="1295"/>
      <c r="Y13" s="1437"/>
      <c r="Z13" s="1437"/>
      <c r="AA13" s="1437"/>
      <c r="AB13" s="1437"/>
      <c r="AC13" s="1437"/>
      <c r="AD13" s="1437"/>
      <c r="AE13" s="1437"/>
      <c r="AF13" s="1437"/>
      <c r="AG13" s="1437"/>
      <c r="AH13" s="1437"/>
      <c r="AI13" s="1437"/>
      <c r="AJ13" s="1437"/>
      <c r="AK13" s="1437"/>
      <c r="AL13" s="1437"/>
      <c r="AM13" s="1437"/>
      <c r="AN13" s="1437"/>
      <c r="AO13" s="1437"/>
      <c r="AP13" s="1437"/>
      <c r="AQ13" s="1437"/>
      <c r="AR13" s="1437"/>
      <c r="AS13" s="1437"/>
      <c r="AT13" s="1437"/>
      <c r="AU13" s="1437"/>
      <c r="AV13" s="1437"/>
      <c r="AW13" s="1437"/>
      <c r="AX13" s="1437"/>
      <c r="AY13" s="1437"/>
      <c r="AZ13" s="1437"/>
      <c r="BA13" s="1437"/>
      <c r="BB13" s="1437"/>
      <c r="BC13" s="1437"/>
      <c r="BD13" s="1437"/>
      <c r="BE13" s="1437"/>
      <c r="BF13" s="1437"/>
      <c r="BG13" s="1437"/>
      <c r="BH13" s="1437"/>
      <c r="BI13" s="1437"/>
      <c r="BJ13" s="1437"/>
      <c r="BK13" s="1308"/>
      <c r="BL13" s="1437"/>
      <c r="BM13" s="1308"/>
      <c r="BN13" s="1437"/>
      <c r="BO13" s="1597"/>
      <c r="BP13" s="858"/>
      <c r="BQ13" s="858"/>
    </row>
    <row r="14" spans="1:86" s="3" customFormat="1" ht="27" customHeight="1" x14ac:dyDescent="0.2">
      <c r="A14" s="14"/>
      <c r="B14" s="192"/>
      <c r="C14" s="495"/>
      <c r="D14" s="656">
        <v>17</v>
      </c>
      <c r="E14" s="340" t="s">
        <v>883</v>
      </c>
      <c r="F14" s="341"/>
      <c r="G14" s="258"/>
      <c r="H14" s="259"/>
      <c r="I14" s="259"/>
      <c r="J14" s="261"/>
      <c r="K14" s="261"/>
      <c r="L14" s="280"/>
      <c r="M14" s="262"/>
      <c r="N14" s="266"/>
      <c r="O14" s="264"/>
      <c r="P14" s="265"/>
      <c r="Q14" s="266"/>
      <c r="R14" s="266"/>
      <c r="S14" s="266"/>
      <c r="T14" s="267"/>
      <c r="U14" s="267"/>
      <c r="V14" s="267"/>
      <c r="W14" s="268"/>
      <c r="X14" s="266"/>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2"/>
      <c r="AW14" s="262"/>
      <c r="AX14" s="262"/>
      <c r="AY14" s="262"/>
      <c r="AZ14" s="262"/>
      <c r="BA14" s="262"/>
      <c r="BB14" s="262"/>
      <c r="BC14" s="262"/>
      <c r="BD14" s="262"/>
      <c r="BE14" s="262"/>
      <c r="BF14" s="262"/>
      <c r="BG14" s="262"/>
      <c r="BH14" s="262"/>
      <c r="BI14" s="262"/>
      <c r="BJ14" s="262"/>
      <c r="BK14" s="269"/>
      <c r="BL14" s="269"/>
      <c r="BM14" s="269"/>
      <c r="BN14" s="269"/>
      <c r="BO14" s="668"/>
    </row>
    <row r="15" spans="1:86" s="3" customFormat="1" ht="234.75" customHeight="1" x14ac:dyDescent="0.2">
      <c r="A15" s="861"/>
      <c r="B15" s="515"/>
      <c r="C15" s="516"/>
      <c r="D15" s="210"/>
      <c r="E15" s="426"/>
      <c r="F15" s="427"/>
      <c r="G15" s="271">
        <v>2302042</v>
      </c>
      <c r="H15" s="503" t="s">
        <v>884</v>
      </c>
      <c r="I15" s="213" t="s">
        <v>885</v>
      </c>
      <c r="J15" s="36">
        <v>1</v>
      </c>
      <c r="K15" s="428"/>
      <c r="L15" s="36" t="s">
        <v>886</v>
      </c>
      <c r="M15" s="862" t="s">
        <v>887</v>
      </c>
      <c r="N15" s="503" t="s">
        <v>888</v>
      </c>
      <c r="O15" s="563">
        <f>+T15/P15</f>
        <v>1</v>
      </c>
      <c r="P15" s="430">
        <f>+T15</f>
        <v>7164000</v>
      </c>
      <c r="Q15" s="213" t="s">
        <v>889</v>
      </c>
      <c r="R15" s="213" t="s">
        <v>890</v>
      </c>
      <c r="S15" s="503" t="s">
        <v>884</v>
      </c>
      <c r="T15" s="430">
        <v>7164000</v>
      </c>
      <c r="U15" s="430"/>
      <c r="V15" s="430"/>
      <c r="W15" s="411">
        <v>88</v>
      </c>
      <c r="X15" s="213" t="s">
        <v>891</v>
      </c>
      <c r="Y15" s="111">
        <v>295972</v>
      </c>
      <c r="Z15" s="111"/>
      <c r="AA15" s="111">
        <v>294321</v>
      </c>
      <c r="AB15" s="111"/>
      <c r="AC15" s="111">
        <v>132302</v>
      </c>
      <c r="AD15" s="111"/>
      <c r="AE15" s="111">
        <v>43426</v>
      </c>
      <c r="AF15" s="111"/>
      <c r="AG15" s="111">
        <v>313940</v>
      </c>
      <c r="AH15" s="111"/>
      <c r="AI15" s="111">
        <v>100625</v>
      </c>
      <c r="AJ15" s="111"/>
      <c r="AK15" s="111">
        <v>2145</v>
      </c>
      <c r="AL15" s="111"/>
      <c r="AM15" s="111">
        <v>12718</v>
      </c>
      <c r="AN15" s="111"/>
      <c r="AO15" s="111">
        <v>36</v>
      </c>
      <c r="AP15" s="111"/>
      <c r="AQ15" s="863">
        <v>0</v>
      </c>
      <c r="AR15" s="863"/>
      <c r="AS15" s="863">
        <v>0</v>
      </c>
      <c r="AT15" s="863"/>
      <c r="AU15" s="863">
        <v>0</v>
      </c>
      <c r="AV15" s="863"/>
      <c r="AW15" s="111">
        <v>70</v>
      </c>
      <c r="AX15" s="111"/>
      <c r="AY15" s="111">
        <v>21944</v>
      </c>
      <c r="AZ15" s="111"/>
      <c r="BA15" s="111">
        <v>285</v>
      </c>
      <c r="BB15" s="111"/>
      <c r="BC15" s="111">
        <v>590292</v>
      </c>
      <c r="BD15" s="333"/>
      <c r="BE15" s="333"/>
      <c r="BF15" s="593">
        <f>SUM(U15)</f>
        <v>0</v>
      </c>
      <c r="BG15" s="593">
        <f>SUM(V15)</f>
        <v>0</v>
      </c>
      <c r="BH15" s="333"/>
      <c r="BI15" s="333"/>
      <c r="BJ15" s="333"/>
      <c r="BK15" s="277">
        <v>44033</v>
      </c>
      <c r="BL15" s="277"/>
      <c r="BM15" s="277">
        <v>44195</v>
      </c>
      <c r="BN15" s="277"/>
      <c r="BO15" s="411" t="s">
        <v>879</v>
      </c>
      <c r="BP15" s="221"/>
    </row>
    <row r="16" spans="1:86" s="91" customFormat="1" ht="27" customHeight="1" x14ac:dyDescent="0.2">
      <c r="A16" s="300">
        <v>2</v>
      </c>
      <c r="B16" s="301" t="s">
        <v>892</v>
      </c>
      <c r="C16" s="302"/>
      <c r="D16" s="242"/>
      <c r="E16" s="303"/>
      <c r="F16" s="303"/>
      <c r="G16" s="303"/>
      <c r="H16" s="242"/>
      <c r="I16" s="242"/>
      <c r="J16" s="383"/>
      <c r="K16" s="383"/>
      <c r="L16" s="305"/>
      <c r="M16" s="304"/>
      <c r="N16" s="310"/>
      <c r="O16" s="308"/>
      <c r="P16" s="309"/>
      <c r="Q16" s="310"/>
      <c r="R16" s="310"/>
      <c r="S16" s="310"/>
      <c r="T16" s="311"/>
      <c r="U16" s="311"/>
      <c r="V16" s="311"/>
      <c r="W16" s="312"/>
      <c r="X16" s="310"/>
      <c r="Y16" s="304"/>
      <c r="Z16" s="304"/>
      <c r="AA16" s="304"/>
      <c r="AB16" s="304"/>
      <c r="AC16" s="304"/>
      <c r="AD16" s="304"/>
      <c r="AE16" s="304"/>
      <c r="AF16" s="304"/>
      <c r="AG16" s="304"/>
      <c r="AH16" s="304"/>
      <c r="AI16" s="304"/>
      <c r="AJ16" s="304"/>
      <c r="AK16" s="304"/>
      <c r="AL16" s="304"/>
      <c r="AM16" s="304"/>
      <c r="AN16" s="304"/>
      <c r="AO16" s="304"/>
      <c r="AP16" s="304"/>
      <c r="AQ16" s="304"/>
      <c r="AR16" s="304"/>
      <c r="AS16" s="304"/>
      <c r="AT16" s="304"/>
      <c r="AU16" s="304"/>
      <c r="AV16" s="304"/>
      <c r="AW16" s="304"/>
      <c r="AX16" s="304"/>
      <c r="AY16" s="304"/>
      <c r="AZ16" s="304"/>
      <c r="BA16" s="304"/>
      <c r="BB16" s="304"/>
      <c r="BC16" s="304"/>
      <c r="BD16" s="304"/>
      <c r="BE16" s="304"/>
      <c r="BF16" s="304"/>
      <c r="BG16" s="304"/>
      <c r="BH16" s="304"/>
      <c r="BI16" s="304"/>
      <c r="BJ16" s="304"/>
      <c r="BK16" s="313"/>
      <c r="BL16" s="313"/>
      <c r="BM16" s="313"/>
      <c r="BN16" s="313"/>
      <c r="BO16" s="864"/>
      <c r="BP16" s="3"/>
      <c r="BQ16" s="3"/>
      <c r="BR16" s="3"/>
      <c r="BS16" s="3"/>
      <c r="BT16" s="3"/>
      <c r="BU16" s="3"/>
      <c r="BV16" s="3"/>
      <c r="BW16" s="3"/>
      <c r="BX16" s="3"/>
      <c r="BY16" s="3"/>
      <c r="BZ16" s="3"/>
      <c r="CA16" s="3"/>
      <c r="CB16" s="3"/>
      <c r="CC16" s="3"/>
      <c r="CD16" s="3"/>
      <c r="CE16" s="3"/>
      <c r="CF16" s="3"/>
      <c r="CG16" s="3"/>
      <c r="CH16" s="3"/>
    </row>
    <row r="17" spans="1:86" s="3" customFormat="1" ht="27" customHeight="1" x14ac:dyDescent="0.2">
      <c r="A17" s="167"/>
      <c r="B17" s="253"/>
      <c r="C17" s="254"/>
      <c r="D17" s="656">
        <v>31</v>
      </c>
      <c r="E17" s="256" t="s">
        <v>893</v>
      </c>
      <c r="F17" s="257"/>
      <c r="G17" s="258"/>
      <c r="H17" s="259"/>
      <c r="I17" s="259"/>
      <c r="J17" s="261"/>
      <c r="K17" s="261"/>
      <c r="L17" s="280"/>
      <c r="M17" s="262"/>
      <c r="N17" s="266"/>
      <c r="O17" s="264"/>
      <c r="P17" s="265"/>
      <c r="Q17" s="266"/>
      <c r="R17" s="266"/>
      <c r="S17" s="266"/>
      <c r="T17" s="267"/>
      <c r="U17" s="267"/>
      <c r="V17" s="267"/>
      <c r="W17" s="268"/>
      <c r="X17" s="266"/>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2"/>
      <c r="BH17" s="262"/>
      <c r="BI17" s="262"/>
      <c r="BJ17" s="262"/>
      <c r="BK17" s="269"/>
      <c r="BL17" s="269"/>
      <c r="BM17" s="269"/>
      <c r="BN17" s="269"/>
      <c r="BO17" s="668"/>
    </row>
    <row r="18" spans="1:86" s="3" customFormat="1" ht="117" customHeight="1" x14ac:dyDescent="0.2">
      <c r="A18" s="28"/>
      <c r="B18" s="73"/>
      <c r="C18" s="74"/>
      <c r="D18" s="210"/>
      <c r="E18" s="426"/>
      <c r="F18" s="427"/>
      <c r="G18" s="271">
        <v>3903005</v>
      </c>
      <c r="H18" s="503" t="s">
        <v>894</v>
      </c>
      <c r="I18" s="213" t="s">
        <v>895</v>
      </c>
      <c r="J18" s="865">
        <v>1</v>
      </c>
      <c r="K18" s="428"/>
      <c r="L18" s="36" t="s">
        <v>896</v>
      </c>
      <c r="M18" s="862" t="s">
        <v>897</v>
      </c>
      <c r="N18" s="503" t="s">
        <v>898</v>
      </c>
      <c r="O18" s="563">
        <f>+T18/P18</f>
        <v>1</v>
      </c>
      <c r="P18" s="430">
        <f>+T18</f>
        <v>63000000</v>
      </c>
      <c r="Q18" s="866" t="s">
        <v>899</v>
      </c>
      <c r="R18" s="866" t="s">
        <v>900</v>
      </c>
      <c r="S18" s="503" t="s">
        <v>894</v>
      </c>
      <c r="T18" s="430">
        <v>63000000</v>
      </c>
      <c r="U18" s="430"/>
      <c r="V18" s="430"/>
      <c r="W18" s="411" t="s">
        <v>901</v>
      </c>
      <c r="X18" s="213" t="s">
        <v>878</v>
      </c>
      <c r="Y18" s="111">
        <v>295972</v>
      </c>
      <c r="Z18" s="111"/>
      <c r="AA18" s="111">
        <v>285580</v>
      </c>
      <c r="AB18" s="111"/>
      <c r="AC18" s="111">
        <v>66084</v>
      </c>
      <c r="AD18" s="111"/>
      <c r="AE18" s="111">
        <v>21618</v>
      </c>
      <c r="AF18" s="111"/>
      <c r="AG18" s="111">
        <v>157087</v>
      </c>
      <c r="AH18" s="111"/>
      <c r="AI18" s="111">
        <v>51183</v>
      </c>
      <c r="AJ18" s="111"/>
      <c r="AK18" s="111">
        <v>2145</v>
      </c>
      <c r="AL18" s="111"/>
      <c r="AM18" s="111">
        <v>12718</v>
      </c>
      <c r="AN18" s="111"/>
      <c r="AO18" s="111">
        <v>26</v>
      </c>
      <c r="AP18" s="111"/>
      <c r="AQ18" s="111">
        <v>37</v>
      </c>
      <c r="AR18" s="111"/>
      <c r="AS18" s="111">
        <v>0</v>
      </c>
      <c r="AT18" s="111"/>
      <c r="AU18" s="111">
        <v>0</v>
      </c>
      <c r="AV18" s="111"/>
      <c r="AW18" s="111">
        <v>44350</v>
      </c>
      <c r="AX18" s="111"/>
      <c r="AY18" s="111">
        <v>21944</v>
      </c>
      <c r="AZ18" s="111"/>
      <c r="BA18" s="111">
        <v>578</v>
      </c>
      <c r="BB18" s="111"/>
      <c r="BC18" s="111">
        <f>+Y18+AA18</f>
        <v>581552</v>
      </c>
      <c r="BD18" s="333"/>
      <c r="BE18" s="333"/>
      <c r="BF18" s="593">
        <f>SUM(U18)</f>
        <v>0</v>
      </c>
      <c r="BG18" s="593">
        <f>SUM(V18)</f>
        <v>0</v>
      </c>
      <c r="BH18" s="333"/>
      <c r="BI18" s="333"/>
      <c r="BJ18" s="333"/>
      <c r="BK18" s="277">
        <v>44025</v>
      </c>
      <c r="BL18" s="277"/>
      <c r="BM18" s="277">
        <v>44195</v>
      </c>
      <c r="BN18" s="277"/>
      <c r="BO18" s="411" t="s">
        <v>879</v>
      </c>
      <c r="BP18" s="221"/>
    </row>
    <row r="19" spans="1:86" s="3" customFormat="1" ht="27" customHeight="1" x14ac:dyDescent="0.2">
      <c r="A19" s="14"/>
      <c r="B19" s="192"/>
      <c r="C19" s="495"/>
      <c r="D19" s="867">
        <v>32</v>
      </c>
      <c r="E19" s="256" t="s">
        <v>902</v>
      </c>
      <c r="F19" s="257"/>
      <c r="G19" s="258"/>
      <c r="H19" s="259"/>
      <c r="I19" s="259"/>
      <c r="J19" s="261"/>
      <c r="K19" s="261"/>
      <c r="L19" s="280"/>
      <c r="M19" s="262"/>
      <c r="N19" s="266"/>
      <c r="O19" s="264"/>
      <c r="P19" s="265"/>
      <c r="Q19" s="266"/>
      <c r="R19" s="266"/>
      <c r="S19" s="266"/>
      <c r="T19" s="267"/>
      <c r="U19" s="267"/>
      <c r="V19" s="267"/>
      <c r="W19" s="268"/>
      <c r="X19" s="266"/>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2"/>
      <c r="AZ19" s="262"/>
      <c r="BA19" s="262"/>
      <c r="BB19" s="262"/>
      <c r="BC19" s="262"/>
      <c r="BD19" s="262"/>
      <c r="BE19" s="262"/>
      <c r="BF19" s="262"/>
      <c r="BG19" s="262"/>
      <c r="BH19" s="262"/>
      <c r="BI19" s="262"/>
      <c r="BJ19" s="262"/>
      <c r="BK19" s="269"/>
      <c r="BL19" s="269"/>
      <c r="BM19" s="269"/>
      <c r="BN19" s="269"/>
      <c r="BO19" s="668"/>
    </row>
    <row r="20" spans="1:86" s="3" customFormat="1" ht="154.5" customHeight="1" x14ac:dyDescent="0.2">
      <c r="A20" s="861"/>
      <c r="B20" s="515"/>
      <c r="C20" s="516"/>
      <c r="D20" s="210"/>
      <c r="E20" s="426"/>
      <c r="F20" s="427"/>
      <c r="G20" s="865" t="s">
        <v>903</v>
      </c>
      <c r="H20" s="213" t="s">
        <v>904</v>
      </c>
      <c r="I20" s="213" t="s">
        <v>905</v>
      </c>
      <c r="J20" s="865">
        <v>1</v>
      </c>
      <c r="K20" s="428"/>
      <c r="L20" s="36" t="s">
        <v>906</v>
      </c>
      <c r="M20" s="862" t="s">
        <v>907</v>
      </c>
      <c r="N20" s="503" t="s">
        <v>908</v>
      </c>
      <c r="O20" s="563">
        <f>+T20/P20</f>
        <v>1</v>
      </c>
      <c r="P20" s="430">
        <f>+T20</f>
        <v>18000000</v>
      </c>
      <c r="Q20" s="868" t="s">
        <v>909</v>
      </c>
      <c r="R20" s="108" t="s">
        <v>910</v>
      </c>
      <c r="S20" s="213" t="s">
        <v>904</v>
      </c>
      <c r="T20" s="430">
        <v>18000000</v>
      </c>
      <c r="U20" s="430"/>
      <c r="V20" s="430"/>
      <c r="W20" s="411">
        <v>88</v>
      </c>
      <c r="X20" s="213" t="s">
        <v>891</v>
      </c>
      <c r="Y20" s="111">
        <v>295972</v>
      </c>
      <c r="Z20" s="111"/>
      <c r="AA20" s="111">
        <v>294321</v>
      </c>
      <c r="AB20" s="111"/>
      <c r="AC20" s="111">
        <v>132302</v>
      </c>
      <c r="AD20" s="111"/>
      <c r="AE20" s="111">
        <v>43426</v>
      </c>
      <c r="AF20" s="111"/>
      <c r="AG20" s="111">
        <v>313940</v>
      </c>
      <c r="AH20" s="111"/>
      <c r="AI20" s="111">
        <v>100625</v>
      </c>
      <c r="AJ20" s="111"/>
      <c r="AK20" s="111">
        <v>2145</v>
      </c>
      <c r="AL20" s="111"/>
      <c r="AM20" s="111">
        <v>12718</v>
      </c>
      <c r="AN20" s="111"/>
      <c r="AO20" s="111">
        <v>36</v>
      </c>
      <c r="AP20" s="111"/>
      <c r="AQ20" s="863">
        <v>0</v>
      </c>
      <c r="AR20" s="863"/>
      <c r="AS20" s="863">
        <v>0</v>
      </c>
      <c r="AT20" s="863"/>
      <c r="AU20" s="863">
        <v>0</v>
      </c>
      <c r="AV20" s="863"/>
      <c r="AW20" s="111">
        <v>70</v>
      </c>
      <c r="AX20" s="111"/>
      <c r="AY20" s="111">
        <v>21944</v>
      </c>
      <c r="AZ20" s="111"/>
      <c r="BA20" s="111">
        <v>285</v>
      </c>
      <c r="BB20" s="111"/>
      <c r="BC20" s="111">
        <v>590292</v>
      </c>
      <c r="BD20" s="333"/>
      <c r="BE20" s="333"/>
      <c r="BF20" s="333"/>
      <c r="BG20" s="333"/>
      <c r="BH20" s="333"/>
      <c r="BI20" s="333"/>
      <c r="BJ20" s="333"/>
      <c r="BK20" s="277">
        <v>44033</v>
      </c>
      <c r="BL20" s="277"/>
      <c r="BM20" s="277">
        <v>44195</v>
      </c>
      <c r="BN20" s="277"/>
      <c r="BO20" s="411" t="s">
        <v>879</v>
      </c>
      <c r="BP20" s="221"/>
    </row>
    <row r="21" spans="1:86" s="91" customFormat="1" ht="27" customHeight="1" x14ac:dyDescent="0.2">
      <c r="A21" s="300">
        <v>4</v>
      </c>
      <c r="B21" s="301" t="s">
        <v>132</v>
      </c>
      <c r="C21" s="302"/>
      <c r="D21" s="242"/>
      <c r="E21" s="303"/>
      <c r="F21" s="303"/>
      <c r="G21" s="303"/>
      <c r="H21" s="242"/>
      <c r="I21" s="242"/>
      <c r="J21" s="383"/>
      <c r="K21" s="383"/>
      <c r="L21" s="305"/>
      <c r="M21" s="304"/>
      <c r="N21" s="310"/>
      <c r="O21" s="308"/>
      <c r="P21" s="309"/>
      <c r="Q21" s="310"/>
      <c r="R21" s="310" t="s">
        <v>911</v>
      </c>
      <c r="S21" s="310"/>
      <c r="T21" s="311"/>
      <c r="U21" s="311"/>
      <c r="V21" s="311"/>
      <c r="W21" s="312"/>
      <c r="X21" s="310"/>
      <c r="Y21" s="304"/>
      <c r="Z21" s="304"/>
      <c r="AA21" s="304"/>
      <c r="AB21" s="304"/>
      <c r="AC21" s="304"/>
      <c r="AD21" s="304"/>
      <c r="AE21" s="304"/>
      <c r="AF21" s="304"/>
      <c r="AG21" s="304"/>
      <c r="AH21" s="304"/>
      <c r="AI21" s="304"/>
      <c r="AJ21" s="304"/>
      <c r="AK21" s="304"/>
      <c r="AL21" s="304"/>
      <c r="AM21" s="304"/>
      <c r="AN21" s="304"/>
      <c r="AO21" s="304"/>
      <c r="AP21" s="304"/>
      <c r="AQ21" s="304"/>
      <c r="AR21" s="304"/>
      <c r="AS21" s="304"/>
      <c r="AT21" s="304"/>
      <c r="AU21" s="304"/>
      <c r="AV21" s="304"/>
      <c r="AW21" s="304"/>
      <c r="AX21" s="304"/>
      <c r="AY21" s="304"/>
      <c r="AZ21" s="304"/>
      <c r="BA21" s="304"/>
      <c r="BB21" s="304"/>
      <c r="BC21" s="304"/>
      <c r="BD21" s="304"/>
      <c r="BE21" s="304"/>
      <c r="BF21" s="304"/>
      <c r="BG21" s="304"/>
      <c r="BH21" s="304"/>
      <c r="BI21" s="304"/>
      <c r="BJ21" s="304"/>
      <c r="BK21" s="313"/>
      <c r="BL21" s="313"/>
      <c r="BM21" s="313"/>
      <c r="BN21" s="313"/>
      <c r="BO21" s="864"/>
      <c r="BP21" s="3"/>
      <c r="BQ21" s="3"/>
      <c r="BR21" s="3"/>
      <c r="BS21" s="3"/>
      <c r="BT21" s="3"/>
      <c r="BU21" s="3"/>
      <c r="BV21" s="3"/>
      <c r="BW21" s="3"/>
      <c r="BX21" s="3"/>
      <c r="BY21" s="3"/>
      <c r="BZ21" s="3"/>
      <c r="CA21" s="3"/>
      <c r="CB21" s="3"/>
      <c r="CC21" s="3"/>
      <c r="CD21" s="3"/>
      <c r="CE21" s="3"/>
      <c r="CF21" s="3"/>
      <c r="CG21" s="3"/>
      <c r="CH21" s="3"/>
    </row>
    <row r="22" spans="1:86" s="3" customFormat="1" ht="27" customHeight="1" x14ac:dyDescent="0.2">
      <c r="A22" s="167"/>
      <c r="B22" s="253"/>
      <c r="C22" s="254"/>
      <c r="D22" s="656">
        <v>17</v>
      </c>
      <c r="E22" s="256" t="s">
        <v>883</v>
      </c>
      <c r="F22" s="257"/>
      <c r="G22" s="258"/>
      <c r="H22" s="259"/>
      <c r="I22" s="259"/>
      <c r="J22" s="261"/>
      <c r="K22" s="261"/>
      <c r="L22" s="280"/>
      <c r="M22" s="262"/>
      <c r="N22" s="266"/>
      <c r="O22" s="264"/>
      <c r="P22" s="265"/>
      <c r="Q22" s="266"/>
      <c r="R22" s="266"/>
      <c r="S22" s="266"/>
      <c r="T22" s="267"/>
      <c r="U22" s="267"/>
      <c r="V22" s="267"/>
      <c r="W22" s="268"/>
      <c r="X22" s="266"/>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c r="BC22" s="262"/>
      <c r="BD22" s="262"/>
      <c r="BE22" s="262"/>
      <c r="BF22" s="262"/>
      <c r="BG22" s="262"/>
      <c r="BH22" s="262"/>
      <c r="BI22" s="262"/>
      <c r="BJ22" s="262"/>
      <c r="BK22" s="269"/>
      <c r="BL22" s="269"/>
      <c r="BM22" s="269"/>
      <c r="BN22" s="269"/>
      <c r="BO22" s="668"/>
    </row>
    <row r="23" spans="1:86" s="4" customFormat="1" ht="57" customHeight="1" x14ac:dyDescent="0.25">
      <c r="A23" s="869"/>
      <c r="B23" s="350"/>
      <c r="C23" s="870"/>
      <c r="D23" s="330"/>
      <c r="E23" s="330"/>
      <c r="F23" s="331"/>
      <c r="G23" s="271">
        <v>2302066</v>
      </c>
      <c r="H23" s="503" t="s">
        <v>912</v>
      </c>
      <c r="I23" s="40" t="s">
        <v>913</v>
      </c>
      <c r="J23" s="863">
        <v>30</v>
      </c>
      <c r="K23" s="114"/>
      <c r="L23" s="1281" t="s">
        <v>914</v>
      </c>
      <c r="M23" s="1293" t="s">
        <v>915</v>
      </c>
      <c r="N23" s="1293" t="s">
        <v>916</v>
      </c>
      <c r="O23" s="295">
        <f>(T23)/(P23)</f>
        <v>7.0292213370246562E-2</v>
      </c>
      <c r="P23" s="1404">
        <f>SUM(T23:T25)</f>
        <v>203721000</v>
      </c>
      <c r="Q23" s="1296" t="s">
        <v>917</v>
      </c>
      <c r="R23" s="1296" t="s">
        <v>918</v>
      </c>
      <c r="S23" s="503" t="s">
        <v>912</v>
      </c>
      <c r="T23" s="430">
        <v>14320000</v>
      </c>
      <c r="U23" s="430"/>
      <c r="V23" s="430"/>
      <c r="W23" s="217">
        <v>88</v>
      </c>
      <c r="X23" s="213" t="s">
        <v>891</v>
      </c>
      <c r="Y23" s="1436">
        <v>295972</v>
      </c>
      <c r="Z23" s="1436">
        <v>37</v>
      </c>
      <c r="AA23" s="1436">
        <v>285580</v>
      </c>
      <c r="AB23" s="1436">
        <v>33</v>
      </c>
      <c r="AC23" s="1436">
        <v>66084</v>
      </c>
      <c r="AD23" s="1436"/>
      <c r="AE23" s="1436">
        <v>21618</v>
      </c>
      <c r="AF23" s="1436"/>
      <c r="AG23" s="1436">
        <v>157087</v>
      </c>
      <c r="AH23" s="1436">
        <v>70</v>
      </c>
      <c r="AI23" s="1436">
        <v>51183</v>
      </c>
      <c r="AJ23" s="1436"/>
      <c r="AK23" s="1436">
        <v>2145</v>
      </c>
      <c r="AL23" s="1436"/>
      <c r="AM23" s="1436">
        <v>12718</v>
      </c>
      <c r="AN23" s="1436"/>
      <c r="AO23" s="1436">
        <v>26</v>
      </c>
      <c r="AP23" s="1436"/>
      <c r="AQ23" s="1436">
        <v>37</v>
      </c>
      <c r="AR23" s="1436"/>
      <c r="AS23" s="1436">
        <v>0</v>
      </c>
      <c r="AT23" s="1436"/>
      <c r="AU23" s="1436">
        <v>0</v>
      </c>
      <c r="AV23" s="1436"/>
      <c r="AW23" s="1436">
        <v>44350</v>
      </c>
      <c r="AX23" s="1436"/>
      <c r="AY23" s="1436">
        <v>21944</v>
      </c>
      <c r="AZ23" s="1436"/>
      <c r="BA23" s="1436">
        <v>578</v>
      </c>
      <c r="BB23" s="1436"/>
      <c r="BC23" s="1436">
        <f>+Y23+AA23</f>
        <v>581552</v>
      </c>
      <c r="BD23" s="1436"/>
      <c r="BE23" s="1436">
        <v>14</v>
      </c>
      <c r="BF23" s="1540">
        <f>SUM(U23:U25)</f>
        <v>146689132</v>
      </c>
      <c r="BG23" s="1540">
        <f>SUM(V23:V25)</f>
        <v>134611132</v>
      </c>
      <c r="BH23" s="1542">
        <f>BG23/BF23</f>
        <v>0.91766261184230058</v>
      </c>
      <c r="BI23" s="1436">
        <v>20</v>
      </c>
      <c r="BJ23" s="1614" t="s">
        <v>919</v>
      </c>
      <c r="BK23" s="1541">
        <v>43859</v>
      </c>
      <c r="BL23" s="1541"/>
      <c r="BM23" s="1306">
        <v>44195</v>
      </c>
      <c r="BN23" s="1436"/>
      <c r="BO23" s="1478" t="s">
        <v>879</v>
      </c>
    </row>
    <row r="24" spans="1:86" s="4" customFormat="1" ht="57" customHeight="1" x14ac:dyDescent="0.25">
      <c r="A24" s="869"/>
      <c r="B24" s="350"/>
      <c r="C24" s="870"/>
      <c r="D24" s="91"/>
      <c r="E24" s="91"/>
      <c r="F24" s="89"/>
      <c r="G24" s="1604">
        <v>2302033</v>
      </c>
      <c r="H24" s="1415" t="s">
        <v>920</v>
      </c>
      <c r="I24" s="1293" t="s">
        <v>921</v>
      </c>
      <c r="J24" s="1770">
        <v>100</v>
      </c>
      <c r="K24" s="1772"/>
      <c r="L24" s="1282"/>
      <c r="M24" s="1294"/>
      <c r="N24" s="1294"/>
      <c r="O24" s="1421">
        <f>(T25+T24)/(P23)</f>
        <v>0.9297077866297534</v>
      </c>
      <c r="P24" s="1611"/>
      <c r="Q24" s="1297"/>
      <c r="R24" s="1297"/>
      <c r="S24" s="1415" t="s">
        <v>920</v>
      </c>
      <c r="T24" s="430">
        <v>146689132</v>
      </c>
      <c r="U24" s="430">
        <v>146689132</v>
      </c>
      <c r="V24" s="430">
        <v>134611132</v>
      </c>
      <c r="W24" s="217">
        <v>20</v>
      </c>
      <c r="X24" s="213" t="s">
        <v>922</v>
      </c>
      <c r="Y24" s="1617"/>
      <c r="Z24" s="1617"/>
      <c r="AA24" s="1617"/>
      <c r="AB24" s="1617"/>
      <c r="AC24" s="1617"/>
      <c r="AD24" s="1617"/>
      <c r="AE24" s="1617"/>
      <c r="AF24" s="1617"/>
      <c r="AG24" s="1617"/>
      <c r="AH24" s="1617"/>
      <c r="AI24" s="1617"/>
      <c r="AJ24" s="1617"/>
      <c r="AK24" s="1617"/>
      <c r="AL24" s="1617"/>
      <c r="AM24" s="1617"/>
      <c r="AN24" s="1617"/>
      <c r="AO24" s="1617"/>
      <c r="AP24" s="1617"/>
      <c r="AQ24" s="1617"/>
      <c r="AR24" s="1617"/>
      <c r="AS24" s="1617"/>
      <c r="AT24" s="1617"/>
      <c r="AU24" s="1617"/>
      <c r="AV24" s="1617"/>
      <c r="AW24" s="1617"/>
      <c r="AX24" s="1617"/>
      <c r="AY24" s="1617"/>
      <c r="AZ24" s="1617"/>
      <c r="BA24" s="1617"/>
      <c r="BB24" s="1617"/>
      <c r="BC24" s="1617"/>
      <c r="BD24" s="1617"/>
      <c r="BE24" s="1617"/>
      <c r="BF24" s="1617"/>
      <c r="BG24" s="1617"/>
      <c r="BH24" s="1543"/>
      <c r="BI24" s="1617"/>
      <c r="BJ24" s="1615"/>
      <c r="BK24" s="1617"/>
      <c r="BL24" s="1617"/>
      <c r="BM24" s="1307"/>
      <c r="BN24" s="1617"/>
      <c r="BO24" s="1534"/>
    </row>
    <row r="25" spans="1:86" s="4" customFormat="1" ht="71.25" customHeight="1" x14ac:dyDescent="0.25">
      <c r="A25" s="869"/>
      <c r="B25" s="350"/>
      <c r="C25" s="870"/>
      <c r="D25" s="91"/>
      <c r="E25" s="91"/>
      <c r="F25" s="89"/>
      <c r="G25" s="1606"/>
      <c r="H25" s="1420"/>
      <c r="I25" s="1295"/>
      <c r="J25" s="1771"/>
      <c r="K25" s="1773"/>
      <c r="L25" s="1282"/>
      <c r="M25" s="1294"/>
      <c r="N25" s="1294"/>
      <c r="O25" s="1422"/>
      <c r="P25" s="1611"/>
      <c r="Q25" s="1297"/>
      <c r="R25" s="1297"/>
      <c r="S25" s="1420"/>
      <c r="T25" s="430">
        <f>15220000+27491868</f>
        <v>42711868</v>
      </c>
      <c r="U25" s="430"/>
      <c r="V25" s="430"/>
      <c r="W25" s="217">
        <v>88</v>
      </c>
      <c r="X25" s="213" t="s">
        <v>891</v>
      </c>
      <c r="Y25" s="1617"/>
      <c r="Z25" s="1617"/>
      <c r="AA25" s="1617"/>
      <c r="AB25" s="1617"/>
      <c r="AC25" s="1617"/>
      <c r="AD25" s="1617"/>
      <c r="AE25" s="1617"/>
      <c r="AF25" s="1617"/>
      <c r="AG25" s="1617"/>
      <c r="AH25" s="1617"/>
      <c r="AI25" s="1617"/>
      <c r="AJ25" s="1617"/>
      <c r="AK25" s="1617"/>
      <c r="AL25" s="1617"/>
      <c r="AM25" s="1617"/>
      <c r="AN25" s="1617"/>
      <c r="AO25" s="1617"/>
      <c r="AP25" s="1617"/>
      <c r="AQ25" s="1617"/>
      <c r="AR25" s="1617"/>
      <c r="AS25" s="1617"/>
      <c r="AT25" s="1617"/>
      <c r="AU25" s="1617"/>
      <c r="AV25" s="1617"/>
      <c r="AW25" s="1617"/>
      <c r="AX25" s="1617"/>
      <c r="AY25" s="1617"/>
      <c r="AZ25" s="1617"/>
      <c r="BA25" s="1617"/>
      <c r="BB25" s="1617"/>
      <c r="BC25" s="1617"/>
      <c r="BD25" s="1617"/>
      <c r="BE25" s="1617"/>
      <c r="BF25" s="1617"/>
      <c r="BG25" s="1617"/>
      <c r="BH25" s="1543"/>
      <c r="BI25" s="1617"/>
      <c r="BJ25" s="1615"/>
      <c r="BK25" s="1617"/>
      <c r="BL25" s="1617"/>
      <c r="BM25" s="1307"/>
      <c r="BN25" s="1617"/>
      <c r="BO25" s="1534"/>
    </row>
    <row r="26" spans="1:86" s="4" customFormat="1" ht="27" customHeight="1" x14ac:dyDescent="0.2">
      <c r="A26" s="484"/>
      <c r="B26" s="485"/>
      <c r="C26" s="486"/>
      <c r="D26" s="487"/>
      <c r="E26" s="487"/>
      <c r="F26" s="488"/>
      <c r="G26" s="871"/>
      <c r="H26" s="113"/>
      <c r="I26" s="114"/>
      <c r="J26" s="114"/>
      <c r="K26" s="114"/>
      <c r="L26" s="115"/>
      <c r="M26" s="115"/>
      <c r="N26" s="113"/>
      <c r="O26" s="116"/>
      <c r="P26" s="344">
        <f>SUM(P12:P25)</f>
        <v>491885000</v>
      </c>
      <c r="Q26" s="118"/>
      <c r="R26" s="118"/>
      <c r="S26" s="118"/>
      <c r="T26" s="344">
        <f>SUM(T12:T25)</f>
        <v>491885000</v>
      </c>
      <c r="U26" s="344">
        <f>SUM(U12:U25)</f>
        <v>146689132</v>
      </c>
      <c r="V26" s="344">
        <f>SUM(V12:V25)</f>
        <v>134611132</v>
      </c>
      <c r="W26" s="110"/>
      <c r="X26" s="92"/>
      <c r="Y26" s="871"/>
      <c r="Z26" s="871"/>
      <c r="AA26" s="871"/>
      <c r="AB26" s="871"/>
      <c r="AC26" s="871"/>
      <c r="AD26" s="871"/>
      <c r="AE26" s="871"/>
      <c r="AF26" s="871"/>
      <c r="AG26" s="871"/>
      <c r="AH26" s="871"/>
      <c r="AI26" s="871"/>
      <c r="AJ26" s="871"/>
      <c r="AK26" s="871"/>
      <c r="AL26" s="871"/>
      <c r="AM26" s="871"/>
      <c r="AN26" s="871"/>
      <c r="AO26" s="871"/>
      <c r="AP26" s="871"/>
      <c r="AQ26" s="871"/>
      <c r="AR26" s="871"/>
      <c r="AS26" s="871"/>
      <c r="AT26" s="871"/>
      <c r="AU26" s="871"/>
      <c r="AV26" s="871"/>
      <c r="AW26" s="871"/>
      <c r="AX26" s="871"/>
      <c r="AY26" s="871"/>
      <c r="AZ26" s="871"/>
      <c r="BA26" s="871"/>
      <c r="BB26" s="871"/>
      <c r="BC26" s="871"/>
      <c r="BD26" s="871"/>
      <c r="BE26" s="871"/>
      <c r="BF26" s="344">
        <f>SUM(BF12:BF25)</f>
        <v>146689132</v>
      </c>
      <c r="BG26" s="344">
        <f>SUM(BG12:BG25)</f>
        <v>134611132</v>
      </c>
      <c r="BH26" s="372">
        <f>BG26/BF26</f>
        <v>0.91766261184230058</v>
      </c>
      <c r="BI26" s="871"/>
      <c r="BJ26" s="871"/>
      <c r="BK26" s="648"/>
      <c r="BL26" s="648"/>
      <c r="BM26" s="123"/>
      <c r="BN26" s="123"/>
      <c r="BO26" s="124"/>
    </row>
    <row r="28" spans="1:86" ht="73.5" customHeight="1" x14ac:dyDescent="0.2">
      <c r="B28" s="347"/>
      <c r="C28" s="348"/>
      <c r="D28" s="103"/>
      <c r="E28" s="103"/>
      <c r="F28" s="103"/>
      <c r="G28" s="103"/>
      <c r="S28" s="872"/>
    </row>
    <row r="29" spans="1:86" ht="27" customHeight="1" x14ac:dyDescent="0.25">
      <c r="B29" s="350" t="s">
        <v>923</v>
      </c>
      <c r="C29" s="125"/>
      <c r="D29" s="4"/>
      <c r="E29" s="4"/>
      <c r="F29" s="4"/>
      <c r="G29" s="4"/>
    </row>
    <row r="30" spans="1:86" ht="27" customHeight="1" x14ac:dyDescent="0.25">
      <c r="B30" s="140" t="s">
        <v>924</v>
      </c>
      <c r="C30" s="125"/>
      <c r="D30" s="4"/>
      <c r="E30" s="4"/>
      <c r="F30" s="4"/>
      <c r="G30" s="4"/>
    </row>
    <row r="31" spans="1:86" ht="27" customHeight="1" x14ac:dyDescent="0.2">
      <c r="B31" s="137"/>
      <c r="C31" s="125"/>
      <c r="D31" s="4"/>
      <c r="E31" s="4"/>
      <c r="F31" s="4"/>
      <c r="G31" s="4"/>
    </row>
  </sheetData>
  <sheetProtection password="A60F" sheet="1" objects="1" scenarios="1"/>
  <mergeCells count="160">
    <mergeCell ref="I7:I9"/>
    <mergeCell ref="J7:K8"/>
    <mergeCell ref="L7:L9"/>
    <mergeCell ref="M7:M9"/>
    <mergeCell ref="N7:N9"/>
    <mergeCell ref="O7:O9"/>
    <mergeCell ref="A1:BM4"/>
    <mergeCell ref="A5:J6"/>
    <mergeCell ref="L5:BO5"/>
    <mergeCell ref="Y6:BD6"/>
    <mergeCell ref="A7:A9"/>
    <mergeCell ref="B7:C9"/>
    <mergeCell ref="D7:D9"/>
    <mergeCell ref="E7:F9"/>
    <mergeCell ref="G7:G9"/>
    <mergeCell ref="H7:H9"/>
    <mergeCell ref="X7:X9"/>
    <mergeCell ref="Y7:AB7"/>
    <mergeCell ref="AC7:AJ7"/>
    <mergeCell ref="AK7:AV7"/>
    <mergeCell ref="Y8:Z8"/>
    <mergeCell ref="AA8:AB8"/>
    <mergeCell ref="AC8:AD8"/>
    <mergeCell ref="AE8:AF8"/>
    <mergeCell ref="P7:P9"/>
    <mergeCell ref="Q7:Q9"/>
    <mergeCell ref="R7:R9"/>
    <mergeCell ref="S7:S9"/>
    <mergeCell ref="T7:T9"/>
    <mergeCell ref="U7:U9"/>
    <mergeCell ref="AW7:BB7"/>
    <mergeCell ref="BC7:BD8"/>
    <mergeCell ref="BE7:BJ7"/>
    <mergeCell ref="AI8:AJ8"/>
    <mergeCell ref="AK8:AL8"/>
    <mergeCell ref="AM8:AN8"/>
    <mergeCell ref="AO8:AP8"/>
    <mergeCell ref="AQ8:AR8"/>
    <mergeCell ref="V7:V9"/>
    <mergeCell ref="W7:W9"/>
    <mergeCell ref="BK7:BL8"/>
    <mergeCell ref="BM7:BN8"/>
    <mergeCell ref="BO7:BO9"/>
    <mergeCell ref="BF8:BF9"/>
    <mergeCell ref="BG8:BG9"/>
    <mergeCell ref="BH8:BH9"/>
    <mergeCell ref="BI8:BI9"/>
    <mergeCell ref="BJ8:BJ9"/>
    <mergeCell ref="L12:L13"/>
    <mergeCell ref="M12:M13"/>
    <mergeCell ref="N12:N13"/>
    <mergeCell ref="Q12:Q13"/>
    <mergeCell ref="W12:W13"/>
    <mergeCell ref="X12:X13"/>
    <mergeCell ref="Y12:Y13"/>
    <mergeCell ref="Z12:Z13"/>
    <mergeCell ref="AA12:AA13"/>
    <mergeCell ref="AS8:AT8"/>
    <mergeCell ref="AU8:AV8"/>
    <mergeCell ref="AW8:AX8"/>
    <mergeCell ref="AY8:AZ8"/>
    <mergeCell ref="BA8:BB8"/>
    <mergeCell ref="BE8:BE9"/>
    <mergeCell ref="AG8:AH8"/>
    <mergeCell ref="AH12:AH13"/>
    <mergeCell ref="AI12:AI13"/>
    <mergeCell ref="AJ12:AJ13"/>
    <mergeCell ref="AK12:AK13"/>
    <mergeCell ref="AL12:AL13"/>
    <mergeCell ref="AM12:AM13"/>
    <mergeCell ref="AB12:AB13"/>
    <mergeCell ref="AC12:AC13"/>
    <mergeCell ref="AD12:AD13"/>
    <mergeCell ref="AE12:AE13"/>
    <mergeCell ref="AF12:AF13"/>
    <mergeCell ref="AG12:AG13"/>
    <mergeCell ref="AV12:AV13"/>
    <mergeCell ref="AW12:AW13"/>
    <mergeCell ref="AX12:AX13"/>
    <mergeCell ref="AY12:AY13"/>
    <mergeCell ref="AN12:AN13"/>
    <mergeCell ref="AO12:AO13"/>
    <mergeCell ref="AP12:AP13"/>
    <mergeCell ref="AQ12:AQ13"/>
    <mergeCell ref="AR12:AR13"/>
    <mergeCell ref="AS12:AS13"/>
    <mergeCell ref="BL12:BL13"/>
    <mergeCell ref="BM12:BM13"/>
    <mergeCell ref="BN12:BN13"/>
    <mergeCell ref="BO12:BO13"/>
    <mergeCell ref="L23:L25"/>
    <mergeCell ref="M23:M25"/>
    <mergeCell ref="N23:N25"/>
    <mergeCell ref="P23:P25"/>
    <mergeCell ref="Q23:Q25"/>
    <mergeCell ref="R23:R25"/>
    <mergeCell ref="BF12:BF13"/>
    <mergeCell ref="BG12:BG13"/>
    <mergeCell ref="BH12:BH13"/>
    <mergeCell ref="BI12:BI13"/>
    <mergeCell ref="BJ12:BJ13"/>
    <mergeCell ref="BK12:BK13"/>
    <mergeCell ref="AZ12:AZ13"/>
    <mergeCell ref="BA12:BA13"/>
    <mergeCell ref="BB12:BB13"/>
    <mergeCell ref="BC12:BC13"/>
    <mergeCell ref="BD12:BD13"/>
    <mergeCell ref="BE12:BE13"/>
    <mergeCell ref="AT12:AT13"/>
    <mergeCell ref="AU12:AU13"/>
    <mergeCell ref="AE23:AE25"/>
    <mergeCell ref="AF23:AF25"/>
    <mergeCell ref="AG23:AG25"/>
    <mergeCell ref="AH23:AH25"/>
    <mergeCell ref="AI23:AI25"/>
    <mergeCell ref="AJ23:AJ25"/>
    <mergeCell ref="Y23:Y25"/>
    <mergeCell ref="Z23:Z25"/>
    <mergeCell ref="AA23:AA25"/>
    <mergeCell ref="AB23:AB25"/>
    <mergeCell ref="AC23:AC25"/>
    <mergeCell ref="AD23:AD25"/>
    <mergeCell ref="BA23:BA25"/>
    <mergeCell ref="BB23:BB25"/>
    <mergeCell ref="AQ23:AQ25"/>
    <mergeCell ref="AR23:AR25"/>
    <mergeCell ref="AS23:AS25"/>
    <mergeCell ref="AT23:AT25"/>
    <mergeCell ref="AU23:AU25"/>
    <mergeCell ref="AV23:AV25"/>
    <mergeCell ref="AK23:AK25"/>
    <mergeCell ref="AL23:AL25"/>
    <mergeCell ref="AM23:AM25"/>
    <mergeCell ref="AN23:AN25"/>
    <mergeCell ref="AO23:AO25"/>
    <mergeCell ref="AP23:AP25"/>
    <mergeCell ref="BO23:BO25"/>
    <mergeCell ref="G24:G25"/>
    <mergeCell ref="H24:H25"/>
    <mergeCell ref="I24:I25"/>
    <mergeCell ref="J24:J25"/>
    <mergeCell ref="K24:K25"/>
    <mergeCell ref="O24:O25"/>
    <mergeCell ref="S24:S25"/>
    <mergeCell ref="BI23:BI25"/>
    <mergeCell ref="BJ23:BJ25"/>
    <mergeCell ref="BK23:BK25"/>
    <mergeCell ref="BL23:BL25"/>
    <mergeCell ref="BM23:BM25"/>
    <mergeCell ref="BN23:BN25"/>
    <mergeCell ref="BC23:BC25"/>
    <mergeCell ref="BD23:BD25"/>
    <mergeCell ref="BE23:BE25"/>
    <mergeCell ref="BF23:BF25"/>
    <mergeCell ref="BG23:BG25"/>
    <mergeCell ref="BH23:BH25"/>
    <mergeCell ref="AW23:AW25"/>
    <mergeCell ref="AX23:AX25"/>
    <mergeCell ref="AY23:AY25"/>
    <mergeCell ref="AZ23:AZ25"/>
  </mergeCells>
  <pageMargins left="1.1023622047244095" right="0.11811023622047245" top="0.35433070866141736" bottom="0.35433070866141736" header="0.31496062992125984" footer="0.31496062992125984"/>
  <pageSetup paperSize="5" scale="65"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F33"/>
  <sheetViews>
    <sheetView showGridLines="0" topLeftCell="G1" zoomScale="60" zoomScaleNormal="60" workbookViewId="0">
      <selection activeCell="P12" sqref="P12:P14"/>
    </sheetView>
  </sheetViews>
  <sheetFormatPr baseColWidth="10" defaultColWidth="11.42578125" defaultRowHeight="27" customHeight="1" x14ac:dyDescent="0.2"/>
  <cols>
    <col min="1" max="1" width="13.140625" style="222" customWidth="1"/>
    <col min="2" max="2" width="9.140625" style="146" customWidth="1"/>
    <col min="3" max="3" width="11.85546875" style="146" customWidth="1"/>
    <col min="4" max="4" width="15.42578125" style="146" customWidth="1"/>
    <col min="5" max="5" width="6.28515625" style="146" customWidth="1"/>
    <col min="6" max="6" width="13" style="146" customWidth="1"/>
    <col min="7" max="7" width="17" style="146" customWidth="1"/>
    <col min="8" max="8" width="40.140625" style="920" customWidth="1"/>
    <col min="9" max="9" width="39.5703125" style="844" customWidth="1"/>
    <col min="10" max="11" width="26.42578125" style="145" customWidth="1"/>
    <col min="12" max="12" width="30.5703125" style="131" customWidth="1"/>
    <col min="13" max="13" width="27.28515625" style="230" customWidth="1"/>
    <col min="14" max="14" width="41.42578125" style="225" customWidth="1"/>
    <col min="15" max="15" width="20.140625" style="845" customWidth="1"/>
    <col min="16" max="16" width="28" style="227" customWidth="1"/>
    <col min="17" max="17" width="40.140625" style="223" customWidth="1"/>
    <col min="18" max="18" width="39.5703125" style="223" customWidth="1"/>
    <col min="19" max="19" width="38.7109375" style="223" customWidth="1"/>
    <col min="20" max="22" width="30.42578125" style="235" customWidth="1"/>
    <col min="23" max="23" width="18.7109375" style="229" customWidth="1"/>
    <col min="24" max="24" width="39.28515625" style="225" customWidth="1"/>
    <col min="25" max="56" width="9.28515625" style="346" customWidth="1"/>
    <col min="57" max="60" width="20.7109375" style="346" customWidth="1"/>
    <col min="61" max="61" width="22.140625" style="346" customWidth="1"/>
    <col min="62" max="62" width="24.28515625" style="346" customWidth="1"/>
    <col min="63" max="64" width="21.140625" style="231" customWidth="1"/>
    <col min="65" max="66" width="22.5703125" style="232" customWidth="1"/>
    <col min="67" max="67" width="28.28515625" style="233" customWidth="1"/>
    <col min="68" max="16384" width="11.42578125" style="146"/>
  </cols>
  <sheetData>
    <row r="1" spans="1:84" ht="21" customHeight="1" x14ac:dyDescent="0.2">
      <c r="A1" s="1318" t="s">
        <v>925</v>
      </c>
      <c r="B1" s="1318"/>
      <c r="C1" s="1318"/>
      <c r="D1" s="1318"/>
      <c r="E1" s="1318"/>
      <c r="F1" s="1318"/>
      <c r="G1" s="1318"/>
      <c r="H1" s="1318"/>
      <c r="I1" s="1318"/>
      <c r="J1" s="1318"/>
      <c r="K1" s="1318"/>
      <c r="L1" s="1318"/>
      <c r="M1" s="1318"/>
      <c r="N1" s="1318"/>
      <c r="O1" s="1318"/>
      <c r="P1" s="1318"/>
      <c r="Q1" s="1318"/>
      <c r="R1" s="1318"/>
      <c r="S1" s="1318"/>
      <c r="T1" s="1318"/>
      <c r="U1" s="1318"/>
      <c r="V1" s="1318"/>
      <c r="W1" s="1318"/>
      <c r="X1" s="1318"/>
      <c r="Y1" s="1318"/>
      <c r="Z1" s="1318"/>
      <c r="AA1" s="1318"/>
      <c r="AB1" s="1318"/>
      <c r="AC1" s="1318"/>
      <c r="AD1" s="1318"/>
      <c r="AE1" s="1318"/>
      <c r="AF1" s="1318"/>
      <c r="AG1" s="1318"/>
      <c r="AH1" s="1318"/>
      <c r="AI1" s="1318"/>
      <c r="AJ1" s="1318"/>
      <c r="AK1" s="1318"/>
      <c r="AL1" s="1318"/>
      <c r="AM1" s="1318"/>
      <c r="AN1" s="1318"/>
      <c r="AO1" s="1318"/>
      <c r="AP1" s="1318"/>
      <c r="AQ1" s="1318"/>
      <c r="AR1" s="1318"/>
      <c r="AS1" s="1318"/>
      <c r="AT1" s="1318"/>
      <c r="AU1" s="1318"/>
      <c r="AV1" s="1318"/>
      <c r="AW1" s="1318"/>
      <c r="AX1" s="1318"/>
      <c r="AY1" s="1318"/>
      <c r="AZ1" s="1318"/>
      <c r="BA1" s="1318"/>
      <c r="BB1" s="1318"/>
      <c r="BC1" s="1318"/>
      <c r="BD1" s="1318"/>
      <c r="BE1" s="1318"/>
      <c r="BF1" s="1318"/>
      <c r="BG1" s="1318"/>
      <c r="BH1" s="1318"/>
      <c r="BI1" s="1318"/>
      <c r="BJ1" s="1318"/>
      <c r="BK1" s="1318"/>
      <c r="BL1" s="1318"/>
      <c r="BM1" s="1319"/>
      <c r="BN1" s="143" t="s">
        <v>1</v>
      </c>
      <c r="BO1" s="144" t="s">
        <v>131</v>
      </c>
      <c r="BP1" s="145"/>
      <c r="BQ1" s="145"/>
      <c r="BR1" s="145"/>
      <c r="BS1" s="145"/>
      <c r="BT1" s="145"/>
      <c r="BU1" s="145"/>
      <c r="BV1" s="145"/>
      <c r="BW1" s="145"/>
    </row>
    <row r="2" spans="1:84" ht="15.75" customHeight="1" x14ac:dyDescent="0.2">
      <c r="A2" s="1318"/>
      <c r="B2" s="1318"/>
      <c r="C2" s="1318"/>
      <c r="D2" s="1318"/>
      <c r="E2" s="1318"/>
      <c r="F2" s="1318"/>
      <c r="G2" s="1318"/>
      <c r="H2" s="1318"/>
      <c r="I2" s="1318"/>
      <c r="J2" s="1318"/>
      <c r="K2" s="1318"/>
      <c r="L2" s="1318"/>
      <c r="M2" s="1318"/>
      <c r="N2" s="1318"/>
      <c r="O2" s="1318"/>
      <c r="P2" s="1318"/>
      <c r="Q2" s="1318"/>
      <c r="R2" s="1318"/>
      <c r="S2" s="1318"/>
      <c r="T2" s="1318"/>
      <c r="U2" s="1318"/>
      <c r="V2" s="1318"/>
      <c r="W2" s="1318"/>
      <c r="X2" s="1318"/>
      <c r="Y2" s="1318"/>
      <c r="Z2" s="1318"/>
      <c r="AA2" s="1318"/>
      <c r="AB2" s="1318"/>
      <c r="AC2" s="1318"/>
      <c r="AD2" s="1318"/>
      <c r="AE2" s="1318"/>
      <c r="AF2" s="1318"/>
      <c r="AG2" s="1318"/>
      <c r="AH2" s="1318"/>
      <c r="AI2" s="1318"/>
      <c r="AJ2" s="1318"/>
      <c r="AK2" s="1318"/>
      <c r="AL2" s="1318"/>
      <c r="AM2" s="1318"/>
      <c r="AN2" s="1318"/>
      <c r="AO2" s="1318"/>
      <c r="AP2" s="1318"/>
      <c r="AQ2" s="1318"/>
      <c r="AR2" s="1318"/>
      <c r="AS2" s="1318"/>
      <c r="AT2" s="1318"/>
      <c r="AU2" s="1318"/>
      <c r="AV2" s="1318"/>
      <c r="AW2" s="1318"/>
      <c r="AX2" s="1318"/>
      <c r="AY2" s="1318"/>
      <c r="AZ2" s="1318"/>
      <c r="BA2" s="1318"/>
      <c r="BB2" s="1318"/>
      <c r="BC2" s="1318"/>
      <c r="BD2" s="1318"/>
      <c r="BE2" s="1318"/>
      <c r="BF2" s="1318"/>
      <c r="BG2" s="1318"/>
      <c r="BH2" s="1318"/>
      <c r="BI2" s="1318"/>
      <c r="BJ2" s="1318"/>
      <c r="BK2" s="1318"/>
      <c r="BL2" s="1318"/>
      <c r="BM2" s="1319"/>
      <c r="BN2" s="143" t="s">
        <v>3</v>
      </c>
      <c r="BO2" s="144" t="s">
        <v>4</v>
      </c>
      <c r="BP2" s="145"/>
      <c r="BQ2" s="145"/>
      <c r="BR2" s="145"/>
      <c r="BS2" s="145"/>
      <c r="BT2" s="145"/>
      <c r="BU2" s="145"/>
      <c r="BV2" s="145"/>
      <c r="BW2" s="145"/>
    </row>
    <row r="3" spans="1:84" ht="15.75" customHeight="1" x14ac:dyDescent="0.2">
      <c r="A3" s="1318"/>
      <c r="B3" s="1318"/>
      <c r="C3" s="1318"/>
      <c r="D3" s="1318"/>
      <c r="E3" s="1318"/>
      <c r="F3" s="1318"/>
      <c r="G3" s="1318"/>
      <c r="H3" s="1318"/>
      <c r="I3" s="1318"/>
      <c r="J3" s="1318"/>
      <c r="K3" s="1318"/>
      <c r="L3" s="1318"/>
      <c r="M3" s="1318"/>
      <c r="N3" s="1318"/>
      <c r="O3" s="1318"/>
      <c r="P3" s="1318"/>
      <c r="Q3" s="1318"/>
      <c r="R3" s="1318"/>
      <c r="S3" s="1318"/>
      <c r="T3" s="1318"/>
      <c r="U3" s="1318"/>
      <c r="V3" s="1318"/>
      <c r="W3" s="1318"/>
      <c r="X3" s="1318"/>
      <c r="Y3" s="1318"/>
      <c r="Z3" s="1318"/>
      <c r="AA3" s="1318"/>
      <c r="AB3" s="1318"/>
      <c r="AC3" s="1318"/>
      <c r="AD3" s="1318"/>
      <c r="AE3" s="1318"/>
      <c r="AF3" s="1318"/>
      <c r="AG3" s="1318"/>
      <c r="AH3" s="1318"/>
      <c r="AI3" s="1318"/>
      <c r="AJ3" s="1318"/>
      <c r="AK3" s="1318"/>
      <c r="AL3" s="1318"/>
      <c r="AM3" s="1318"/>
      <c r="AN3" s="1318"/>
      <c r="AO3" s="1318"/>
      <c r="AP3" s="1318"/>
      <c r="AQ3" s="1318"/>
      <c r="AR3" s="1318"/>
      <c r="AS3" s="1318"/>
      <c r="AT3" s="1318"/>
      <c r="AU3" s="1318"/>
      <c r="AV3" s="1318"/>
      <c r="AW3" s="1318"/>
      <c r="AX3" s="1318"/>
      <c r="AY3" s="1318"/>
      <c r="AZ3" s="1318"/>
      <c r="BA3" s="1318"/>
      <c r="BB3" s="1318"/>
      <c r="BC3" s="1318"/>
      <c r="BD3" s="1318"/>
      <c r="BE3" s="1318"/>
      <c r="BF3" s="1318"/>
      <c r="BG3" s="1318"/>
      <c r="BH3" s="1318"/>
      <c r="BI3" s="1318"/>
      <c r="BJ3" s="1318"/>
      <c r="BK3" s="1318"/>
      <c r="BL3" s="1318"/>
      <c r="BM3" s="1319"/>
      <c r="BN3" s="143" t="s">
        <v>5</v>
      </c>
      <c r="BO3" s="147" t="s">
        <v>6</v>
      </c>
      <c r="BP3" s="145"/>
      <c r="BQ3" s="145"/>
      <c r="BR3" s="145"/>
      <c r="BS3" s="145"/>
      <c r="BT3" s="145"/>
      <c r="BU3" s="145"/>
      <c r="BV3" s="145"/>
      <c r="BW3" s="145"/>
    </row>
    <row r="4" spans="1:84" ht="20.25" customHeight="1" x14ac:dyDescent="0.2">
      <c r="A4" s="1320"/>
      <c r="B4" s="1320"/>
      <c r="C4" s="1320"/>
      <c r="D4" s="1320"/>
      <c r="E4" s="1320"/>
      <c r="F4" s="1320"/>
      <c r="G4" s="1320"/>
      <c r="H4" s="1320"/>
      <c r="I4" s="1320"/>
      <c r="J4" s="1320"/>
      <c r="K4" s="1320"/>
      <c r="L4" s="1320"/>
      <c r="M4" s="1320"/>
      <c r="N4" s="1320"/>
      <c r="O4" s="1320"/>
      <c r="P4" s="1320"/>
      <c r="Q4" s="1320"/>
      <c r="R4" s="1320"/>
      <c r="S4" s="1320"/>
      <c r="T4" s="1320"/>
      <c r="U4" s="1320"/>
      <c r="V4" s="1320"/>
      <c r="W4" s="1320"/>
      <c r="X4" s="1320"/>
      <c r="Y4" s="1320"/>
      <c r="Z4" s="1320"/>
      <c r="AA4" s="1320"/>
      <c r="AB4" s="1320"/>
      <c r="AC4" s="1320"/>
      <c r="AD4" s="1320"/>
      <c r="AE4" s="1320"/>
      <c r="AF4" s="1320"/>
      <c r="AG4" s="1320"/>
      <c r="AH4" s="1320"/>
      <c r="AI4" s="1320"/>
      <c r="AJ4" s="1320"/>
      <c r="AK4" s="1320"/>
      <c r="AL4" s="1320"/>
      <c r="AM4" s="1320"/>
      <c r="AN4" s="1320"/>
      <c r="AO4" s="1320"/>
      <c r="AP4" s="1320"/>
      <c r="AQ4" s="1320"/>
      <c r="AR4" s="1320"/>
      <c r="AS4" s="1320"/>
      <c r="AT4" s="1320"/>
      <c r="AU4" s="1320"/>
      <c r="AV4" s="1320"/>
      <c r="AW4" s="1320"/>
      <c r="AX4" s="1320"/>
      <c r="AY4" s="1320"/>
      <c r="AZ4" s="1320"/>
      <c r="BA4" s="1320"/>
      <c r="BB4" s="1320"/>
      <c r="BC4" s="1320"/>
      <c r="BD4" s="1320"/>
      <c r="BE4" s="1320"/>
      <c r="BF4" s="1320"/>
      <c r="BG4" s="1320"/>
      <c r="BH4" s="1320"/>
      <c r="BI4" s="1320"/>
      <c r="BJ4" s="1320"/>
      <c r="BK4" s="1320"/>
      <c r="BL4" s="1320"/>
      <c r="BM4" s="1321"/>
      <c r="BN4" s="143" t="s">
        <v>7</v>
      </c>
      <c r="BO4" s="148" t="s">
        <v>8</v>
      </c>
      <c r="BP4" s="145"/>
      <c r="BQ4" s="145"/>
      <c r="BR4" s="145"/>
      <c r="BS4" s="145"/>
      <c r="BT4" s="145"/>
      <c r="BU4" s="145"/>
      <c r="BV4" s="145"/>
      <c r="BW4" s="145"/>
    </row>
    <row r="5" spans="1:84" s="4" customFormat="1" ht="27" customHeight="1" x14ac:dyDescent="0.2">
      <c r="A5" s="1231" t="s">
        <v>9</v>
      </c>
      <c r="B5" s="1231"/>
      <c r="C5" s="1231"/>
      <c r="D5" s="1231"/>
      <c r="E5" s="1231"/>
      <c r="F5" s="1231"/>
      <c r="G5" s="1231"/>
      <c r="H5" s="1231"/>
      <c r="I5" s="1231"/>
      <c r="J5" s="1231"/>
      <c r="K5" s="7"/>
      <c r="L5" s="1233" t="s">
        <v>10</v>
      </c>
      <c r="M5" s="1233"/>
      <c r="N5" s="1233"/>
      <c r="O5" s="1233"/>
      <c r="P5" s="1233"/>
      <c r="Q5" s="1233"/>
      <c r="R5" s="1233"/>
      <c r="S5" s="1233"/>
      <c r="T5" s="1233"/>
      <c r="U5" s="1233"/>
      <c r="V5" s="1233"/>
      <c r="W5" s="1233"/>
      <c r="X5" s="1233"/>
      <c r="Y5" s="1233"/>
      <c r="Z5" s="1233"/>
      <c r="AA5" s="1233"/>
      <c r="AB5" s="1233"/>
      <c r="AC5" s="1233"/>
      <c r="AD5" s="1233"/>
      <c r="AE5" s="1233"/>
      <c r="AF5" s="1233"/>
      <c r="AG5" s="1233"/>
      <c r="AH5" s="1233"/>
      <c r="AI5" s="1233"/>
      <c r="AJ5" s="1233"/>
      <c r="AK5" s="1233"/>
      <c r="AL5" s="1233"/>
      <c r="AM5" s="1233"/>
      <c r="AN5" s="1233"/>
      <c r="AO5" s="1233"/>
      <c r="AP5" s="1233"/>
      <c r="AQ5" s="1233"/>
      <c r="AR5" s="1233"/>
      <c r="AS5" s="1233"/>
      <c r="AT5" s="1233"/>
      <c r="AU5" s="1233"/>
      <c r="AV5" s="1233"/>
      <c r="AW5" s="1233"/>
      <c r="AX5" s="1233"/>
      <c r="AY5" s="1233"/>
      <c r="AZ5" s="1233"/>
      <c r="BA5" s="1233"/>
      <c r="BB5" s="1233"/>
      <c r="BC5" s="1233"/>
      <c r="BD5" s="1233"/>
      <c r="BE5" s="1233"/>
      <c r="BF5" s="1233"/>
      <c r="BG5" s="1233"/>
      <c r="BH5" s="1233"/>
      <c r="BI5" s="1233"/>
      <c r="BJ5" s="1233"/>
      <c r="BK5" s="1233"/>
      <c r="BL5" s="1233"/>
      <c r="BM5" s="1233"/>
      <c r="BN5" s="1233"/>
      <c r="BO5" s="1233"/>
      <c r="BP5" s="3"/>
      <c r="BQ5" s="3"/>
      <c r="BR5" s="3"/>
      <c r="BS5" s="3"/>
      <c r="BT5" s="3"/>
      <c r="BU5" s="3"/>
      <c r="BV5" s="3"/>
      <c r="BW5" s="3"/>
      <c r="BX5" s="3"/>
      <c r="BY5" s="3"/>
      <c r="BZ5" s="3"/>
      <c r="CA5" s="3"/>
      <c r="CB5" s="3"/>
      <c r="CC5" s="3"/>
      <c r="CD5" s="3"/>
      <c r="CE5" s="3"/>
      <c r="CF5" s="3"/>
    </row>
    <row r="6" spans="1:84" s="4" customFormat="1" ht="27" customHeight="1" thickBot="1" x14ac:dyDescent="0.25">
      <c r="A6" s="1232"/>
      <c r="B6" s="1232"/>
      <c r="C6" s="1232"/>
      <c r="D6" s="1232"/>
      <c r="E6" s="1232"/>
      <c r="F6" s="1232"/>
      <c r="G6" s="1232"/>
      <c r="H6" s="1232"/>
      <c r="I6" s="1232"/>
      <c r="J6" s="1232"/>
      <c r="K6" s="8"/>
      <c r="L6" s="239"/>
      <c r="M6" s="10"/>
      <c r="N6" s="240"/>
      <c r="O6" s="8"/>
      <c r="P6" s="10"/>
      <c r="Q6" s="240"/>
      <c r="R6" s="240"/>
      <c r="S6" s="240"/>
      <c r="T6" s="10"/>
      <c r="U6" s="10"/>
      <c r="V6" s="10"/>
      <c r="W6" s="10"/>
      <c r="X6" s="10"/>
      <c r="Y6" s="1233" t="s">
        <v>11</v>
      </c>
      <c r="Z6" s="1233"/>
      <c r="AA6" s="1233"/>
      <c r="AB6" s="1233"/>
      <c r="AC6" s="1233"/>
      <c r="AD6" s="1233"/>
      <c r="AE6" s="1233"/>
      <c r="AF6" s="1233"/>
      <c r="AG6" s="1233"/>
      <c r="AH6" s="1233"/>
      <c r="AI6" s="1233"/>
      <c r="AJ6" s="1233"/>
      <c r="AK6" s="1233"/>
      <c r="AL6" s="1233"/>
      <c r="AM6" s="1233"/>
      <c r="AN6" s="1233"/>
      <c r="AO6" s="1233"/>
      <c r="AP6" s="1233"/>
      <c r="AQ6" s="1233"/>
      <c r="AR6" s="1233"/>
      <c r="AS6" s="1233"/>
      <c r="AT6" s="1233"/>
      <c r="AU6" s="1233"/>
      <c r="AV6" s="1233"/>
      <c r="AW6" s="1233"/>
      <c r="AX6" s="1233"/>
      <c r="AY6" s="1233"/>
      <c r="AZ6" s="1233"/>
      <c r="BA6" s="1233"/>
      <c r="BB6" s="1233"/>
      <c r="BC6" s="1233"/>
      <c r="BD6" s="1233"/>
      <c r="BE6" s="8"/>
      <c r="BF6" s="8"/>
      <c r="BG6" s="8"/>
      <c r="BH6" s="8"/>
      <c r="BI6" s="8"/>
      <c r="BJ6" s="8"/>
      <c r="BK6" s="8"/>
      <c r="BL6" s="8"/>
      <c r="BM6" s="8"/>
      <c r="BN6" s="8"/>
      <c r="BO6" s="541"/>
      <c r="BP6" s="3"/>
      <c r="BQ6" s="3"/>
      <c r="BR6" s="3"/>
      <c r="BS6" s="3"/>
      <c r="BT6" s="3"/>
      <c r="BU6" s="3"/>
      <c r="BV6" s="3"/>
      <c r="BW6" s="3"/>
      <c r="BX6" s="3"/>
      <c r="BY6" s="3"/>
      <c r="BZ6" s="3"/>
      <c r="CA6" s="3"/>
      <c r="CB6" s="3"/>
      <c r="CC6" s="3"/>
      <c r="CD6" s="3"/>
      <c r="CE6" s="3"/>
      <c r="CF6" s="3"/>
    </row>
    <row r="7" spans="1:84" s="4" customFormat="1" ht="43.5" customHeight="1" x14ac:dyDescent="0.2">
      <c r="A7" s="1234" t="s">
        <v>12</v>
      </c>
      <c r="B7" s="1221" t="s">
        <v>13</v>
      </c>
      <c r="C7" s="1221"/>
      <c r="D7" s="1221" t="s">
        <v>12</v>
      </c>
      <c r="E7" s="1221" t="s">
        <v>14</v>
      </c>
      <c r="F7" s="1221"/>
      <c r="G7" s="1237" t="s">
        <v>12</v>
      </c>
      <c r="H7" s="1221" t="s">
        <v>15</v>
      </c>
      <c r="I7" s="1221" t="s">
        <v>16</v>
      </c>
      <c r="J7" s="1222" t="s">
        <v>17</v>
      </c>
      <c r="K7" s="1223"/>
      <c r="L7" s="1221" t="s">
        <v>18</v>
      </c>
      <c r="M7" s="1221" t="s">
        <v>19</v>
      </c>
      <c r="N7" s="1221" t="s">
        <v>10</v>
      </c>
      <c r="O7" s="1226" t="s">
        <v>20</v>
      </c>
      <c r="P7" s="1253" t="s">
        <v>21</v>
      </c>
      <c r="Q7" s="1221" t="s">
        <v>22</v>
      </c>
      <c r="R7" s="1221" t="s">
        <v>23</v>
      </c>
      <c r="S7" s="1221" t="s">
        <v>24</v>
      </c>
      <c r="T7" s="1253" t="s">
        <v>21</v>
      </c>
      <c r="U7" s="1253" t="s">
        <v>25</v>
      </c>
      <c r="V7" s="1253" t="s">
        <v>26</v>
      </c>
      <c r="W7" s="1264" t="s">
        <v>12</v>
      </c>
      <c r="X7" s="1221" t="s">
        <v>27</v>
      </c>
      <c r="Y7" s="1240" t="s">
        <v>28</v>
      </c>
      <c r="Z7" s="1241"/>
      <c r="AA7" s="1241"/>
      <c r="AB7" s="1242"/>
      <c r="AC7" s="1243" t="s">
        <v>29</v>
      </c>
      <c r="AD7" s="1244"/>
      <c r="AE7" s="1244"/>
      <c r="AF7" s="1244"/>
      <c r="AG7" s="1244"/>
      <c r="AH7" s="1244"/>
      <c r="AI7" s="1244"/>
      <c r="AJ7" s="1245"/>
      <c r="AK7" s="1246" t="s">
        <v>30</v>
      </c>
      <c r="AL7" s="1247"/>
      <c r="AM7" s="1247"/>
      <c r="AN7" s="1247"/>
      <c r="AO7" s="1247"/>
      <c r="AP7" s="1247"/>
      <c r="AQ7" s="1247"/>
      <c r="AR7" s="1247"/>
      <c r="AS7" s="1247"/>
      <c r="AT7" s="1247"/>
      <c r="AU7" s="1247"/>
      <c r="AV7" s="1248"/>
      <c r="AW7" s="1254" t="s">
        <v>31</v>
      </c>
      <c r="AX7" s="1255"/>
      <c r="AY7" s="1255"/>
      <c r="AZ7" s="1255"/>
      <c r="BA7" s="1255"/>
      <c r="BB7" s="1256"/>
      <c r="BC7" s="1257" t="s">
        <v>32</v>
      </c>
      <c r="BD7" s="1258"/>
      <c r="BE7" s="1261" t="s">
        <v>33</v>
      </c>
      <c r="BF7" s="1262"/>
      <c r="BG7" s="1262"/>
      <c r="BH7" s="1262"/>
      <c r="BI7" s="1262"/>
      <c r="BJ7" s="1263"/>
      <c r="BK7" s="1266" t="s">
        <v>34</v>
      </c>
      <c r="BL7" s="1267"/>
      <c r="BM7" s="1266" t="s">
        <v>35</v>
      </c>
      <c r="BN7" s="1267"/>
      <c r="BO7" s="1270" t="s">
        <v>36</v>
      </c>
      <c r="BP7" s="3"/>
      <c r="BQ7" s="3"/>
      <c r="BR7" s="3"/>
      <c r="BS7" s="3"/>
      <c r="BT7" s="3"/>
      <c r="BU7" s="3"/>
      <c r="BV7" s="3"/>
      <c r="BW7" s="3"/>
      <c r="BX7" s="3"/>
      <c r="BY7" s="3"/>
      <c r="BZ7" s="3"/>
      <c r="CA7" s="3"/>
      <c r="CB7" s="3"/>
      <c r="CC7" s="3"/>
      <c r="CD7" s="3"/>
    </row>
    <row r="8" spans="1:84" s="4" customFormat="1" ht="120.75" customHeight="1" x14ac:dyDescent="0.2">
      <c r="A8" s="1235"/>
      <c r="B8" s="1221"/>
      <c r="C8" s="1221"/>
      <c r="D8" s="1221"/>
      <c r="E8" s="1221"/>
      <c r="F8" s="1221"/>
      <c r="G8" s="1238"/>
      <c r="H8" s="1221"/>
      <c r="I8" s="1221"/>
      <c r="J8" s="1224"/>
      <c r="K8" s="1225"/>
      <c r="L8" s="1221"/>
      <c r="M8" s="1221"/>
      <c r="N8" s="1221"/>
      <c r="O8" s="1226"/>
      <c r="P8" s="1253"/>
      <c r="Q8" s="1221"/>
      <c r="R8" s="1221"/>
      <c r="S8" s="1221"/>
      <c r="T8" s="1253"/>
      <c r="U8" s="1253"/>
      <c r="V8" s="1253"/>
      <c r="W8" s="1264"/>
      <c r="X8" s="1221"/>
      <c r="Y8" s="1249" t="s">
        <v>37</v>
      </c>
      <c r="Z8" s="1250"/>
      <c r="AA8" s="1251" t="s">
        <v>38</v>
      </c>
      <c r="AB8" s="1252"/>
      <c r="AC8" s="1249" t="s">
        <v>39</v>
      </c>
      <c r="AD8" s="1250"/>
      <c r="AE8" s="1249" t="s">
        <v>40</v>
      </c>
      <c r="AF8" s="1250"/>
      <c r="AG8" s="1249" t="s">
        <v>41</v>
      </c>
      <c r="AH8" s="1250"/>
      <c r="AI8" s="1249" t="s">
        <v>42</v>
      </c>
      <c r="AJ8" s="1250"/>
      <c r="AK8" s="1249" t="s">
        <v>43</v>
      </c>
      <c r="AL8" s="1250"/>
      <c r="AM8" s="1249" t="s">
        <v>44</v>
      </c>
      <c r="AN8" s="1250"/>
      <c r="AO8" s="1249" t="s">
        <v>45</v>
      </c>
      <c r="AP8" s="1250"/>
      <c r="AQ8" s="1249" t="s">
        <v>46</v>
      </c>
      <c r="AR8" s="1250"/>
      <c r="AS8" s="1249" t="s">
        <v>47</v>
      </c>
      <c r="AT8" s="1250"/>
      <c r="AU8" s="1249" t="s">
        <v>48</v>
      </c>
      <c r="AV8" s="1250"/>
      <c r="AW8" s="1249" t="s">
        <v>49</v>
      </c>
      <c r="AX8" s="1250"/>
      <c r="AY8" s="1249" t="s">
        <v>50</v>
      </c>
      <c r="AZ8" s="1250"/>
      <c r="BA8" s="1302" t="s">
        <v>51</v>
      </c>
      <c r="BB8" s="1302"/>
      <c r="BC8" s="1259"/>
      <c r="BD8" s="1260"/>
      <c r="BE8" s="1274" t="s">
        <v>52</v>
      </c>
      <c r="BF8" s="1273" t="s">
        <v>53</v>
      </c>
      <c r="BG8" s="1274" t="s">
        <v>54</v>
      </c>
      <c r="BH8" s="1275" t="s">
        <v>55</v>
      </c>
      <c r="BI8" s="1274" t="s">
        <v>56</v>
      </c>
      <c r="BJ8" s="1276" t="s">
        <v>57</v>
      </c>
      <c r="BK8" s="1509"/>
      <c r="BL8" s="1510"/>
      <c r="BM8" s="1268"/>
      <c r="BN8" s="1269"/>
      <c r="BO8" s="1271"/>
      <c r="BP8" s="3"/>
      <c r="BQ8" s="3"/>
      <c r="BR8" s="3"/>
      <c r="BS8" s="3"/>
      <c r="BT8" s="3"/>
      <c r="BU8" s="3"/>
      <c r="BV8" s="3"/>
      <c r="BW8" s="3"/>
      <c r="BX8" s="3"/>
      <c r="BY8" s="3"/>
      <c r="BZ8" s="3"/>
      <c r="CA8" s="3"/>
      <c r="CB8" s="3"/>
      <c r="CC8" s="3"/>
      <c r="CD8" s="3"/>
    </row>
    <row r="9" spans="1:84" s="4" customFormat="1" ht="21.75" customHeight="1" x14ac:dyDescent="0.2">
      <c r="A9" s="1236"/>
      <c r="B9" s="1221"/>
      <c r="C9" s="1221"/>
      <c r="D9" s="1221"/>
      <c r="E9" s="1221"/>
      <c r="F9" s="1221"/>
      <c r="G9" s="1239"/>
      <c r="H9" s="1221"/>
      <c r="I9" s="1221"/>
      <c r="J9" s="12" t="s">
        <v>58</v>
      </c>
      <c r="K9" s="12" t="s">
        <v>59</v>
      </c>
      <c r="L9" s="1221"/>
      <c r="M9" s="1221"/>
      <c r="N9" s="1221"/>
      <c r="O9" s="1226"/>
      <c r="P9" s="1253"/>
      <c r="Q9" s="1221"/>
      <c r="R9" s="1221"/>
      <c r="S9" s="1221"/>
      <c r="T9" s="1253"/>
      <c r="U9" s="1253"/>
      <c r="V9" s="1253"/>
      <c r="W9" s="1264"/>
      <c r="X9" s="1221"/>
      <c r="Y9" s="12" t="s">
        <v>58</v>
      </c>
      <c r="Z9" s="12" t="s">
        <v>60</v>
      </c>
      <c r="AA9" s="12" t="s">
        <v>58</v>
      </c>
      <c r="AB9" s="12" t="s">
        <v>60</v>
      </c>
      <c r="AC9" s="12" t="s">
        <v>58</v>
      </c>
      <c r="AD9" s="12" t="s">
        <v>60</v>
      </c>
      <c r="AE9" s="12" t="s">
        <v>58</v>
      </c>
      <c r="AF9" s="12" t="s">
        <v>60</v>
      </c>
      <c r="AG9" s="12" t="s">
        <v>58</v>
      </c>
      <c r="AH9" s="12" t="s">
        <v>60</v>
      </c>
      <c r="AI9" s="12" t="s">
        <v>58</v>
      </c>
      <c r="AJ9" s="12" t="s">
        <v>60</v>
      </c>
      <c r="AK9" s="12" t="s">
        <v>58</v>
      </c>
      <c r="AL9" s="12" t="s">
        <v>60</v>
      </c>
      <c r="AM9" s="12" t="s">
        <v>58</v>
      </c>
      <c r="AN9" s="12" t="s">
        <v>60</v>
      </c>
      <c r="AO9" s="12" t="s">
        <v>58</v>
      </c>
      <c r="AP9" s="12" t="s">
        <v>60</v>
      </c>
      <c r="AQ9" s="12" t="s">
        <v>58</v>
      </c>
      <c r="AR9" s="12" t="s">
        <v>60</v>
      </c>
      <c r="AS9" s="12" t="s">
        <v>58</v>
      </c>
      <c r="AT9" s="12" t="s">
        <v>60</v>
      </c>
      <c r="AU9" s="12" t="s">
        <v>58</v>
      </c>
      <c r="AV9" s="12" t="s">
        <v>60</v>
      </c>
      <c r="AW9" s="12" t="s">
        <v>58</v>
      </c>
      <c r="AX9" s="12" t="s">
        <v>60</v>
      </c>
      <c r="AY9" s="12" t="s">
        <v>58</v>
      </c>
      <c r="AZ9" s="12" t="s">
        <v>60</v>
      </c>
      <c r="BA9" s="12" t="s">
        <v>58</v>
      </c>
      <c r="BB9" s="12" t="s">
        <v>60</v>
      </c>
      <c r="BC9" s="12" t="s">
        <v>58</v>
      </c>
      <c r="BD9" s="12" t="s">
        <v>60</v>
      </c>
      <c r="BE9" s="1274"/>
      <c r="BF9" s="1273"/>
      <c r="BG9" s="1274"/>
      <c r="BH9" s="1275"/>
      <c r="BI9" s="1274"/>
      <c r="BJ9" s="1277"/>
      <c r="BK9" s="13" t="s">
        <v>58</v>
      </c>
      <c r="BL9" s="13" t="s">
        <v>60</v>
      </c>
      <c r="BM9" s="13" t="s">
        <v>58</v>
      </c>
      <c r="BN9" s="13" t="s">
        <v>60</v>
      </c>
      <c r="BO9" s="1272"/>
      <c r="BP9" s="3"/>
      <c r="BQ9" s="3"/>
      <c r="BR9" s="3"/>
      <c r="BS9" s="3"/>
      <c r="BT9" s="3"/>
      <c r="BU9" s="3"/>
      <c r="BV9" s="3"/>
      <c r="BW9" s="3"/>
      <c r="BX9" s="3"/>
      <c r="BY9" s="3"/>
      <c r="BZ9" s="3"/>
      <c r="CA9" s="3"/>
      <c r="CB9" s="3"/>
      <c r="CC9" s="3"/>
      <c r="CD9" s="3"/>
    </row>
    <row r="10" spans="1:84" s="4" customFormat="1" ht="19.5" customHeight="1" x14ac:dyDescent="0.2">
      <c r="A10" s="838">
        <v>1</v>
      </c>
      <c r="B10" s="456" t="s">
        <v>683</v>
      </c>
      <c r="C10" s="241"/>
      <c r="D10" s="307"/>
      <c r="E10" s="693"/>
      <c r="F10" s="693"/>
      <c r="G10" s="693"/>
      <c r="H10" s="873"/>
      <c r="I10" s="694"/>
      <c r="J10" s="693"/>
      <c r="K10" s="693"/>
      <c r="L10" s="874"/>
      <c r="M10" s="693"/>
      <c r="N10" s="694"/>
      <c r="O10" s="696"/>
      <c r="P10" s="693"/>
      <c r="Q10" s="697"/>
      <c r="R10" s="697"/>
      <c r="S10" s="697"/>
      <c r="T10" s="693"/>
      <c r="U10" s="693"/>
      <c r="V10" s="693"/>
      <c r="W10" s="693"/>
      <c r="X10" s="694"/>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3"/>
      <c r="AY10" s="693"/>
      <c r="AZ10" s="693"/>
      <c r="BA10" s="693"/>
      <c r="BB10" s="693"/>
      <c r="BC10" s="693"/>
      <c r="BD10" s="693"/>
      <c r="BE10" s="693"/>
      <c r="BF10" s="693"/>
      <c r="BG10" s="693"/>
      <c r="BH10" s="693"/>
      <c r="BI10" s="693"/>
      <c r="BJ10" s="693"/>
      <c r="BK10" s="693"/>
      <c r="BL10" s="693"/>
      <c r="BM10" s="693"/>
      <c r="BN10" s="693"/>
      <c r="BO10" s="693"/>
    </row>
    <row r="11" spans="1:84" s="4" customFormat="1" ht="23.25" customHeight="1" x14ac:dyDescent="0.2">
      <c r="A11" s="875"/>
      <c r="B11" s="876"/>
      <c r="C11" s="877"/>
      <c r="D11" s="449">
        <v>39</v>
      </c>
      <c r="E11" s="340" t="s">
        <v>193</v>
      </c>
      <c r="F11" s="450"/>
      <c r="G11" s="401"/>
      <c r="H11" s="878"/>
      <c r="I11" s="699"/>
      <c r="J11" s="261"/>
      <c r="K11" s="261"/>
      <c r="L11" s="879"/>
      <c r="M11" s="401"/>
      <c r="N11" s="880"/>
      <c r="O11" s="701"/>
      <c r="P11" s="881"/>
      <c r="Q11" s="882"/>
      <c r="R11" s="882"/>
      <c r="S11" s="259"/>
      <c r="T11" s="883"/>
      <c r="U11" s="883"/>
      <c r="V11" s="883"/>
      <c r="W11" s="881"/>
      <c r="X11" s="884"/>
      <c r="Y11" s="881"/>
      <c r="Z11" s="881"/>
      <c r="AA11" s="881"/>
      <c r="AB11" s="881"/>
      <c r="AC11" s="881"/>
      <c r="AD11" s="881"/>
      <c r="AE11" s="881"/>
      <c r="AF11" s="881"/>
      <c r="AG11" s="881"/>
      <c r="AH11" s="881"/>
      <c r="AI11" s="881"/>
      <c r="AJ11" s="881"/>
      <c r="AK11" s="881"/>
      <c r="AL11" s="881"/>
      <c r="AM11" s="881"/>
      <c r="AN11" s="881"/>
      <c r="AO11" s="881"/>
      <c r="AP11" s="881"/>
      <c r="AQ11" s="881"/>
      <c r="AR11" s="881"/>
      <c r="AS11" s="881"/>
      <c r="AT11" s="881"/>
      <c r="AU11" s="881"/>
      <c r="AV11" s="881"/>
      <c r="AW11" s="881"/>
      <c r="AX11" s="881"/>
      <c r="AY11" s="881"/>
      <c r="AZ11" s="881"/>
      <c r="BA11" s="881"/>
      <c r="BB11" s="881"/>
      <c r="BC11" s="881"/>
      <c r="BD11" s="881"/>
      <c r="BE11" s="881"/>
      <c r="BF11" s="881"/>
      <c r="BG11" s="881"/>
      <c r="BH11" s="881"/>
      <c r="BI11" s="881"/>
      <c r="BJ11" s="881"/>
      <c r="BK11" s="881"/>
      <c r="BL11" s="881"/>
      <c r="BM11" s="881"/>
      <c r="BN11" s="881"/>
      <c r="BO11" s="881"/>
    </row>
    <row r="12" spans="1:84" s="4" customFormat="1" ht="78.75" customHeight="1" x14ac:dyDescent="0.2">
      <c r="A12" s="283"/>
      <c r="B12" s="91"/>
      <c r="C12" s="91"/>
      <c r="D12" s="885"/>
      <c r="E12" s="330"/>
      <c r="F12" s="331"/>
      <c r="G12" s="454">
        <v>4301007</v>
      </c>
      <c r="H12" s="886" t="s">
        <v>926</v>
      </c>
      <c r="I12" s="40" t="s">
        <v>927</v>
      </c>
      <c r="J12" s="92">
        <v>12</v>
      </c>
      <c r="K12" s="92">
        <v>7</v>
      </c>
      <c r="L12" s="887" t="s">
        <v>928</v>
      </c>
      <c r="M12" s="1781" t="s">
        <v>929</v>
      </c>
      <c r="N12" s="1693" t="s">
        <v>930</v>
      </c>
      <c r="O12" s="888">
        <f>+T12/P12</f>
        <v>0.31152144564891288</v>
      </c>
      <c r="P12" s="1802">
        <f>+T12+T13+T14</f>
        <v>176552853</v>
      </c>
      <c r="Q12" s="1293" t="s">
        <v>931</v>
      </c>
      <c r="R12" s="1293" t="s">
        <v>932</v>
      </c>
      <c r="S12" s="886" t="s">
        <v>926</v>
      </c>
      <c r="T12" s="889">
        <v>55000000</v>
      </c>
      <c r="U12" s="890">
        <v>47740000</v>
      </c>
      <c r="V12" s="890">
        <v>32370000</v>
      </c>
      <c r="W12" s="299" t="s">
        <v>933</v>
      </c>
      <c r="X12" s="40" t="s">
        <v>934</v>
      </c>
      <c r="Y12" s="1504">
        <v>770</v>
      </c>
      <c r="Z12" s="1504">
        <v>103</v>
      </c>
      <c r="AA12" s="1504">
        <v>630</v>
      </c>
      <c r="AB12" s="1504">
        <v>32</v>
      </c>
      <c r="AC12" s="1504">
        <v>372</v>
      </c>
      <c r="AD12" s="1504">
        <v>43</v>
      </c>
      <c r="AE12" s="1504">
        <v>94</v>
      </c>
      <c r="AF12" s="1504">
        <v>80</v>
      </c>
      <c r="AG12" s="1504">
        <v>934</v>
      </c>
      <c r="AH12" s="1504">
        <v>12</v>
      </c>
      <c r="AI12" s="1504">
        <v>0</v>
      </c>
      <c r="AJ12" s="1504"/>
      <c r="AK12" s="1504">
        <v>40</v>
      </c>
      <c r="AL12" s="1504"/>
      <c r="AM12" s="1504">
        <v>0</v>
      </c>
      <c r="AN12" s="1504"/>
      <c r="AO12" s="1504">
        <v>0</v>
      </c>
      <c r="AP12" s="1504"/>
      <c r="AQ12" s="1504">
        <v>0</v>
      </c>
      <c r="AR12" s="1504"/>
      <c r="AS12" s="1504">
        <v>0</v>
      </c>
      <c r="AT12" s="1504"/>
      <c r="AU12" s="1504">
        <v>0</v>
      </c>
      <c r="AV12" s="1504"/>
      <c r="AW12" s="1504">
        <v>0</v>
      </c>
      <c r="AX12" s="1504"/>
      <c r="AY12" s="1504">
        <v>0</v>
      </c>
      <c r="AZ12" s="1504"/>
      <c r="BA12" s="1504">
        <v>0</v>
      </c>
      <c r="BB12" s="1504"/>
      <c r="BC12" s="1504">
        <f>+AG12+AE12+AC12</f>
        <v>1400</v>
      </c>
      <c r="BD12" s="1504">
        <f>+Z12+AB12</f>
        <v>135</v>
      </c>
      <c r="BE12" s="1504">
        <v>15</v>
      </c>
      <c r="BF12" s="1504">
        <f>+U12+U13+U14</f>
        <v>61220000</v>
      </c>
      <c r="BG12" s="1504">
        <f>+V12+V13+V14</f>
        <v>41990000</v>
      </c>
      <c r="BH12" s="1797">
        <f>+BG12/BF12</f>
        <v>0.68588696504410318</v>
      </c>
      <c r="BI12" s="1530" t="s">
        <v>935</v>
      </c>
      <c r="BJ12" s="1530" t="s">
        <v>936</v>
      </c>
      <c r="BK12" s="1792">
        <v>43832</v>
      </c>
      <c r="BL12" s="1792">
        <v>43862</v>
      </c>
      <c r="BM12" s="1792">
        <v>44196</v>
      </c>
      <c r="BN12" s="1792">
        <v>44027</v>
      </c>
      <c r="BO12" s="1794" t="s">
        <v>937</v>
      </c>
    </row>
    <row r="13" spans="1:84" s="4" customFormat="1" ht="75" customHeight="1" x14ac:dyDescent="0.2">
      <c r="A13" s="283"/>
      <c r="B13" s="91"/>
      <c r="C13" s="91"/>
      <c r="D13" s="90"/>
      <c r="E13" s="91"/>
      <c r="F13" s="89"/>
      <c r="G13" s="1705">
        <v>4301037</v>
      </c>
      <c r="H13" s="1693" t="s">
        <v>938</v>
      </c>
      <c r="I13" s="1299" t="s">
        <v>939</v>
      </c>
      <c r="J13" s="1554">
        <v>12</v>
      </c>
      <c r="K13" s="1430">
        <v>5</v>
      </c>
      <c r="L13" s="110" t="s">
        <v>940</v>
      </c>
      <c r="M13" s="1781"/>
      <c r="N13" s="1693"/>
      <c r="O13" s="1800">
        <f>+(T13+T14)/P12</f>
        <v>0.68847855435108718</v>
      </c>
      <c r="P13" s="1802"/>
      <c r="Q13" s="1294"/>
      <c r="R13" s="1294"/>
      <c r="S13" s="1693" t="s">
        <v>938</v>
      </c>
      <c r="T13" s="889">
        <v>30000000</v>
      </c>
      <c r="U13" s="889">
        <v>3480000</v>
      </c>
      <c r="V13" s="889">
        <v>2120000</v>
      </c>
      <c r="W13" s="299" t="s">
        <v>197</v>
      </c>
      <c r="X13" s="891" t="s">
        <v>523</v>
      </c>
      <c r="Y13" s="1538"/>
      <c r="Z13" s="1538"/>
      <c r="AA13" s="1538"/>
      <c r="AB13" s="1538"/>
      <c r="AC13" s="1538"/>
      <c r="AD13" s="1538"/>
      <c r="AE13" s="1538"/>
      <c r="AF13" s="1538"/>
      <c r="AG13" s="1538"/>
      <c r="AH13" s="1538"/>
      <c r="AI13" s="1538"/>
      <c r="AJ13" s="1538"/>
      <c r="AK13" s="1538"/>
      <c r="AL13" s="1538"/>
      <c r="AM13" s="1538"/>
      <c r="AN13" s="1538"/>
      <c r="AO13" s="1538"/>
      <c r="AP13" s="1538"/>
      <c r="AQ13" s="1538"/>
      <c r="AR13" s="1538"/>
      <c r="AS13" s="1538"/>
      <c r="AT13" s="1538"/>
      <c r="AU13" s="1538"/>
      <c r="AV13" s="1538"/>
      <c r="AW13" s="1538"/>
      <c r="AX13" s="1538"/>
      <c r="AY13" s="1538"/>
      <c r="AZ13" s="1538"/>
      <c r="BA13" s="1538"/>
      <c r="BB13" s="1538"/>
      <c r="BC13" s="1538"/>
      <c r="BD13" s="1538"/>
      <c r="BE13" s="1538"/>
      <c r="BF13" s="1538"/>
      <c r="BG13" s="1538"/>
      <c r="BH13" s="1798"/>
      <c r="BI13" s="1531"/>
      <c r="BJ13" s="1531"/>
      <c r="BK13" s="1793"/>
      <c r="BL13" s="1793"/>
      <c r="BM13" s="1793"/>
      <c r="BN13" s="1793"/>
      <c r="BO13" s="1795"/>
    </row>
    <row r="14" spans="1:84" s="4" customFormat="1" ht="78" customHeight="1" x14ac:dyDescent="0.2">
      <c r="A14" s="283"/>
      <c r="B14" s="91"/>
      <c r="C14" s="91"/>
      <c r="D14" s="90"/>
      <c r="E14" s="91"/>
      <c r="F14" s="89"/>
      <c r="G14" s="1705"/>
      <c r="H14" s="1693"/>
      <c r="I14" s="1301"/>
      <c r="J14" s="1554"/>
      <c r="K14" s="1431"/>
      <c r="L14" s="46" t="s">
        <v>941</v>
      </c>
      <c r="M14" s="1781"/>
      <c r="N14" s="1693"/>
      <c r="O14" s="1801"/>
      <c r="P14" s="1802"/>
      <c r="Q14" s="1295"/>
      <c r="R14" s="1295"/>
      <c r="S14" s="1693"/>
      <c r="T14" s="892">
        <f>60000000+6552853+25000000</f>
        <v>91552853</v>
      </c>
      <c r="U14" s="892">
        <v>10000000</v>
      </c>
      <c r="V14" s="892">
        <v>7500000</v>
      </c>
      <c r="W14" s="299" t="s">
        <v>942</v>
      </c>
      <c r="X14" s="213" t="s">
        <v>943</v>
      </c>
      <c r="Y14" s="1505"/>
      <c r="Z14" s="1505"/>
      <c r="AA14" s="1505"/>
      <c r="AB14" s="1505"/>
      <c r="AC14" s="1505"/>
      <c r="AD14" s="1505"/>
      <c r="AE14" s="1505"/>
      <c r="AF14" s="1505"/>
      <c r="AG14" s="1505"/>
      <c r="AH14" s="1505"/>
      <c r="AI14" s="1505"/>
      <c r="AJ14" s="1505"/>
      <c r="AK14" s="1505"/>
      <c r="AL14" s="1505"/>
      <c r="AM14" s="1505"/>
      <c r="AN14" s="1505"/>
      <c r="AO14" s="1505"/>
      <c r="AP14" s="1505"/>
      <c r="AQ14" s="1505"/>
      <c r="AR14" s="1505"/>
      <c r="AS14" s="1505"/>
      <c r="AT14" s="1505"/>
      <c r="AU14" s="1505"/>
      <c r="AV14" s="1505"/>
      <c r="AW14" s="1505"/>
      <c r="AX14" s="1505"/>
      <c r="AY14" s="1505"/>
      <c r="AZ14" s="1505"/>
      <c r="BA14" s="1505"/>
      <c r="BB14" s="1505"/>
      <c r="BC14" s="1505"/>
      <c r="BD14" s="1505"/>
      <c r="BE14" s="1505"/>
      <c r="BF14" s="1505"/>
      <c r="BG14" s="1505"/>
      <c r="BH14" s="1799"/>
      <c r="BI14" s="1532"/>
      <c r="BJ14" s="1532"/>
      <c r="BK14" s="1793"/>
      <c r="BL14" s="1793"/>
      <c r="BM14" s="1793"/>
      <c r="BN14" s="1793"/>
      <c r="BO14" s="1795"/>
    </row>
    <row r="15" spans="1:84" s="4" customFormat="1" ht="53.25" customHeight="1" x14ac:dyDescent="0.2">
      <c r="A15" s="283"/>
      <c r="B15" s="91"/>
      <c r="C15" s="91"/>
      <c r="D15" s="90"/>
      <c r="E15" s="91"/>
      <c r="F15" s="89"/>
      <c r="G15" s="1284">
        <v>4301037</v>
      </c>
      <c r="H15" s="1299" t="s">
        <v>938</v>
      </c>
      <c r="I15" s="1299" t="s">
        <v>944</v>
      </c>
      <c r="J15" s="1430">
        <v>12</v>
      </c>
      <c r="K15" s="1410">
        <v>0</v>
      </c>
      <c r="L15" s="887" t="s">
        <v>945</v>
      </c>
      <c r="M15" s="1781" t="s">
        <v>946</v>
      </c>
      <c r="N15" s="1693" t="s">
        <v>947</v>
      </c>
      <c r="O15" s="1800">
        <f>(+T15+T16)/P15</f>
        <v>1</v>
      </c>
      <c r="P15" s="1802">
        <f>+T15+T16</f>
        <v>200000000</v>
      </c>
      <c r="Q15" s="1293" t="s">
        <v>948</v>
      </c>
      <c r="R15" s="1293" t="s">
        <v>949</v>
      </c>
      <c r="S15" s="1693" t="s">
        <v>938</v>
      </c>
      <c r="T15" s="892">
        <v>120000000</v>
      </c>
      <c r="U15" s="892">
        <v>7000000</v>
      </c>
      <c r="V15" s="892">
        <v>5250000</v>
      </c>
      <c r="W15" s="299" t="s">
        <v>933</v>
      </c>
      <c r="X15" s="213" t="s">
        <v>943</v>
      </c>
      <c r="Y15" s="1504">
        <v>6000</v>
      </c>
      <c r="Z15" s="1504">
        <v>0</v>
      </c>
      <c r="AA15" s="1504">
        <v>9000</v>
      </c>
      <c r="AB15" s="1504">
        <v>0</v>
      </c>
      <c r="AC15" s="1504">
        <v>10500</v>
      </c>
      <c r="AD15" s="1504"/>
      <c r="AE15" s="1504">
        <v>4500</v>
      </c>
      <c r="AF15" s="1504"/>
      <c r="AG15" s="1504">
        <v>0</v>
      </c>
      <c r="AH15" s="1504"/>
      <c r="AI15" s="1504">
        <v>0</v>
      </c>
      <c r="AJ15" s="1504"/>
      <c r="AK15" s="1504">
        <v>22</v>
      </c>
      <c r="AL15" s="1504"/>
      <c r="AM15" s="1504">
        <v>115</v>
      </c>
      <c r="AN15" s="1504"/>
      <c r="AO15" s="1504">
        <v>1</v>
      </c>
      <c r="AP15" s="1504"/>
      <c r="AQ15" s="1504">
        <v>0</v>
      </c>
      <c r="AR15" s="1504"/>
      <c r="AS15" s="1504">
        <v>0</v>
      </c>
      <c r="AT15" s="1504"/>
      <c r="AU15" s="1504">
        <v>0</v>
      </c>
      <c r="AV15" s="1504"/>
      <c r="AW15" s="1504">
        <v>0</v>
      </c>
      <c r="AX15" s="1504"/>
      <c r="AY15" s="1504">
        <v>59</v>
      </c>
      <c r="AZ15" s="1504"/>
      <c r="BA15" s="1504">
        <v>0</v>
      </c>
      <c r="BB15" s="1504"/>
      <c r="BC15" s="1504">
        <f>+SUM(Y15:AA15)</f>
        <v>15000</v>
      </c>
      <c r="BD15" s="1504">
        <v>0</v>
      </c>
      <c r="BE15" s="1504">
        <v>1</v>
      </c>
      <c r="BF15" s="1504">
        <f>+U15</f>
        <v>7000000</v>
      </c>
      <c r="BG15" s="1504">
        <f>+V15</f>
        <v>5250000</v>
      </c>
      <c r="BH15" s="1797">
        <f>+BG15/BF15</f>
        <v>0.75</v>
      </c>
      <c r="BI15" s="1530" t="s">
        <v>935</v>
      </c>
      <c r="BJ15" s="1530" t="s">
        <v>950</v>
      </c>
      <c r="BK15" s="1792">
        <v>43832</v>
      </c>
      <c r="BL15" s="1792">
        <v>43862</v>
      </c>
      <c r="BM15" s="1792">
        <v>44196</v>
      </c>
      <c r="BN15" s="1792">
        <v>44027</v>
      </c>
      <c r="BO15" s="1794" t="s">
        <v>937</v>
      </c>
    </row>
    <row r="16" spans="1:84" s="4" customFormat="1" ht="69" customHeight="1" x14ac:dyDescent="0.2">
      <c r="A16" s="283"/>
      <c r="B16" s="91"/>
      <c r="C16" s="91"/>
      <c r="D16" s="90"/>
      <c r="E16" s="91"/>
      <c r="F16" s="89"/>
      <c r="G16" s="1286"/>
      <c r="H16" s="1301"/>
      <c r="I16" s="1301"/>
      <c r="J16" s="1431"/>
      <c r="K16" s="1411"/>
      <c r="L16" s="893" t="s">
        <v>951</v>
      </c>
      <c r="M16" s="1781"/>
      <c r="N16" s="1693"/>
      <c r="O16" s="1801"/>
      <c r="P16" s="1802"/>
      <c r="Q16" s="1295"/>
      <c r="R16" s="1295"/>
      <c r="S16" s="1693"/>
      <c r="T16" s="889">
        <v>80000000</v>
      </c>
      <c r="U16" s="889">
        <v>0</v>
      </c>
      <c r="V16" s="889">
        <v>0</v>
      </c>
      <c r="W16" s="299" t="s">
        <v>197</v>
      </c>
      <c r="X16" s="891" t="s">
        <v>523</v>
      </c>
      <c r="Y16" s="1505"/>
      <c r="Z16" s="1505"/>
      <c r="AA16" s="1505"/>
      <c r="AB16" s="1505"/>
      <c r="AC16" s="1505"/>
      <c r="AD16" s="1505"/>
      <c r="AE16" s="1505"/>
      <c r="AF16" s="1505"/>
      <c r="AG16" s="1505"/>
      <c r="AH16" s="1505"/>
      <c r="AI16" s="1505"/>
      <c r="AJ16" s="1505"/>
      <c r="AK16" s="1505"/>
      <c r="AL16" s="1505"/>
      <c r="AM16" s="1505"/>
      <c r="AN16" s="1505"/>
      <c r="AO16" s="1505"/>
      <c r="AP16" s="1505"/>
      <c r="AQ16" s="1505"/>
      <c r="AR16" s="1505"/>
      <c r="AS16" s="1505"/>
      <c r="AT16" s="1505"/>
      <c r="AU16" s="1505"/>
      <c r="AV16" s="1505"/>
      <c r="AW16" s="1505"/>
      <c r="AX16" s="1505"/>
      <c r="AY16" s="1505"/>
      <c r="AZ16" s="1505"/>
      <c r="BA16" s="1505"/>
      <c r="BB16" s="1505"/>
      <c r="BC16" s="1505"/>
      <c r="BD16" s="1505"/>
      <c r="BE16" s="1505"/>
      <c r="BF16" s="1505"/>
      <c r="BG16" s="1505"/>
      <c r="BH16" s="1799"/>
      <c r="BI16" s="1532"/>
      <c r="BJ16" s="1532"/>
      <c r="BK16" s="1793"/>
      <c r="BL16" s="1793"/>
      <c r="BM16" s="1793"/>
      <c r="BN16" s="1793"/>
      <c r="BO16" s="1795"/>
    </row>
    <row r="17" spans="1:67" s="4" customFormat="1" ht="41.25" customHeight="1" x14ac:dyDescent="0.2">
      <c r="A17" s="283"/>
      <c r="B17" s="91"/>
      <c r="C17" s="91"/>
      <c r="D17" s="90"/>
      <c r="E17" s="91"/>
      <c r="F17" s="89"/>
      <c r="G17" s="1284">
        <v>4301037</v>
      </c>
      <c r="H17" s="1299" t="s">
        <v>938</v>
      </c>
      <c r="I17" s="1299" t="s">
        <v>952</v>
      </c>
      <c r="J17" s="1430">
        <v>12</v>
      </c>
      <c r="K17" s="1430">
        <v>5</v>
      </c>
      <c r="L17" s="110" t="s">
        <v>953</v>
      </c>
      <c r="M17" s="1781" t="s">
        <v>954</v>
      </c>
      <c r="N17" s="1693" t="s">
        <v>955</v>
      </c>
      <c r="O17" s="1800">
        <f>(+T17+T18)/P17</f>
        <v>0.46043165467625902</v>
      </c>
      <c r="P17" s="1802">
        <f>+T17+T18+T19</f>
        <v>139000000</v>
      </c>
      <c r="Q17" s="1293" t="s">
        <v>956</v>
      </c>
      <c r="R17" s="1293" t="s">
        <v>957</v>
      </c>
      <c r="S17" s="1693" t="s">
        <v>938</v>
      </c>
      <c r="T17" s="889">
        <v>9000000</v>
      </c>
      <c r="U17" s="889">
        <v>0</v>
      </c>
      <c r="V17" s="889">
        <v>0</v>
      </c>
      <c r="W17" s="299" t="s">
        <v>197</v>
      </c>
      <c r="X17" s="891" t="s">
        <v>523</v>
      </c>
      <c r="Y17" s="1504">
        <v>1666</v>
      </c>
      <c r="Z17" s="1504">
        <v>651</v>
      </c>
      <c r="AA17" s="1504">
        <v>1507</v>
      </c>
      <c r="AB17" s="1504">
        <v>416</v>
      </c>
      <c r="AC17" s="1504">
        <v>1400</v>
      </c>
      <c r="AD17" s="1504">
        <v>509</v>
      </c>
      <c r="AE17" s="1504">
        <v>350</v>
      </c>
      <c r="AF17" s="1504">
        <v>181</v>
      </c>
      <c r="AG17" s="1504">
        <v>450</v>
      </c>
      <c r="AH17" s="1504">
        <v>377</v>
      </c>
      <c r="AI17" s="1504">
        <v>973</v>
      </c>
      <c r="AJ17" s="1504"/>
      <c r="AK17" s="1504">
        <v>0</v>
      </c>
      <c r="AL17" s="1504"/>
      <c r="AM17" s="1504">
        <v>0</v>
      </c>
      <c r="AN17" s="1504"/>
      <c r="AO17" s="1504">
        <v>0</v>
      </c>
      <c r="AP17" s="1504"/>
      <c r="AQ17" s="1504">
        <v>0</v>
      </c>
      <c r="AR17" s="1504"/>
      <c r="AS17" s="1504">
        <v>0</v>
      </c>
      <c r="AT17" s="1504"/>
      <c r="AU17" s="1504">
        <v>0</v>
      </c>
      <c r="AV17" s="1504"/>
      <c r="AW17" s="1504">
        <v>0</v>
      </c>
      <c r="AX17" s="1504"/>
      <c r="AY17" s="1504">
        <v>0</v>
      </c>
      <c r="AZ17" s="1504"/>
      <c r="BA17" s="1504">
        <v>0</v>
      </c>
      <c r="BB17" s="1504"/>
      <c r="BC17" s="1504">
        <f>+SUM(Y17:AA17)</f>
        <v>3824</v>
      </c>
      <c r="BD17" s="1504">
        <f>+Z17+AB17</f>
        <v>1067</v>
      </c>
      <c r="BE17" s="1504">
        <v>4</v>
      </c>
      <c r="BF17" s="1504">
        <f>+U17+U18+U19</f>
        <v>33300000</v>
      </c>
      <c r="BG17" s="1504">
        <f>+V17+V18+V19</f>
        <v>26300000</v>
      </c>
      <c r="BH17" s="1797">
        <f>+BG17/BF17</f>
        <v>0.78978978978978975</v>
      </c>
      <c r="BI17" s="1530" t="s">
        <v>943</v>
      </c>
      <c r="BJ17" s="1530" t="s">
        <v>958</v>
      </c>
      <c r="BK17" s="1792">
        <v>43832</v>
      </c>
      <c r="BL17" s="1792">
        <v>43862</v>
      </c>
      <c r="BM17" s="1792">
        <v>44196</v>
      </c>
      <c r="BN17" s="1792">
        <v>44027</v>
      </c>
      <c r="BO17" s="1794" t="s">
        <v>937</v>
      </c>
    </row>
    <row r="18" spans="1:67" s="4" customFormat="1" ht="56.25" customHeight="1" x14ac:dyDescent="0.2">
      <c r="A18" s="283"/>
      <c r="B18" s="91"/>
      <c r="C18" s="91"/>
      <c r="D18" s="90"/>
      <c r="E18" s="91"/>
      <c r="F18" s="89"/>
      <c r="G18" s="1286"/>
      <c r="H18" s="1301"/>
      <c r="I18" s="1301"/>
      <c r="J18" s="1431"/>
      <c r="K18" s="1431"/>
      <c r="L18" s="100" t="s">
        <v>959</v>
      </c>
      <c r="M18" s="1781"/>
      <c r="N18" s="1693"/>
      <c r="O18" s="1801"/>
      <c r="P18" s="1802"/>
      <c r="Q18" s="1294"/>
      <c r="R18" s="1294"/>
      <c r="S18" s="1693"/>
      <c r="T18" s="889">
        <v>55000000</v>
      </c>
      <c r="U18" s="889">
        <v>13800000</v>
      </c>
      <c r="V18" s="889">
        <v>10900000</v>
      </c>
      <c r="W18" s="299" t="s">
        <v>942</v>
      </c>
      <c r="X18" s="40" t="s">
        <v>943</v>
      </c>
      <c r="Y18" s="1538"/>
      <c r="Z18" s="1538"/>
      <c r="AA18" s="1538"/>
      <c r="AB18" s="1538"/>
      <c r="AC18" s="1538"/>
      <c r="AD18" s="1538"/>
      <c r="AE18" s="1538"/>
      <c r="AF18" s="1538"/>
      <c r="AG18" s="1538"/>
      <c r="AH18" s="1538"/>
      <c r="AI18" s="1538"/>
      <c r="AJ18" s="1538"/>
      <c r="AK18" s="1538"/>
      <c r="AL18" s="1538"/>
      <c r="AM18" s="1538"/>
      <c r="AN18" s="1538"/>
      <c r="AO18" s="1538"/>
      <c r="AP18" s="1538"/>
      <c r="AQ18" s="1538"/>
      <c r="AR18" s="1538"/>
      <c r="AS18" s="1538"/>
      <c r="AT18" s="1538"/>
      <c r="AU18" s="1538"/>
      <c r="AV18" s="1538"/>
      <c r="AW18" s="1538"/>
      <c r="AX18" s="1538"/>
      <c r="AY18" s="1538"/>
      <c r="AZ18" s="1538"/>
      <c r="BA18" s="1538"/>
      <c r="BB18" s="1538"/>
      <c r="BC18" s="1538"/>
      <c r="BD18" s="1538"/>
      <c r="BE18" s="1538"/>
      <c r="BF18" s="1538"/>
      <c r="BG18" s="1538"/>
      <c r="BH18" s="1798"/>
      <c r="BI18" s="1531"/>
      <c r="BJ18" s="1531"/>
      <c r="BK18" s="1793"/>
      <c r="BL18" s="1793"/>
      <c r="BM18" s="1793"/>
      <c r="BN18" s="1793"/>
      <c r="BO18" s="1795"/>
    </row>
    <row r="19" spans="1:67" s="4" customFormat="1" ht="166.5" customHeight="1" x14ac:dyDescent="0.2">
      <c r="A19" s="283"/>
      <c r="B19" s="91"/>
      <c r="C19" s="91"/>
      <c r="D19" s="90"/>
      <c r="E19" s="91"/>
      <c r="F19" s="89"/>
      <c r="G19" s="77" t="s">
        <v>960</v>
      </c>
      <c r="H19" s="78" t="s">
        <v>961</v>
      </c>
      <c r="I19" s="40" t="s">
        <v>962</v>
      </c>
      <c r="J19" s="92">
        <v>1</v>
      </c>
      <c r="K19" s="92">
        <v>0</v>
      </c>
      <c r="L19" s="46" t="s">
        <v>963</v>
      </c>
      <c r="M19" s="1781"/>
      <c r="N19" s="1693"/>
      <c r="O19" s="888">
        <f>+T19/P17</f>
        <v>0.53956834532374098</v>
      </c>
      <c r="P19" s="1802"/>
      <c r="Q19" s="1295"/>
      <c r="R19" s="1295"/>
      <c r="S19" s="32" t="s">
        <v>961</v>
      </c>
      <c r="T19" s="894">
        <v>75000000</v>
      </c>
      <c r="U19" s="894">
        <v>19500000</v>
      </c>
      <c r="V19" s="894">
        <v>15400000</v>
      </c>
      <c r="W19" s="299" t="s">
        <v>942</v>
      </c>
      <c r="X19" s="40" t="s">
        <v>943</v>
      </c>
      <c r="Y19" s="1505"/>
      <c r="Z19" s="1505"/>
      <c r="AA19" s="1505"/>
      <c r="AB19" s="1505"/>
      <c r="AC19" s="1505"/>
      <c r="AD19" s="1505"/>
      <c r="AE19" s="1505"/>
      <c r="AF19" s="1505"/>
      <c r="AG19" s="1505"/>
      <c r="AH19" s="1505"/>
      <c r="AI19" s="1505"/>
      <c r="AJ19" s="1505"/>
      <c r="AK19" s="1505"/>
      <c r="AL19" s="1505"/>
      <c r="AM19" s="1505"/>
      <c r="AN19" s="1505"/>
      <c r="AO19" s="1505"/>
      <c r="AP19" s="1505"/>
      <c r="AQ19" s="1505"/>
      <c r="AR19" s="1505"/>
      <c r="AS19" s="1505"/>
      <c r="AT19" s="1505"/>
      <c r="AU19" s="1505"/>
      <c r="AV19" s="1505"/>
      <c r="AW19" s="1505"/>
      <c r="AX19" s="1505"/>
      <c r="AY19" s="1505"/>
      <c r="AZ19" s="1505"/>
      <c r="BA19" s="1505"/>
      <c r="BB19" s="1505"/>
      <c r="BC19" s="1505"/>
      <c r="BD19" s="1505"/>
      <c r="BE19" s="1505"/>
      <c r="BF19" s="1505"/>
      <c r="BG19" s="1505"/>
      <c r="BH19" s="1799"/>
      <c r="BI19" s="1532"/>
      <c r="BJ19" s="1532"/>
      <c r="BK19" s="1793"/>
      <c r="BL19" s="1793"/>
      <c r="BM19" s="1793"/>
      <c r="BN19" s="1793"/>
      <c r="BO19" s="1795"/>
    </row>
    <row r="20" spans="1:67" s="4" customFormat="1" ht="90" customHeight="1" x14ac:dyDescent="0.2">
      <c r="A20" s="283"/>
      <c r="B20" s="91"/>
      <c r="C20" s="91"/>
      <c r="D20" s="90"/>
      <c r="E20" s="91"/>
      <c r="F20" s="89"/>
      <c r="G20" s="77">
        <v>4301037</v>
      </c>
      <c r="H20" s="78" t="s">
        <v>938</v>
      </c>
      <c r="I20" s="32" t="s">
        <v>952</v>
      </c>
      <c r="J20" s="92">
        <v>12</v>
      </c>
      <c r="K20" s="92">
        <v>0</v>
      </c>
      <c r="L20" s="110" t="s">
        <v>964</v>
      </c>
      <c r="M20" s="595" t="s">
        <v>965</v>
      </c>
      <c r="N20" s="32" t="s">
        <v>966</v>
      </c>
      <c r="O20" s="888">
        <f>+T20/P20</f>
        <v>1</v>
      </c>
      <c r="P20" s="895">
        <f>+T20</f>
        <v>20000000</v>
      </c>
      <c r="Q20" s="40" t="s">
        <v>967</v>
      </c>
      <c r="R20" s="40" t="s">
        <v>968</v>
      </c>
      <c r="S20" s="32" t="s">
        <v>938</v>
      </c>
      <c r="T20" s="894">
        <v>20000000</v>
      </c>
      <c r="U20" s="890">
        <v>18480000</v>
      </c>
      <c r="V20" s="890">
        <v>11560000</v>
      </c>
      <c r="W20" s="299" t="s">
        <v>197</v>
      </c>
      <c r="X20" s="891" t="s">
        <v>523</v>
      </c>
      <c r="Y20" s="536">
        <v>1700</v>
      </c>
      <c r="Z20" s="536">
        <v>651</v>
      </c>
      <c r="AA20" s="536">
        <v>1500</v>
      </c>
      <c r="AB20" s="536">
        <v>416</v>
      </c>
      <c r="AC20" s="536">
        <v>1800</v>
      </c>
      <c r="AD20" s="536">
        <v>509</v>
      </c>
      <c r="AE20" s="536">
        <v>1000</v>
      </c>
      <c r="AF20" s="536">
        <v>181</v>
      </c>
      <c r="AG20" s="536">
        <v>400</v>
      </c>
      <c r="AH20" s="536">
        <v>377</v>
      </c>
      <c r="AI20" s="536">
        <v>0</v>
      </c>
      <c r="AJ20" s="536"/>
      <c r="AK20" s="536">
        <v>0</v>
      </c>
      <c r="AL20" s="536"/>
      <c r="AM20" s="536">
        <v>0</v>
      </c>
      <c r="AN20" s="536"/>
      <c r="AO20" s="536">
        <v>0</v>
      </c>
      <c r="AP20" s="536"/>
      <c r="AQ20" s="536">
        <v>0</v>
      </c>
      <c r="AR20" s="536"/>
      <c r="AS20" s="536">
        <v>0</v>
      </c>
      <c r="AT20" s="536"/>
      <c r="AU20" s="536">
        <v>0</v>
      </c>
      <c r="AV20" s="536"/>
      <c r="AW20" s="536">
        <v>0</v>
      </c>
      <c r="AX20" s="536"/>
      <c r="AY20" s="536">
        <v>0</v>
      </c>
      <c r="AZ20" s="536"/>
      <c r="BA20" s="536">
        <v>0</v>
      </c>
      <c r="BB20" s="536"/>
      <c r="BC20" s="536">
        <f>+SUM(Y20:AA20)</f>
        <v>3851</v>
      </c>
      <c r="BD20" s="583">
        <f>+Z20+AB20</f>
        <v>1067</v>
      </c>
      <c r="BE20" s="583">
        <v>8</v>
      </c>
      <c r="BF20" s="583">
        <f>+U20</f>
        <v>18480000</v>
      </c>
      <c r="BG20" s="583">
        <f>+V20</f>
        <v>11560000</v>
      </c>
      <c r="BH20" s="896">
        <f>+BG20/BF20</f>
        <v>0.62554112554112551</v>
      </c>
      <c r="BI20" s="583" t="s">
        <v>523</v>
      </c>
      <c r="BJ20" s="897" t="s">
        <v>958</v>
      </c>
      <c r="BK20" s="898">
        <v>43832</v>
      </c>
      <c r="BL20" s="899">
        <v>43862</v>
      </c>
      <c r="BM20" s="898">
        <v>44196</v>
      </c>
      <c r="BN20" s="898">
        <v>44027</v>
      </c>
      <c r="BO20" s="900" t="s">
        <v>937</v>
      </c>
    </row>
    <row r="21" spans="1:67" s="4" customFormat="1" ht="152.25" customHeight="1" x14ac:dyDescent="0.2">
      <c r="A21" s="283"/>
      <c r="B21" s="91"/>
      <c r="C21" s="91"/>
      <c r="D21" s="102"/>
      <c r="E21" s="103"/>
      <c r="F21" s="104"/>
      <c r="G21" s="77">
        <v>4301037</v>
      </c>
      <c r="H21" s="78" t="s">
        <v>938</v>
      </c>
      <c r="I21" s="32" t="s">
        <v>952</v>
      </c>
      <c r="J21" s="92">
        <v>12</v>
      </c>
      <c r="K21" s="92">
        <v>5</v>
      </c>
      <c r="L21" s="110" t="s">
        <v>969</v>
      </c>
      <c r="M21" s="595" t="s">
        <v>970</v>
      </c>
      <c r="N21" s="32" t="s">
        <v>971</v>
      </c>
      <c r="O21" s="888">
        <f>+T21/P21</f>
        <v>1</v>
      </c>
      <c r="P21" s="895">
        <f>+T21</f>
        <v>40000000</v>
      </c>
      <c r="Q21" s="40" t="s">
        <v>972</v>
      </c>
      <c r="R21" s="40" t="s">
        <v>973</v>
      </c>
      <c r="S21" s="32" t="s">
        <v>938</v>
      </c>
      <c r="T21" s="894">
        <v>40000000</v>
      </c>
      <c r="U21" s="890">
        <v>30633333</v>
      </c>
      <c r="V21" s="890">
        <v>27883333</v>
      </c>
      <c r="W21" s="299" t="s">
        <v>942</v>
      </c>
      <c r="X21" s="40" t="s">
        <v>943</v>
      </c>
      <c r="Y21" s="512">
        <v>3380</v>
      </c>
      <c r="Z21" s="512">
        <v>651</v>
      </c>
      <c r="AA21" s="512">
        <v>460</v>
      </c>
      <c r="AB21" s="512">
        <v>416</v>
      </c>
      <c r="AC21" s="512">
        <v>0</v>
      </c>
      <c r="AD21" s="512">
        <v>509</v>
      </c>
      <c r="AE21" s="512">
        <v>0</v>
      </c>
      <c r="AF21" s="512">
        <v>181</v>
      </c>
      <c r="AG21" s="512">
        <v>3840</v>
      </c>
      <c r="AH21" s="512">
        <v>377</v>
      </c>
      <c r="AI21" s="512">
        <v>0</v>
      </c>
      <c r="AJ21" s="512"/>
      <c r="AK21" s="512">
        <v>0</v>
      </c>
      <c r="AL21" s="512"/>
      <c r="AM21" s="512">
        <v>0</v>
      </c>
      <c r="AN21" s="512"/>
      <c r="AO21" s="512">
        <v>0</v>
      </c>
      <c r="AP21" s="512"/>
      <c r="AQ21" s="512">
        <v>0</v>
      </c>
      <c r="AR21" s="512"/>
      <c r="AS21" s="512">
        <v>0</v>
      </c>
      <c r="AT21" s="512"/>
      <c r="AU21" s="512">
        <v>0</v>
      </c>
      <c r="AV21" s="512"/>
      <c r="AW21" s="512">
        <v>0</v>
      </c>
      <c r="AX21" s="512"/>
      <c r="AY21" s="512">
        <v>0</v>
      </c>
      <c r="AZ21" s="512"/>
      <c r="BA21" s="512">
        <v>0</v>
      </c>
      <c r="BB21" s="512"/>
      <c r="BC21" s="512">
        <f>+SUM(Y21:AA21)</f>
        <v>4491</v>
      </c>
      <c r="BD21" s="583">
        <f>+Z21+AB21</f>
        <v>1067</v>
      </c>
      <c r="BE21" s="583">
        <v>9</v>
      </c>
      <c r="BF21" s="583">
        <f>+BF12</f>
        <v>61220000</v>
      </c>
      <c r="BG21" s="583">
        <f>+V21</f>
        <v>27883333</v>
      </c>
      <c r="BH21" s="896">
        <f>+BG21/BF21</f>
        <v>0.45546117281934007</v>
      </c>
      <c r="BI21" s="897" t="s">
        <v>943</v>
      </c>
      <c r="BJ21" s="897" t="s">
        <v>958</v>
      </c>
      <c r="BK21" s="901">
        <v>43832</v>
      </c>
      <c r="BL21" s="901">
        <v>43862</v>
      </c>
      <c r="BM21" s="901">
        <v>44196</v>
      </c>
      <c r="BN21" s="898">
        <v>44027</v>
      </c>
      <c r="BO21" s="900" t="s">
        <v>937</v>
      </c>
    </row>
    <row r="22" spans="1:67" s="4" customFormat="1" ht="15.75" x14ac:dyDescent="0.2">
      <c r="A22" s="902"/>
      <c r="B22" s="698"/>
      <c r="C22" s="903"/>
      <c r="D22" s="904">
        <v>40</v>
      </c>
      <c r="E22" s="905" t="s">
        <v>199</v>
      </c>
      <c r="F22" s="906"/>
      <c r="G22" s="401"/>
      <c r="H22" s="259"/>
      <c r="I22" s="259"/>
      <c r="J22" s="261"/>
      <c r="K22" s="261"/>
      <c r="L22" s="879"/>
      <c r="M22" s="401"/>
      <c r="N22" s="882"/>
      <c r="O22" s="701"/>
      <c r="P22" s="881"/>
      <c r="Q22" s="882"/>
      <c r="R22" s="882"/>
      <c r="S22" s="259"/>
      <c r="T22" s="259"/>
      <c r="U22" s="259"/>
      <c r="V22" s="259"/>
      <c r="W22" s="907"/>
      <c r="X22" s="908"/>
      <c r="Y22" s="881"/>
      <c r="Z22" s="881"/>
      <c r="AA22" s="881"/>
      <c r="AB22" s="881"/>
      <c r="AC22" s="881"/>
      <c r="AD22" s="881"/>
      <c r="AE22" s="881"/>
      <c r="AF22" s="881"/>
      <c r="AG22" s="881"/>
      <c r="AH22" s="881"/>
      <c r="AI22" s="881"/>
      <c r="AJ22" s="881"/>
      <c r="AK22" s="881"/>
      <c r="AL22" s="881"/>
      <c r="AM22" s="881"/>
      <c r="AN22" s="881"/>
      <c r="AO22" s="881"/>
      <c r="AP22" s="881"/>
      <c r="AQ22" s="881"/>
      <c r="AR22" s="881"/>
      <c r="AS22" s="881"/>
      <c r="AT22" s="881"/>
      <c r="AU22" s="881"/>
      <c r="AV22" s="881"/>
      <c r="AW22" s="881"/>
      <c r="AX22" s="881"/>
      <c r="AY22" s="881"/>
      <c r="AZ22" s="881"/>
      <c r="BA22" s="881"/>
      <c r="BB22" s="881"/>
      <c r="BC22" s="881"/>
      <c r="BD22" s="881"/>
      <c r="BE22" s="881"/>
      <c r="BF22" s="881"/>
      <c r="BG22" s="881"/>
      <c r="BH22" s="881"/>
      <c r="BI22" s="881"/>
      <c r="BJ22" s="881"/>
      <c r="BK22" s="909"/>
      <c r="BL22" s="910"/>
      <c r="BM22" s="909"/>
      <c r="BN22" s="881"/>
      <c r="BO22" s="881"/>
    </row>
    <row r="23" spans="1:67" s="3" customFormat="1" ht="51" customHeight="1" x14ac:dyDescent="0.2">
      <c r="A23" s="28"/>
      <c r="B23" s="73"/>
      <c r="C23" s="73"/>
      <c r="D23" s="1796"/>
      <c r="E23" s="1379"/>
      <c r="F23" s="1380"/>
      <c r="G23" s="1705">
        <v>4302075</v>
      </c>
      <c r="H23" s="1693" t="s">
        <v>974</v>
      </c>
      <c r="I23" s="1693" t="s">
        <v>975</v>
      </c>
      <c r="J23" s="1697">
        <v>25</v>
      </c>
      <c r="K23" s="1697">
        <v>23</v>
      </c>
      <c r="L23" s="1790" t="s">
        <v>976</v>
      </c>
      <c r="M23" s="1781" t="s">
        <v>977</v>
      </c>
      <c r="N23" s="1791" t="s">
        <v>978</v>
      </c>
      <c r="O23" s="1699">
        <f>+(T23+T24)/P23</f>
        <v>1</v>
      </c>
      <c r="P23" s="1788">
        <f>+T23+T24</f>
        <v>793225262</v>
      </c>
      <c r="Q23" s="1693" t="s">
        <v>979</v>
      </c>
      <c r="R23" s="1693" t="s">
        <v>980</v>
      </c>
      <c r="S23" s="1693" t="s">
        <v>974</v>
      </c>
      <c r="T23" s="911">
        <v>543825727</v>
      </c>
      <c r="U23" s="911">
        <v>110883174</v>
      </c>
      <c r="V23" s="911">
        <v>90353174</v>
      </c>
      <c r="W23" s="299" t="s">
        <v>197</v>
      </c>
      <c r="X23" s="891" t="s">
        <v>523</v>
      </c>
      <c r="Y23" s="1781">
        <v>300</v>
      </c>
      <c r="Z23" s="1784">
        <v>383</v>
      </c>
      <c r="AA23" s="1781">
        <v>710</v>
      </c>
      <c r="AB23" s="1784">
        <v>364</v>
      </c>
      <c r="AC23" s="1781">
        <v>317</v>
      </c>
      <c r="AD23" s="1784">
        <v>317</v>
      </c>
      <c r="AE23" s="1781">
        <v>633</v>
      </c>
      <c r="AF23" s="1784">
        <v>98</v>
      </c>
      <c r="AG23" s="1781">
        <v>0</v>
      </c>
      <c r="AH23" s="1784">
        <v>230</v>
      </c>
      <c r="AI23" s="1781">
        <v>0</v>
      </c>
      <c r="AJ23" s="1784">
        <v>0</v>
      </c>
      <c r="AK23" s="1781">
        <v>0</v>
      </c>
      <c r="AL23" s="1784"/>
      <c r="AM23" s="1781">
        <v>0</v>
      </c>
      <c r="AN23" s="1784"/>
      <c r="AO23" s="1781">
        <v>0</v>
      </c>
      <c r="AP23" s="1784"/>
      <c r="AQ23" s="1781">
        <v>0</v>
      </c>
      <c r="AR23" s="1784"/>
      <c r="AS23" s="1781">
        <v>0</v>
      </c>
      <c r="AT23" s="1784"/>
      <c r="AU23" s="1781">
        <v>0</v>
      </c>
      <c r="AV23" s="1784"/>
      <c r="AW23" s="1781">
        <v>0</v>
      </c>
      <c r="AX23" s="1784"/>
      <c r="AY23" s="1781">
        <v>60</v>
      </c>
      <c r="AZ23" s="1784">
        <v>13</v>
      </c>
      <c r="BA23" s="1781">
        <v>0</v>
      </c>
      <c r="BB23" s="1784"/>
      <c r="BC23" s="1781">
        <f>SUM(AC23:AY24)</f>
        <v>1655</v>
      </c>
      <c r="BD23" s="1784">
        <f>+Z23+AB23</f>
        <v>747</v>
      </c>
      <c r="BE23" s="1784">
        <v>14</v>
      </c>
      <c r="BF23" s="1785">
        <f>+U23+U24</f>
        <v>153298765</v>
      </c>
      <c r="BG23" s="1785">
        <f>+V23+V24</f>
        <v>110603174</v>
      </c>
      <c r="BH23" s="1786">
        <f>+BG23/BF23</f>
        <v>0.72148770409207141</v>
      </c>
      <c r="BI23" s="1449" t="s">
        <v>935</v>
      </c>
      <c r="BJ23" s="1449" t="s">
        <v>981</v>
      </c>
      <c r="BK23" s="1779">
        <v>43832</v>
      </c>
      <c r="BL23" s="1780">
        <v>43862</v>
      </c>
      <c r="BM23" s="1779">
        <v>44196</v>
      </c>
      <c r="BN23" s="1782">
        <v>44027</v>
      </c>
      <c r="BO23" s="1781" t="s">
        <v>982</v>
      </c>
    </row>
    <row r="24" spans="1:67" s="4" customFormat="1" ht="53.25" customHeight="1" x14ac:dyDescent="0.2">
      <c r="A24" s="283"/>
      <c r="B24" s="91"/>
      <c r="C24" s="91"/>
      <c r="D24" s="1448"/>
      <c r="E24" s="1279"/>
      <c r="F24" s="1280"/>
      <c r="G24" s="1705"/>
      <c r="H24" s="1693"/>
      <c r="I24" s="1693"/>
      <c r="J24" s="1697"/>
      <c r="K24" s="1697"/>
      <c r="L24" s="1790"/>
      <c r="M24" s="1781"/>
      <c r="N24" s="1791"/>
      <c r="O24" s="1699"/>
      <c r="P24" s="1789"/>
      <c r="Q24" s="1693"/>
      <c r="R24" s="1693"/>
      <c r="S24" s="1693"/>
      <c r="T24" s="889">
        <v>249399535</v>
      </c>
      <c r="U24" s="912">
        <v>42415591</v>
      </c>
      <c r="V24" s="912">
        <v>20250000</v>
      </c>
      <c r="W24" s="299" t="s">
        <v>942</v>
      </c>
      <c r="X24" s="213" t="s">
        <v>943</v>
      </c>
      <c r="Y24" s="1781"/>
      <c r="Z24" s="1783"/>
      <c r="AA24" s="1781"/>
      <c r="AB24" s="1783"/>
      <c r="AC24" s="1781"/>
      <c r="AD24" s="1783"/>
      <c r="AE24" s="1781"/>
      <c r="AF24" s="1783"/>
      <c r="AG24" s="1781"/>
      <c r="AH24" s="1783"/>
      <c r="AI24" s="1781"/>
      <c r="AJ24" s="1783"/>
      <c r="AK24" s="1781"/>
      <c r="AL24" s="1783"/>
      <c r="AM24" s="1781"/>
      <c r="AN24" s="1783"/>
      <c r="AO24" s="1781"/>
      <c r="AP24" s="1783"/>
      <c r="AQ24" s="1781"/>
      <c r="AR24" s="1783"/>
      <c r="AS24" s="1781"/>
      <c r="AT24" s="1783"/>
      <c r="AU24" s="1781"/>
      <c r="AV24" s="1783"/>
      <c r="AW24" s="1781"/>
      <c r="AX24" s="1783"/>
      <c r="AY24" s="1781"/>
      <c r="AZ24" s="1783"/>
      <c r="BA24" s="1781"/>
      <c r="BB24" s="1783"/>
      <c r="BC24" s="1781"/>
      <c r="BD24" s="1783"/>
      <c r="BE24" s="1783"/>
      <c r="BF24" s="1783"/>
      <c r="BG24" s="1783"/>
      <c r="BH24" s="1787"/>
      <c r="BI24" s="1451"/>
      <c r="BJ24" s="1451"/>
      <c r="BK24" s="1779"/>
      <c r="BL24" s="1781"/>
      <c r="BM24" s="1779"/>
      <c r="BN24" s="1783"/>
      <c r="BO24" s="1781"/>
    </row>
    <row r="25" spans="1:67" s="4" customFormat="1" ht="107.25" customHeight="1" x14ac:dyDescent="0.2">
      <c r="A25" s="283"/>
      <c r="B25" s="91"/>
      <c r="C25" s="91"/>
      <c r="D25" s="1448"/>
      <c r="E25" s="1279"/>
      <c r="F25" s="1280"/>
      <c r="G25" s="454">
        <v>4302075</v>
      </c>
      <c r="H25" s="32" t="s">
        <v>974</v>
      </c>
      <c r="I25" s="32" t="s">
        <v>983</v>
      </c>
      <c r="J25" s="92">
        <v>1</v>
      </c>
      <c r="K25" s="92">
        <v>1</v>
      </c>
      <c r="L25" s="110">
        <v>4</v>
      </c>
      <c r="M25" s="595" t="s">
        <v>984</v>
      </c>
      <c r="N25" s="534" t="s">
        <v>985</v>
      </c>
      <c r="O25" s="285">
        <f>+T25/P25</f>
        <v>1</v>
      </c>
      <c r="P25" s="889">
        <v>30000000</v>
      </c>
      <c r="Q25" s="213" t="s">
        <v>986</v>
      </c>
      <c r="R25" s="213" t="s">
        <v>987</v>
      </c>
      <c r="S25" s="32" t="s">
        <v>974</v>
      </c>
      <c r="T25" s="889">
        <v>30000000</v>
      </c>
      <c r="U25" s="889">
        <v>0</v>
      </c>
      <c r="V25" s="889">
        <v>0</v>
      </c>
      <c r="W25" s="299" t="s">
        <v>197</v>
      </c>
      <c r="X25" s="891" t="s">
        <v>523</v>
      </c>
      <c r="Y25" s="512">
        <v>82</v>
      </c>
      <c r="Z25" s="512"/>
      <c r="AA25" s="512">
        <v>98</v>
      </c>
      <c r="AB25" s="512"/>
      <c r="AC25" s="512">
        <v>60</v>
      </c>
      <c r="AD25" s="512"/>
      <c r="AE25" s="512">
        <v>75</v>
      </c>
      <c r="AF25" s="512"/>
      <c r="AG25" s="512">
        <v>45</v>
      </c>
      <c r="AH25" s="512"/>
      <c r="AI25" s="512">
        <v>0</v>
      </c>
      <c r="AJ25" s="512"/>
      <c r="AK25" s="512">
        <v>0</v>
      </c>
      <c r="AL25" s="512"/>
      <c r="AM25" s="512">
        <v>0</v>
      </c>
      <c r="AN25" s="512"/>
      <c r="AO25" s="512">
        <v>0</v>
      </c>
      <c r="AP25" s="512"/>
      <c r="AQ25" s="512">
        <v>0</v>
      </c>
      <c r="AR25" s="512"/>
      <c r="AS25" s="512">
        <v>0</v>
      </c>
      <c r="AT25" s="512"/>
      <c r="AU25" s="512">
        <v>0</v>
      </c>
      <c r="AV25" s="512"/>
      <c r="AW25" s="512">
        <v>0</v>
      </c>
      <c r="AX25" s="512"/>
      <c r="AY25" s="512">
        <v>50</v>
      </c>
      <c r="AZ25" s="512"/>
      <c r="BA25" s="512">
        <v>0</v>
      </c>
      <c r="BB25" s="512"/>
      <c r="BC25" s="512">
        <f>+Y25+AA25</f>
        <v>180</v>
      </c>
      <c r="BD25" s="512">
        <v>0</v>
      </c>
      <c r="BE25" s="512">
        <v>0</v>
      </c>
      <c r="BF25" s="512"/>
      <c r="BG25" s="512">
        <v>0</v>
      </c>
      <c r="BH25" s="512">
        <v>0</v>
      </c>
      <c r="BI25" s="512" t="s">
        <v>988</v>
      </c>
      <c r="BJ25" s="514" t="s">
        <v>981</v>
      </c>
      <c r="BK25" s="901">
        <v>44045</v>
      </c>
      <c r="BL25" s="901">
        <v>43862</v>
      </c>
      <c r="BM25" s="901">
        <v>44196</v>
      </c>
      <c r="BN25" s="901">
        <v>44027</v>
      </c>
      <c r="BO25" s="595" t="s">
        <v>982</v>
      </c>
    </row>
    <row r="26" spans="1:67" s="4" customFormat="1" ht="24.75" customHeight="1" x14ac:dyDescent="0.2">
      <c r="A26" s="321"/>
      <c r="B26" s="103"/>
      <c r="C26" s="103"/>
      <c r="D26" s="913"/>
      <c r="E26" s="328"/>
      <c r="F26" s="329"/>
      <c r="G26" s="329"/>
      <c r="H26" s="646"/>
      <c r="I26" s="914"/>
      <c r="J26" s="114"/>
      <c r="K26" s="114"/>
      <c r="L26" s="110"/>
      <c r="M26" s="92"/>
      <c r="N26" s="113"/>
      <c r="O26" s="285"/>
      <c r="P26" s="216">
        <f>SUM(P12:P25)</f>
        <v>1398778115</v>
      </c>
      <c r="Q26" s="40"/>
      <c r="R26" s="40"/>
      <c r="S26" s="40"/>
      <c r="T26" s="216">
        <f>SUM(T12:T25)</f>
        <v>1398778115</v>
      </c>
      <c r="U26" s="216"/>
      <c r="V26" s="216"/>
      <c r="W26" s="110"/>
      <c r="X26" s="113"/>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48"/>
      <c r="BL26" s="48"/>
      <c r="BM26" s="123"/>
      <c r="BN26" s="123"/>
      <c r="BO26" s="124"/>
    </row>
    <row r="27" spans="1:67" s="4" customFormat="1" ht="15" x14ac:dyDescent="0.2">
      <c r="A27" s="88"/>
      <c r="H27" s="915"/>
      <c r="I27" s="841"/>
      <c r="J27" s="3"/>
      <c r="K27" s="3"/>
      <c r="L27" s="131"/>
      <c r="M27" s="132"/>
      <c r="N27" s="125"/>
      <c r="O27" s="842"/>
      <c r="P27" s="137"/>
      <c r="Q27" s="489"/>
      <c r="R27" s="489"/>
      <c r="S27" s="489"/>
      <c r="T27" s="141"/>
      <c r="U27" s="141"/>
      <c r="V27" s="141"/>
      <c r="W27" s="131"/>
      <c r="X27" s="125"/>
      <c r="Y27" s="438"/>
      <c r="Z27" s="438"/>
      <c r="AA27" s="438"/>
      <c r="AB27" s="438"/>
      <c r="AC27" s="438"/>
      <c r="AD27" s="438"/>
      <c r="AE27" s="438"/>
      <c r="AF27" s="438"/>
      <c r="AG27" s="438"/>
      <c r="AH27" s="438"/>
      <c r="AI27" s="438"/>
      <c r="AJ27" s="438"/>
      <c r="AK27" s="438"/>
      <c r="AL27" s="438"/>
      <c r="AM27" s="438"/>
      <c r="AN27" s="438"/>
      <c r="AO27" s="438"/>
      <c r="AP27" s="438"/>
      <c r="AQ27" s="438"/>
      <c r="AR27" s="438"/>
      <c r="AS27" s="438"/>
      <c r="AT27" s="438"/>
      <c r="AU27" s="438"/>
      <c r="AV27" s="438"/>
      <c r="AW27" s="438"/>
      <c r="AX27" s="438"/>
      <c r="AY27" s="438"/>
      <c r="AZ27" s="438"/>
      <c r="BA27" s="438"/>
      <c r="BB27" s="438"/>
      <c r="BC27" s="438"/>
      <c r="BD27" s="438"/>
      <c r="BE27" s="438"/>
      <c r="BF27" s="438"/>
      <c r="BG27" s="438"/>
      <c r="BH27" s="438"/>
      <c r="BI27" s="438"/>
      <c r="BJ27" s="438"/>
      <c r="BK27" s="843"/>
      <c r="BL27" s="843"/>
      <c r="BM27" s="135"/>
      <c r="BN27" s="135"/>
      <c r="BO27" s="136"/>
    </row>
    <row r="28" spans="1:67" s="4" customFormat="1" ht="27" customHeight="1" x14ac:dyDescent="0.2">
      <c r="A28" s="88"/>
      <c r="H28" s="915"/>
      <c r="I28" s="841"/>
      <c r="J28" s="3"/>
      <c r="K28" s="3"/>
      <c r="L28" s="131"/>
      <c r="M28" s="132"/>
      <c r="N28" s="125"/>
      <c r="O28" s="842"/>
      <c r="P28" s="137"/>
      <c r="Q28" s="489"/>
      <c r="R28" s="489"/>
      <c r="S28" s="489"/>
      <c r="T28" s="141"/>
      <c r="U28" s="141"/>
      <c r="V28" s="141"/>
      <c r="W28" s="131"/>
      <c r="X28" s="125"/>
      <c r="Y28" s="438"/>
      <c r="Z28" s="438"/>
      <c r="AA28" s="438"/>
      <c r="AB28" s="438"/>
      <c r="AC28" s="438"/>
      <c r="AD28" s="438"/>
      <c r="AE28" s="438"/>
      <c r="AF28" s="438"/>
      <c r="AG28" s="438"/>
      <c r="AH28" s="438"/>
      <c r="AI28" s="438"/>
      <c r="AJ28" s="438"/>
      <c r="AK28" s="438"/>
      <c r="AL28" s="438"/>
      <c r="AM28" s="438"/>
      <c r="AN28" s="438"/>
      <c r="AO28" s="438"/>
      <c r="AP28" s="438"/>
      <c r="AQ28" s="438"/>
      <c r="AR28" s="438"/>
      <c r="AS28" s="438"/>
      <c r="AT28" s="438"/>
      <c r="AU28" s="438"/>
      <c r="AV28" s="438"/>
      <c r="AW28" s="438"/>
      <c r="AX28" s="438"/>
      <c r="AY28" s="438"/>
      <c r="AZ28" s="438"/>
      <c r="BA28" s="438"/>
      <c r="BB28" s="438"/>
      <c r="BC28" s="438"/>
      <c r="BD28" s="438"/>
      <c r="BE28" s="438"/>
      <c r="BF28" s="438"/>
      <c r="BG28" s="438"/>
      <c r="BH28" s="438"/>
      <c r="BI28" s="438"/>
      <c r="BJ28" s="438"/>
      <c r="BK28" s="843"/>
      <c r="BL28" s="843"/>
      <c r="BM28" s="135"/>
      <c r="BN28" s="135"/>
      <c r="BO28" s="136"/>
    </row>
    <row r="29" spans="1:67" s="4" customFormat="1" ht="27" customHeight="1" x14ac:dyDescent="0.2">
      <c r="A29" s="88"/>
      <c r="B29" s="103"/>
      <c r="C29" s="103"/>
      <c r="D29" s="103"/>
      <c r="E29" s="103"/>
      <c r="F29" s="916"/>
      <c r="G29" s="103"/>
      <c r="I29" s="841"/>
      <c r="J29" s="3"/>
      <c r="K29" s="3"/>
      <c r="L29" s="131"/>
      <c r="M29" s="132"/>
      <c r="N29" s="125"/>
      <c r="O29" s="842"/>
      <c r="P29" s="137"/>
      <c r="Q29" s="489"/>
      <c r="R29" s="489"/>
      <c r="S29" s="489"/>
      <c r="T29" s="141"/>
      <c r="U29" s="141"/>
      <c r="V29" s="141"/>
      <c r="W29" s="131"/>
      <c r="X29" s="125"/>
      <c r="Y29" s="438"/>
      <c r="Z29" s="438"/>
      <c r="AA29" s="438"/>
      <c r="AB29" s="438"/>
      <c r="AC29" s="438"/>
      <c r="AD29" s="438"/>
      <c r="AE29" s="438"/>
      <c r="AF29" s="438"/>
      <c r="AG29" s="438"/>
      <c r="AH29" s="438"/>
      <c r="AI29" s="438"/>
      <c r="AJ29" s="438"/>
      <c r="AK29" s="438"/>
      <c r="AL29" s="438"/>
      <c r="AM29" s="438"/>
      <c r="AN29" s="438"/>
      <c r="AO29" s="438"/>
      <c r="AP29" s="438"/>
      <c r="AQ29" s="438"/>
      <c r="AR29" s="438"/>
      <c r="AS29" s="438"/>
      <c r="AT29" s="438"/>
      <c r="AU29" s="438"/>
      <c r="AV29" s="438"/>
      <c r="AW29" s="438"/>
      <c r="AX29" s="438"/>
      <c r="AY29" s="438"/>
      <c r="AZ29" s="438"/>
      <c r="BA29" s="438"/>
      <c r="BB29" s="438"/>
      <c r="BC29" s="438"/>
      <c r="BD29" s="438"/>
      <c r="BE29" s="438"/>
      <c r="BF29" s="438"/>
      <c r="BG29" s="438"/>
      <c r="BH29" s="438"/>
      <c r="BI29" s="438"/>
      <c r="BJ29" s="438"/>
      <c r="BK29" s="843"/>
      <c r="BL29" s="843"/>
      <c r="BM29" s="135"/>
      <c r="BN29" s="135"/>
      <c r="BO29" s="136"/>
    </row>
    <row r="30" spans="1:67" s="4" customFormat="1" ht="27" customHeight="1" x14ac:dyDescent="0.25">
      <c r="B30" s="350"/>
      <c r="C30" s="917"/>
      <c r="D30" s="918" t="s">
        <v>989</v>
      </c>
      <c r="E30" s="918"/>
      <c r="F30" s="918"/>
      <c r="J30" s="237"/>
      <c r="K30" s="237"/>
      <c r="L30" s="237"/>
      <c r="M30" s="237"/>
      <c r="N30" s="125"/>
      <c r="O30" s="842"/>
      <c r="P30" s="137"/>
      <c r="Q30" s="489"/>
      <c r="R30" s="489"/>
      <c r="S30" s="489"/>
      <c r="T30" s="141"/>
      <c r="U30" s="141"/>
      <c r="V30" s="141"/>
      <c r="W30" s="131"/>
      <c r="X30" s="125"/>
      <c r="Y30" s="438"/>
      <c r="Z30" s="438"/>
      <c r="AA30" s="438"/>
      <c r="AB30" s="438"/>
      <c r="AC30" s="438"/>
      <c r="AD30" s="438"/>
      <c r="AE30" s="438"/>
      <c r="AF30" s="438"/>
      <c r="AG30" s="438"/>
      <c r="AH30" s="438"/>
      <c r="AI30" s="438"/>
      <c r="AJ30" s="438"/>
      <c r="AK30" s="438"/>
      <c r="AL30" s="438"/>
      <c r="AM30" s="438"/>
      <c r="AN30" s="438"/>
      <c r="AO30" s="438"/>
      <c r="AP30" s="438"/>
      <c r="AQ30" s="438"/>
      <c r="AR30" s="438"/>
      <c r="AS30" s="438"/>
      <c r="AT30" s="438"/>
      <c r="AU30" s="438"/>
      <c r="AV30" s="438"/>
      <c r="AW30" s="438"/>
      <c r="AX30" s="438"/>
      <c r="AY30" s="438"/>
      <c r="AZ30" s="438"/>
      <c r="BA30" s="438"/>
      <c r="BB30" s="438"/>
      <c r="BC30" s="438"/>
      <c r="BD30" s="438"/>
      <c r="BE30" s="438"/>
      <c r="BF30" s="438"/>
      <c r="BG30" s="438"/>
      <c r="BH30" s="438"/>
      <c r="BI30" s="438"/>
      <c r="BJ30" s="438"/>
      <c r="BK30" s="843"/>
      <c r="BL30" s="843"/>
      <c r="BM30" s="135"/>
      <c r="BN30" s="135"/>
      <c r="BO30" s="136"/>
    </row>
    <row r="31" spans="1:67" s="4" customFormat="1" ht="27" customHeight="1" x14ac:dyDescent="0.25">
      <c r="B31" s="919"/>
      <c r="C31" s="140"/>
      <c r="D31" s="237" t="s">
        <v>990</v>
      </c>
      <c r="E31" s="237"/>
      <c r="F31" s="237"/>
      <c r="J31" s="126"/>
      <c r="K31" s="126"/>
      <c r="L31" s="126"/>
      <c r="M31" s="126"/>
      <c r="W31" s="131"/>
      <c r="X31" s="125"/>
      <c r="Y31" s="438"/>
      <c r="Z31" s="438"/>
      <c r="AA31" s="438"/>
      <c r="AB31" s="438"/>
      <c r="AC31" s="438"/>
      <c r="AD31" s="438"/>
      <c r="AE31" s="438"/>
      <c r="AF31" s="438"/>
      <c r="AG31" s="438"/>
      <c r="AH31" s="438"/>
      <c r="AI31" s="438"/>
      <c r="AJ31" s="438"/>
      <c r="AK31" s="438"/>
      <c r="AL31" s="438"/>
      <c r="AM31" s="438"/>
      <c r="AN31" s="438"/>
      <c r="AO31" s="438"/>
      <c r="AP31" s="438"/>
      <c r="AQ31" s="438"/>
      <c r="AR31" s="438"/>
      <c r="AS31" s="438"/>
      <c r="AT31" s="438"/>
      <c r="AU31" s="438"/>
      <c r="AV31" s="438"/>
      <c r="AW31" s="438"/>
      <c r="AX31" s="438"/>
      <c r="AY31" s="438"/>
      <c r="AZ31" s="438"/>
      <c r="BA31" s="438"/>
      <c r="BB31" s="438"/>
      <c r="BC31" s="438"/>
      <c r="BD31" s="438"/>
      <c r="BE31" s="438"/>
      <c r="BF31" s="438"/>
      <c r="BG31" s="438"/>
      <c r="BH31" s="438"/>
      <c r="BI31" s="438"/>
      <c r="BJ31" s="438"/>
      <c r="BK31" s="843"/>
      <c r="BL31" s="843"/>
      <c r="BM31" s="135"/>
      <c r="BN31" s="135"/>
      <c r="BO31" s="136"/>
    </row>
    <row r="32" spans="1:67" ht="12" customHeight="1" x14ac:dyDescent="0.25">
      <c r="C32" s="126"/>
      <c r="D32" s="237"/>
      <c r="E32" s="237"/>
      <c r="F32" s="237"/>
      <c r="G32" s="237"/>
      <c r="H32" s="237"/>
      <c r="I32" s="126"/>
      <c r="J32" s="126"/>
      <c r="K32" s="126"/>
      <c r="L32" s="126"/>
      <c r="M32" s="126"/>
    </row>
    <row r="33" spans="3:13" ht="15" customHeight="1" x14ac:dyDescent="0.2">
      <c r="C33" s="145"/>
      <c r="D33" s="131"/>
      <c r="E33" s="230"/>
      <c r="F33" s="225"/>
      <c r="G33" s="845"/>
      <c r="H33" s="227"/>
      <c r="I33" s="223"/>
      <c r="J33" s="223"/>
      <c r="K33" s="223"/>
      <c r="L33" s="223"/>
      <c r="M33" s="235"/>
    </row>
  </sheetData>
  <sheetProtection password="A60F" sheet="1" objects="1" scenarios="1"/>
  <mergeCells count="279">
    <mergeCell ref="A1:BM4"/>
    <mergeCell ref="A5:J6"/>
    <mergeCell ref="L5:BO5"/>
    <mergeCell ref="Y6:BD6"/>
    <mergeCell ref="A7:A9"/>
    <mergeCell ref="B7:C9"/>
    <mergeCell ref="D7:D9"/>
    <mergeCell ref="E7:F9"/>
    <mergeCell ref="G7:G9"/>
    <mergeCell ref="H7:H9"/>
    <mergeCell ref="P7:P9"/>
    <mergeCell ref="Q7:Q9"/>
    <mergeCell ref="R7:R9"/>
    <mergeCell ref="S7:S9"/>
    <mergeCell ref="T7:T9"/>
    <mergeCell ref="U7:U9"/>
    <mergeCell ref="I7:I9"/>
    <mergeCell ref="J7:K8"/>
    <mergeCell ref="L7:L9"/>
    <mergeCell ref="M7:M9"/>
    <mergeCell ref="N7:N9"/>
    <mergeCell ref="O7:O9"/>
    <mergeCell ref="BO7:BO9"/>
    <mergeCell ref="BF8:BF9"/>
    <mergeCell ref="BG8:BG9"/>
    <mergeCell ref="BH8:BH9"/>
    <mergeCell ref="BI8:BI9"/>
    <mergeCell ref="V7:V9"/>
    <mergeCell ref="W7:W9"/>
    <mergeCell ref="X7:X9"/>
    <mergeCell ref="Y7:AB7"/>
    <mergeCell ref="AC7:AJ7"/>
    <mergeCell ref="AK7:AV7"/>
    <mergeCell ref="Y8:Z8"/>
    <mergeCell ref="AA8:AB8"/>
    <mergeCell ref="AC8:AD8"/>
    <mergeCell ref="AE8:AF8"/>
    <mergeCell ref="AK8:AL8"/>
    <mergeCell ref="AM8:AN8"/>
    <mergeCell ref="AO8:AP8"/>
    <mergeCell ref="AQ8:AR8"/>
    <mergeCell ref="AW7:BB7"/>
    <mergeCell ref="BC7:BD8"/>
    <mergeCell ref="BE7:BJ7"/>
    <mergeCell ref="BK7:BL8"/>
    <mergeCell ref="BM7:BN8"/>
    <mergeCell ref="AC12:AC14"/>
    <mergeCell ref="AD12:AD14"/>
    <mergeCell ref="AE12:AE14"/>
    <mergeCell ref="AF12:AF14"/>
    <mergeCell ref="AG12:AG14"/>
    <mergeCell ref="AH12:AH14"/>
    <mergeCell ref="BJ8:BJ9"/>
    <mergeCell ref="AS8:AT8"/>
    <mergeCell ref="AU8:AV8"/>
    <mergeCell ref="AW8:AX8"/>
    <mergeCell ref="AY8:AZ8"/>
    <mergeCell ref="BA8:BB8"/>
    <mergeCell ref="BE8:BE9"/>
    <mergeCell ref="AG8:AH8"/>
    <mergeCell ref="AI8:AJ8"/>
    <mergeCell ref="AO12:AO14"/>
    <mergeCell ref="AP12:AP14"/>
    <mergeCell ref="AQ12:AQ14"/>
    <mergeCell ref="AR12:AR14"/>
    <mergeCell ref="AS12:AS14"/>
    <mergeCell ref="AT12:AT14"/>
    <mergeCell ref="AI12:AI14"/>
    <mergeCell ref="M12:M14"/>
    <mergeCell ref="N12:N14"/>
    <mergeCell ref="P12:P14"/>
    <mergeCell ref="Q12:Q14"/>
    <mergeCell ref="R12:R14"/>
    <mergeCell ref="Y12:Y14"/>
    <mergeCell ref="Z12:Z14"/>
    <mergeCell ref="AA12:AA14"/>
    <mergeCell ref="AB12:AB14"/>
    <mergeCell ref="AJ12:AJ14"/>
    <mergeCell ref="AK12:AK14"/>
    <mergeCell ref="AL12:AL14"/>
    <mergeCell ref="AM12:AM14"/>
    <mergeCell ref="AN12:AN14"/>
    <mergeCell ref="BC12:BC14"/>
    <mergeCell ref="BD12:BD14"/>
    <mergeCell ref="BE12:BE14"/>
    <mergeCell ref="BF12:BF14"/>
    <mergeCell ref="AU12:AU14"/>
    <mergeCell ref="AV12:AV14"/>
    <mergeCell ref="AW12:AW14"/>
    <mergeCell ref="AX12:AX14"/>
    <mergeCell ref="AY12:AY14"/>
    <mergeCell ref="AZ12:AZ14"/>
    <mergeCell ref="G15:G16"/>
    <mergeCell ref="H15:H16"/>
    <mergeCell ref="I15:I16"/>
    <mergeCell ref="J15:J16"/>
    <mergeCell ref="K15:K16"/>
    <mergeCell ref="M15:M16"/>
    <mergeCell ref="BM12:BM14"/>
    <mergeCell ref="BN12:BN14"/>
    <mergeCell ref="BO12:BO14"/>
    <mergeCell ref="G13:G14"/>
    <mergeCell ref="H13:H14"/>
    <mergeCell ref="I13:I14"/>
    <mergeCell ref="J13:J14"/>
    <mergeCell ref="K13:K14"/>
    <mergeCell ref="O13:O14"/>
    <mergeCell ref="S13:S14"/>
    <mergeCell ref="BG12:BG14"/>
    <mergeCell ref="BH12:BH14"/>
    <mergeCell ref="BI12:BI14"/>
    <mergeCell ref="BJ12:BJ14"/>
    <mergeCell ref="BK12:BK14"/>
    <mergeCell ref="BL12:BL14"/>
    <mergeCell ref="BA12:BA14"/>
    <mergeCell ref="BB12:BB14"/>
    <mergeCell ref="Y15:Y16"/>
    <mergeCell ref="Z15:Z16"/>
    <mergeCell ref="AA15:AA16"/>
    <mergeCell ref="AB15:AB16"/>
    <mergeCell ref="AC15:AC16"/>
    <mergeCell ref="AD15:AD16"/>
    <mergeCell ref="N15:N16"/>
    <mergeCell ref="O15:O16"/>
    <mergeCell ref="P15:P16"/>
    <mergeCell ref="Q15:Q16"/>
    <mergeCell ref="R15:R16"/>
    <mergeCell ref="S15:S16"/>
    <mergeCell ref="AK15:AK16"/>
    <mergeCell ref="AL15:AL16"/>
    <mergeCell ref="AM15:AM16"/>
    <mergeCell ref="AN15:AN16"/>
    <mergeCell ref="AO15:AO16"/>
    <mergeCell ref="AP15:AP16"/>
    <mergeCell ref="AE15:AE16"/>
    <mergeCell ref="AF15:AF16"/>
    <mergeCell ref="AG15:AG16"/>
    <mergeCell ref="AH15:AH16"/>
    <mergeCell ref="AI15:AI16"/>
    <mergeCell ref="AJ15:AJ16"/>
    <mergeCell ref="AY15:AY16"/>
    <mergeCell ref="AZ15:AZ16"/>
    <mergeCell ref="BA15:BA16"/>
    <mergeCell ref="BB15:BB16"/>
    <mergeCell ref="AQ15:AQ16"/>
    <mergeCell ref="AR15:AR16"/>
    <mergeCell ref="AS15:AS16"/>
    <mergeCell ref="AT15:AT16"/>
    <mergeCell ref="AU15:AU16"/>
    <mergeCell ref="AV15:AV16"/>
    <mergeCell ref="BO15:BO16"/>
    <mergeCell ref="G17:G18"/>
    <mergeCell ref="H17:H18"/>
    <mergeCell ref="I17:I18"/>
    <mergeCell ref="J17:J18"/>
    <mergeCell ref="K17:K18"/>
    <mergeCell ref="M17:M19"/>
    <mergeCell ref="N17:N19"/>
    <mergeCell ref="O17:O18"/>
    <mergeCell ref="P17:P19"/>
    <mergeCell ref="BI15:BI16"/>
    <mergeCell ref="BJ15:BJ16"/>
    <mergeCell ref="BK15:BK16"/>
    <mergeCell ref="BL15:BL16"/>
    <mergeCell ref="BM15:BM16"/>
    <mergeCell ref="BN15:BN16"/>
    <mergeCell ref="BC15:BC16"/>
    <mergeCell ref="BD15:BD16"/>
    <mergeCell ref="BE15:BE16"/>
    <mergeCell ref="BF15:BF16"/>
    <mergeCell ref="BG15:BG16"/>
    <mergeCell ref="BH15:BH16"/>
    <mergeCell ref="AW15:AW16"/>
    <mergeCell ref="AX15:AX16"/>
    <mergeCell ref="AD17:AD19"/>
    <mergeCell ref="AE17:AE19"/>
    <mergeCell ref="AF17:AF19"/>
    <mergeCell ref="AG17:AG19"/>
    <mergeCell ref="Q17:Q19"/>
    <mergeCell ref="R17:R19"/>
    <mergeCell ref="S17:S18"/>
    <mergeCell ref="Y17:Y19"/>
    <mergeCell ref="Z17:Z19"/>
    <mergeCell ref="AA17:AA19"/>
    <mergeCell ref="BO17:BO19"/>
    <mergeCell ref="D23:D25"/>
    <mergeCell ref="E23:E25"/>
    <mergeCell ref="F23:F25"/>
    <mergeCell ref="G23:G24"/>
    <mergeCell ref="H23:H24"/>
    <mergeCell ref="I23:I24"/>
    <mergeCell ref="BF17:BF19"/>
    <mergeCell ref="BG17:BG19"/>
    <mergeCell ref="BH17:BH19"/>
    <mergeCell ref="BI17:BI19"/>
    <mergeCell ref="BJ17:BJ19"/>
    <mergeCell ref="BK17:BK19"/>
    <mergeCell ref="AZ17:AZ19"/>
    <mergeCell ref="BA17:BA19"/>
    <mergeCell ref="BB17:BB19"/>
    <mergeCell ref="BC17:BC19"/>
    <mergeCell ref="BD17:BD19"/>
    <mergeCell ref="BE17:BE19"/>
    <mergeCell ref="AT17:AT19"/>
    <mergeCell ref="AU17:AU19"/>
    <mergeCell ref="AV17:AV19"/>
    <mergeCell ref="AW17:AW19"/>
    <mergeCell ref="AX17:AX19"/>
    <mergeCell ref="J23:J24"/>
    <mergeCell ref="K23:K24"/>
    <mergeCell ref="L23:L24"/>
    <mergeCell ref="M23:M24"/>
    <mergeCell ref="N23:N24"/>
    <mergeCell ref="O23:O24"/>
    <mergeCell ref="BL17:BL19"/>
    <mergeCell ref="BM17:BM19"/>
    <mergeCell ref="BN17:BN19"/>
    <mergeCell ref="AY17:AY19"/>
    <mergeCell ref="AN17:AN19"/>
    <mergeCell ref="AO17:AO19"/>
    <mergeCell ref="AP17:AP19"/>
    <mergeCell ref="AQ17:AQ19"/>
    <mergeCell ref="AR17:AR19"/>
    <mergeCell ref="AS17:AS19"/>
    <mergeCell ref="AH17:AH19"/>
    <mergeCell ref="AI17:AI19"/>
    <mergeCell ref="AJ17:AJ19"/>
    <mergeCell ref="AK17:AK19"/>
    <mergeCell ref="AL17:AL19"/>
    <mergeCell ref="AM17:AM19"/>
    <mergeCell ref="AB17:AB19"/>
    <mergeCell ref="AC17:AC19"/>
    <mergeCell ref="AA23:AA24"/>
    <mergeCell ref="AB23:AB24"/>
    <mergeCell ref="AC23:AC24"/>
    <mergeCell ref="AD23:AD24"/>
    <mergeCell ref="AE23:AE24"/>
    <mergeCell ref="AF23:AF24"/>
    <mergeCell ref="P23:P24"/>
    <mergeCell ref="Q23:Q24"/>
    <mergeCell ref="R23:R24"/>
    <mergeCell ref="S23:S24"/>
    <mergeCell ref="Y23:Y24"/>
    <mergeCell ref="Z23:Z24"/>
    <mergeCell ref="AM23:AM24"/>
    <mergeCell ref="AN23:AN24"/>
    <mergeCell ref="AO23:AO24"/>
    <mergeCell ref="AP23:AP24"/>
    <mergeCell ref="AQ23:AQ24"/>
    <mergeCell ref="AR23:AR24"/>
    <mergeCell ref="AG23:AG24"/>
    <mergeCell ref="AH23:AH24"/>
    <mergeCell ref="AI23:AI24"/>
    <mergeCell ref="AJ23:AJ24"/>
    <mergeCell ref="AK23:AK24"/>
    <mergeCell ref="AL23:AL24"/>
    <mergeCell ref="AY23:AY24"/>
    <mergeCell ref="AZ23:AZ24"/>
    <mergeCell ref="BA23:BA24"/>
    <mergeCell ref="BB23:BB24"/>
    <mergeCell ref="BC23:BC24"/>
    <mergeCell ref="BD23:BD24"/>
    <mergeCell ref="AS23:AS24"/>
    <mergeCell ref="AT23:AT24"/>
    <mergeCell ref="AU23:AU24"/>
    <mergeCell ref="AV23:AV24"/>
    <mergeCell ref="AW23:AW24"/>
    <mergeCell ref="AX23:AX24"/>
    <mergeCell ref="BK23:BK24"/>
    <mergeCell ref="BL23:BL24"/>
    <mergeCell ref="BM23:BM24"/>
    <mergeCell ref="BN23:BN24"/>
    <mergeCell ref="BO23:BO24"/>
    <mergeCell ref="BE23:BE24"/>
    <mergeCell ref="BF23:BF24"/>
    <mergeCell ref="BG23:BG24"/>
    <mergeCell ref="BH23:BH24"/>
    <mergeCell ref="BI23:BI24"/>
    <mergeCell ref="BJ23:BJ24"/>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F34"/>
  <sheetViews>
    <sheetView showGridLines="0" topLeftCell="L1" zoomScale="60" zoomScaleNormal="60" workbookViewId="0">
      <selection activeCell="O14" sqref="O14:O15"/>
    </sheetView>
  </sheetViews>
  <sheetFormatPr baseColWidth="10" defaultColWidth="11.42578125" defaultRowHeight="27" customHeight="1" x14ac:dyDescent="0.2"/>
  <cols>
    <col min="1" max="1" width="13.140625" style="222" customWidth="1"/>
    <col min="2" max="2" width="7.7109375" style="146" customWidth="1"/>
    <col min="3" max="3" width="12.85546875" style="146" customWidth="1"/>
    <col min="4" max="4" width="14.7109375" style="146" customWidth="1"/>
    <col min="5" max="5" width="10" style="146" customWidth="1"/>
    <col min="6" max="6" width="8.85546875" style="146" customWidth="1"/>
    <col min="7" max="7" width="15.140625" style="146" customWidth="1"/>
    <col min="8" max="8" width="35.28515625" style="920" customWidth="1"/>
    <col min="9" max="9" width="32" style="844" customWidth="1"/>
    <col min="10" max="11" width="21.85546875" style="145" customWidth="1"/>
    <col min="12" max="12" width="24.5703125" style="145" customWidth="1"/>
    <col min="13" max="13" width="21.140625" style="223" customWidth="1"/>
    <col min="14" max="14" width="36.5703125" style="489" customWidth="1"/>
    <col min="15" max="15" width="21.5703125" style="845" bestFit="1" customWidth="1"/>
    <col min="16" max="16" width="25.42578125" style="227" bestFit="1" customWidth="1"/>
    <col min="17" max="17" width="23.5703125" style="489" customWidth="1"/>
    <col min="18" max="18" width="25.85546875" style="489" customWidth="1"/>
    <col min="19" max="19" width="35.28515625" style="225" customWidth="1"/>
    <col min="20" max="20" width="25.42578125" style="235" bestFit="1" customWidth="1"/>
    <col min="21" max="22" width="25.42578125" style="235" customWidth="1"/>
    <col min="23" max="23" width="14.28515625" style="229" customWidth="1"/>
    <col min="24" max="24" width="36.7109375" style="225" customWidth="1"/>
    <col min="25" max="27" width="12.28515625" style="146" customWidth="1"/>
    <col min="28" max="52" width="10.85546875" style="146" customWidth="1"/>
    <col min="53" max="53" width="8" style="146" bestFit="1" customWidth="1"/>
    <col min="54" max="54" width="8" style="146" customWidth="1"/>
    <col min="55" max="55" width="11.85546875" style="146" bestFit="1" customWidth="1"/>
    <col min="56" max="56" width="11.85546875" style="146" customWidth="1"/>
    <col min="57" max="57" width="19.28515625" style="146" customWidth="1"/>
    <col min="58" max="58" width="23.28515625" style="146" customWidth="1"/>
    <col min="59" max="59" width="24.28515625" style="146" customWidth="1"/>
    <col min="60" max="62" width="19.28515625" style="146" customWidth="1"/>
    <col min="63" max="64" width="18.7109375" style="1148" customWidth="1"/>
    <col min="65" max="65" width="23.42578125" style="232" customWidth="1"/>
    <col min="66" max="66" width="19.140625" style="232" customWidth="1"/>
    <col min="67" max="67" width="24.140625" style="233" customWidth="1"/>
    <col min="68" max="16384" width="11.42578125" style="146"/>
  </cols>
  <sheetData>
    <row r="1" spans="1:84" ht="21" customHeight="1" x14ac:dyDescent="0.2">
      <c r="A1" s="1445" t="s">
        <v>1165</v>
      </c>
      <c r="B1" s="1445"/>
      <c r="C1" s="1445"/>
      <c r="D1" s="1445"/>
      <c r="E1" s="1445"/>
      <c r="F1" s="1445"/>
      <c r="G1" s="1445"/>
      <c r="H1" s="1445"/>
      <c r="I1" s="1445"/>
      <c r="J1" s="1445"/>
      <c r="K1" s="1445"/>
      <c r="L1" s="1445"/>
      <c r="M1" s="1445"/>
      <c r="N1" s="1445"/>
      <c r="O1" s="1445"/>
      <c r="P1" s="1445"/>
      <c r="Q1" s="1445"/>
      <c r="R1" s="1445"/>
      <c r="S1" s="1445"/>
      <c r="T1" s="1445"/>
      <c r="U1" s="1445"/>
      <c r="V1" s="1445"/>
      <c r="W1" s="1445"/>
      <c r="X1" s="1445"/>
      <c r="Y1" s="1445"/>
      <c r="Z1" s="1445"/>
      <c r="AA1" s="1445"/>
      <c r="AB1" s="1445"/>
      <c r="AC1" s="1445"/>
      <c r="AD1" s="1445"/>
      <c r="AE1" s="1445"/>
      <c r="AF1" s="1445"/>
      <c r="AG1" s="1445"/>
      <c r="AH1" s="1445"/>
      <c r="AI1" s="1445"/>
      <c r="AJ1" s="1445"/>
      <c r="AK1" s="1445"/>
      <c r="AL1" s="1445"/>
      <c r="AM1" s="1445"/>
      <c r="AN1" s="1445"/>
      <c r="AO1" s="1445"/>
      <c r="AP1" s="1445"/>
      <c r="AQ1" s="1445"/>
      <c r="AR1" s="1445"/>
      <c r="AS1" s="1445"/>
      <c r="AT1" s="1445"/>
      <c r="AU1" s="1445"/>
      <c r="AV1" s="1445"/>
      <c r="AW1" s="1445"/>
      <c r="AX1" s="1445"/>
      <c r="AY1" s="1445"/>
      <c r="AZ1" s="1445"/>
      <c r="BA1" s="1445"/>
      <c r="BB1" s="1445"/>
      <c r="BC1" s="1445"/>
      <c r="BD1" s="1445"/>
      <c r="BE1" s="1445"/>
      <c r="BF1" s="1445"/>
      <c r="BG1" s="1445"/>
      <c r="BH1" s="1445"/>
      <c r="BI1" s="1445"/>
      <c r="BJ1" s="1445"/>
      <c r="BK1" s="1445"/>
      <c r="BL1" s="1445"/>
      <c r="BM1" s="1319"/>
      <c r="BN1" s="376" t="s">
        <v>1</v>
      </c>
      <c r="BO1" s="376" t="s">
        <v>1166</v>
      </c>
      <c r="BP1" s="145"/>
      <c r="BQ1" s="145"/>
      <c r="BR1" s="145"/>
      <c r="BS1" s="145"/>
      <c r="BT1" s="145"/>
      <c r="BU1" s="145"/>
      <c r="BV1" s="145"/>
      <c r="BW1" s="145"/>
    </row>
    <row r="2" spans="1:84" ht="21" customHeight="1" x14ac:dyDescent="0.2">
      <c r="A2" s="1445"/>
      <c r="B2" s="1445"/>
      <c r="C2" s="1445"/>
      <c r="D2" s="1445"/>
      <c r="E2" s="1445"/>
      <c r="F2" s="1445"/>
      <c r="G2" s="1445"/>
      <c r="H2" s="1445"/>
      <c r="I2" s="1445"/>
      <c r="J2" s="1445"/>
      <c r="K2" s="1445"/>
      <c r="L2" s="1445"/>
      <c r="M2" s="1445"/>
      <c r="N2" s="1445"/>
      <c r="O2" s="1445"/>
      <c r="P2" s="1445"/>
      <c r="Q2" s="1445"/>
      <c r="R2" s="1445"/>
      <c r="S2" s="1445"/>
      <c r="T2" s="1445"/>
      <c r="U2" s="1445"/>
      <c r="V2" s="1445"/>
      <c r="W2" s="1445"/>
      <c r="X2" s="1445"/>
      <c r="Y2" s="1445"/>
      <c r="Z2" s="1445"/>
      <c r="AA2" s="1445"/>
      <c r="AB2" s="1445"/>
      <c r="AC2" s="1445"/>
      <c r="AD2" s="1445"/>
      <c r="AE2" s="1445"/>
      <c r="AF2" s="1445"/>
      <c r="AG2" s="1445"/>
      <c r="AH2" s="1445"/>
      <c r="AI2" s="1445"/>
      <c r="AJ2" s="1445"/>
      <c r="AK2" s="1445"/>
      <c r="AL2" s="1445"/>
      <c r="AM2" s="1445"/>
      <c r="AN2" s="1445"/>
      <c r="AO2" s="1445"/>
      <c r="AP2" s="1445"/>
      <c r="AQ2" s="1445"/>
      <c r="AR2" s="1445"/>
      <c r="AS2" s="1445"/>
      <c r="AT2" s="1445"/>
      <c r="AU2" s="1445"/>
      <c r="AV2" s="1445"/>
      <c r="AW2" s="1445"/>
      <c r="AX2" s="1445"/>
      <c r="AY2" s="1445"/>
      <c r="AZ2" s="1445"/>
      <c r="BA2" s="1445"/>
      <c r="BB2" s="1445"/>
      <c r="BC2" s="1445"/>
      <c r="BD2" s="1445"/>
      <c r="BE2" s="1445"/>
      <c r="BF2" s="1445"/>
      <c r="BG2" s="1445"/>
      <c r="BH2" s="1445"/>
      <c r="BI2" s="1445"/>
      <c r="BJ2" s="1445"/>
      <c r="BK2" s="1445"/>
      <c r="BL2" s="1445"/>
      <c r="BM2" s="1319"/>
      <c r="BN2" s="1060" t="s">
        <v>3</v>
      </c>
      <c r="BO2" s="376" t="s">
        <v>4</v>
      </c>
      <c r="BP2" s="145"/>
      <c r="BQ2" s="145"/>
      <c r="BR2" s="145"/>
      <c r="BS2" s="145"/>
      <c r="BT2" s="145"/>
      <c r="BU2" s="145"/>
      <c r="BV2" s="145"/>
      <c r="BW2" s="145"/>
    </row>
    <row r="3" spans="1:84" ht="21" customHeight="1" x14ac:dyDescent="0.2">
      <c r="A3" s="1445"/>
      <c r="B3" s="1445"/>
      <c r="C3" s="1445"/>
      <c r="D3" s="1445"/>
      <c r="E3" s="1445"/>
      <c r="F3" s="1445"/>
      <c r="G3" s="1445"/>
      <c r="H3" s="1445"/>
      <c r="I3" s="1445"/>
      <c r="J3" s="1445"/>
      <c r="K3" s="1445"/>
      <c r="L3" s="1445"/>
      <c r="M3" s="1445"/>
      <c r="N3" s="1445"/>
      <c r="O3" s="1445"/>
      <c r="P3" s="1445"/>
      <c r="Q3" s="1445"/>
      <c r="R3" s="1445"/>
      <c r="S3" s="1445"/>
      <c r="T3" s="1445"/>
      <c r="U3" s="1445"/>
      <c r="V3" s="1445"/>
      <c r="W3" s="1445"/>
      <c r="X3" s="1445"/>
      <c r="Y3" s="1445"/>
      <c r="Z3" s="1445"/>
      <c r="AA3" s="1445"/>
      <c r="AB3" s="1445"/>
      <c r="AC3" s="1445"/>
      <c r="AD3" s="1445"/>
      <c r="AE3" s="1445"/>
      <c r="AF3" s="1445"/>
      <c r="AG3" s="1445"/>
      <c r="AH3" s="1445"/>
      <c r="AI3" s="1445"/>
      <c r="AJ3" s="1445"/>
      <c r="AK3" s="1445"/>
      <c r="AL3" s="1445"/>
      <c r="AM3" s="1445"/>
      <c r="AN3" s="1445"/>
      <c r="AO3" s="1445"/>
      <c r="AP3" s="1445"/>
      <c r="AQ3" s="1445"/>
      <c r="AR3" s="1445"/>
      <c r="AS3" s="1445"/>
      <c r="AT3" s="1445"/>
      <c r="AU3" s="1445"/>
      <c r="AV3" s="1445"/>
      <c r="AW3" s="1445"/>
      <c r="AX3" s="1445"/>
      <c r="AY3" s="1445"/>
      <c r="AZ3" s="1445"/>
      <c r="BA3" s="1445"/>
      <c r="BB3" s="1445"/>
      <c r="BC3" s="1445"/>
      <c r="BD3" s="1445"/>
      <c r="BE3" s="1445"/>
      <c r="BF3" s="1445"/>
      <c r="BG3" s="1445"/>
      <c r="BH3" s="1445"/>
      <c r="BI3" s="1445"/>
      <c r="BJ3" s="1445"/>
      <c r="BK3" s="1445"/>
      <c r="BL3" s="1445"/>
      <c r="BM3" s="1319"/>
      <c r="BN3" s="376" t="s">
        <v>5</v>
      </c>
      <c r="BO3" s="377" t="s">
        <v>6</v>
      </c>
      <c r="BP3" s="145"/>
      <c r="BQ3" s="145"/>
      <c r="BR3" s="145"/>
      <c r="BS3" s="145"/>
      <c r="BT3" s="145"/>
      <c r="BU3" s="145"/>
      <c r="BV3" s="145"/>
      <c r="BW3" s="145"/>
    </row>
    <row r="4" spans="1:84" ht="21" customHeight="1" x14ac:dyDescent="0.2">
      <c r="A4" s="1320"/>
      <c r="B4" s="1320"/>
      <c r="C4" s="1320"/>
      <c r="D4" s="1320"/>
      <c r="E4" s="1320"/>
      <c r="F4" s="1320"/>
      <c r="G4" s="1320"/>
      <c r="H4" s="1320"/>
      <c r="I4" s="1320"/>
      <c r="J4" s="1320"/>
      <c r="K4" s="1320"/>
      <c r="L4" s="1320"/>
      <c r="M4" s="1320"/>
      <c r="N4" s="1320"/>
      <c r="O4" s="1320"/>
      <c r="P4" s="1320"/>
      <c r="Q4" s="1320"/>
      <c r="R4" s="1320"/>
      <c r="S4" s="1320"/>
      <c r="T4" s="1320"/>
      <c r="U4" s="1320"/>
      <c r="V4" s="1320"/>
      <c r="W4" s="1320"/>
      <c r="X4" s="1320"/>
      <c r="Y4" s="1320"/>
      <c r="Z4" s="1320"/>
      <c r="AA4" s="1320"/>
      <c r="AB4" s="1320"/>
      <c r="AC4" s="1320"/>
      <c r="AD4" s="1320"/>
      <c r="AE4" s="1320"/>
      <c r="AF4" s="1320"/>
      <c r="AG4" s="1320"/>
      <c r="AH4" s="1320"/>
      <c r="AI4" s="1320"/>
      <c r="AJ4" s="1320"/>
      <c r="AK4" s="1320"/>
      <c r="AL4" s="1320"/>
      <c r="AM4" s="1320"/>
      <c r="AN4" s="1320"/>
      <c r="AO4" s="1320"/>
      <c r="AP4" s="1320"/>
      <c r="AQ4" s="1320"/>
      <c r="AR4" s="1320"/>
      <c r="AS4" s="1320"/>
      <c r="AT4" s="1320"/>
      <c r="AU4" s="1320"/>
      <c r="AV4" s="1320"/>
      <c r="AW4" s="1320"/>
      <c r="AX4" s="1320"/>
      <c r="AY4" s="1320"/>
      <c r="AZ4" s="1320"/>
      <c r="BA4" s="1320"/>
      <c r="BB4" s="1320"/>
      <c r="BC4" s="1320"/>
      <c r="BD4" s="1320"/>
      <c r="BE4" s="1320"/>
      <c r="BF4" s="1320"/>
      <c r="BG4" s="1320"/>
      <c r="BH4" s="1320"/>
      <c r="BI4" s="1320"/>
      <c r="BJ4" s="1320"/>
      <c r="BK4" s="1320"/>
      <c r="BL4" s="1320"/>
      <c r="BM4" s="1321"/>
      <c r="BN4" s="376" t="s">
        <v>7</v>
      </c>
      <c r="BO4" s="378" t="s">
        <v>8</v>
      </c>
      <c r="BP4" s="145"/>
      <c r="BQ4" s="145"/>
      <c r="BR4" s="145"/>
      <c r="BS4" s="145"/>
      <c r="BT4" s="145"/>
      <c r="BU4" s="145"/>
      <c r="BV4" s="145"/>
      <c r="BW4" s="145"/>
    </row>
    <row r="5" spans="1:84" s="4" customFormat="1" ht="27" customHeight="1" x14ac:dyDescent="0.2">
      <c r="A5" s="1231" t="s">
        <v>9</v>
      </c>
      <c r="B5" s="1231"/>
      <c r="C5" s="1231"/>
      <c r="D5" s="1231"/>
      <c r="E5" s="1231"/>
      <c r="F5" s="1231"/>
      <c r="G5" s="1231"/>
      <c r="H5" s="1231"/>
      <c r="I5" s="1231"/>
      <c r="J5" s="1231"/>
      <c r="K5" s="976"/>
      <c r="L5" s="1233" t="s">
        <v>10</v>
      </c>
      <c r="M5" s="1233"/>
      <c r="N5" s="1233"/>
      <c r="O5" s="1233"/>
      <c r="P5" s="1233"/>
      <c r="Q5" s="1233"/>
      <c r="R5" s="1233"/>
      <c r="S5" s="1233"/>
      <c r="T5" s="1233"/>
      <c r="U5" s="1233"/>
      <c r="V5" s="1233"/>
      <c r="W5" s="1233"/>
      <c r="X5" s="1233"/>
      <c r="Y5" s="1233"/>
      <c r="Z5" s="1233"/>
      <c r="AA5" s="1233"/>
      <c r="AB5" s="1233"/>
      <c r="AC5" s="1233"/>
      <c r="AD5" s="1233"/>
      <c r="AE5" s="1233"/>
      <c r="AF5" s="1233"/>
      <c r="AG5" s="1233"/>
      <c r="AH5" s="1233"/>
      <c r="AI5" s="1233"/>
      <c r="AJ5" s="1233"/>
      <c r="AK5" s="1233"/>
      <c r="AL5" s="1233"/>
      <c r="AM5" s="1233"/>
      <c r="AN5" s="1233"/>
      <c r="AO5" s="1233"/>
      <c r="AP5" s="1233"/>
      <c r="AQ5" s="1233"/>
      <c r="AR5" s="1233"/>
      <c r="AS5" s="1233"/>
      <c r="AT5" s="1233"/>
      <c r="AU5" s="1233"/>
      <c r="AV5" s="1233"/>
      <c r="AW5" s="1233"/>
      <c r="AX5" s="1233"/>
      <c r="AY5" s="1233"/>
      <c r="AZ5" s="1233"/>
      <c r="BA5" s="1233"/>
      <c r="BB5" s="1233"/>
      <c r="BC5" s="1233"/>
      <c r="BD5" s="1233"/>
      <c r="BE5" s="1233"/>
      <c r="BF5" s="1233"/>
      <c r="BG5" s="1233"/>
      <c r="BH5" s="1233"/>
      <c r="BI5" s="1233"/>
      <c r="BJ5" s="1233"/>
      <c r="BK5" s="1233"/>
      <c r="BL5" s="1233"/>
      <c r="BM5" s="1233"/>
      <c r="BN5" s="1233"/>
      <c r="BO5" s="1233"/>
      <c r="BP5" s="3"/>
      <c r="BQ5" s="3"/>
      <c r="BR5" s="3"/>
      <c r="BS5" s="3"/>
      <c r="BT5" s="3"/>
      <c r="BU5" s="3"/>
      <c r="BV5" s="3"/>
      <c r="BW5" s="3"/>
      <c r="BX5" s="3"/>
      <c r="BY5" s="3"/>
      <c r="BZ5" s="3"/>
      <c r="CA5" s="3"/>
      <c r="CB5" s="3"/>
      <c r="CC5" s="3"/>
      <c r="CD5" s="3"/>
      <c r="CE5" s="3"/>
      <c r="CF5" s="3"/>
    </row>
    <row r="6" spans="1:84" s="4" customFormat="1" ht="27" customHeight="1" thickBot="1" x14ac:dyDescent="0.25">
      <c r="A6" s="1232"/>
      <c r="B6" s="1232"/>
      <c r="C6" s="1232"/>
      <c r="D6" s="1232"/>
      <c r="E6" s="1232"/>
      <c r="F6" s="1232"/>
      <c r="G6" s="1232"/>
      <c r="H6" s="1232"/>
      <c r="I6" s="1232"/>
      <c r="J6" s="1232"/>
      <c r="K6" s="977"/>
      <c r="L6" s="239"/>
      <c r="M6" s="10"/>
      <c r="N6" s="240"/>
      <c r="O6" s="977"/>
      <c r="P6" s="10"/>
      <c r="Q6" s="240"/>
      <c r="R6" s="240"/>
      <c r="S6" s="240"/>
      <c r="T6" s="10"/>
      <c r="U6" s="10"/>
      <c r="V6" s="10"/>
      <c r="W6" s="10"/>
      <c r="X6" s="10"/>
      <c r="Y6" s="1233" t="s">
        <v>11</v>
      </c>
      <c r="Z6" s="1233"/>
      <c r="AA6" s="1233"/>
      <c r="AB6" s="1233"/>
      <c r="AC6" s="1233"/>
      <c r="AD6" s="1233"/>
      <c r="AE6" s="1233"/>
      <c r="AF6" s="1233"/>
      <c r="AG6" s="1233"/>
      <c r="AH6" s="1233"/>
      <c r="AI6" s="1233"/>
      <c r="AJ6" s="1233"/>
      <c r="AK6" s="1233"/>
      <c r="AL6" s="1233"/>
      <c r="AM6" s="1233"/>
      <c r="AN6" s="1233"/>
      <c r="AO6" s="1233"/>
      <c r="AP6" s="1233"/>
      <c r="AQ6" s="1233"/>
      <c r="AR6" s="1233"/>
      <c r="AS6" s="1233"/>
      <c r="AT6" s="1233"/>
      <c r="AU6" s="1233"/>
      <c r="AV6" s="1233"/>
      <c r="AW6" s="1233"/>
      <c r="AX6" s="1233"/>
      <c r="AY6" s="1233"/>
      <c r="AZ6" s="1233"/>
      <c r="BA6" s="1233"/>
      <c r="BB6" s="1233"/>
      <c r="BC6" s="1233"/>
      <c r="BD6" s="1233"/>
      <c r="BE6" s="977"/>
      <c r="BF6" s="977"/>
      <c r="BG6" s="977"/>
      <c r="BH6" s="977"/>
      <c r="BI6" s="977"/>
      <c r="BJ6" s="977"/>
      <c r="BK6" s="977"/>
      <c r="BL6" s="977"/>
      <c r="BM6" s="977"/>
      <c r="BN6" s="977"/>
      <c r="BO6" s="541"/>
      <c r="BP6" s="3"/>
      <c r="BQ6" s="3"/>
      <c r="BR6" s="3"/>
      <c r="BS6" s="3"/>
      <c r="BT6" s="3"/>
      <c r="BU6" s="3"/>
      <c r="BV6" s="3"/>
      <c r="BW6" s="3"/>
      <c r="BX6" s="3"/>
      <c r="BY6" s="3"/>
      <c r="BZ6" s="3"/>
      <c r="CA6" s="3"/>
      <c r="CB6" s="3"/>
      <c r="CC6" s="3"/>
      <c r="CD6" s="3"/>
      <c r="CE6" s="3"/>
      <c r="CF6" s="3"/>
    </row>
    <row r="7" spans="1:84" s="4" customFormat="1" ht="43.5" customHeight="1" x14ac:dyDescent="0.2">
      <c r="A7" s="1234" t="s">
        <v>12</v>
      </c>
      <c r="B7" s="1221" t="s">
        <v>13</v>
      </c>
      <c r="C7" s="1221"/>
      <c r="D7" s="1221" t="s">
        <v>12</v>
      </c>
      <c r="E7" s="1221" t="s">
        <v>14</v>
      </c>
      <c r="F7" s="1221"/>
      <c r="G7" s="1237" t="s">
        <v>12</v>
      </c>
      <c r="H7" s="1221" t="s">
        <v>15</v>
      </c>
      <c r="I7" s="1221" t="s">
        <v>16</v>
      </c>
      <c r="J7" s="1222" t="s">
        <v>17</v>
      </c>
      <c r="K7" s="1223"/>
      <c r="L7" s="1221" t="s">
        <v>18</v>
      </c>
      <c r="M7" s="1221" t="s">
        <v>19</v>
      </c>
      <c r="N7" s="1221" t="s">
        <v>10</v>
      </c>
      <c r="O7" s="1226" t="s">
        <v>20</v>
      </c>
      <c r="P7" s="1253" t="s">
        <v>21</v>
      </c>
      <c r="Q7" s="1221" t="s">
        <v>22</v>
      </c>
      <c r="R7" s="1221" t="s">
        <v>23</v>
      </c>
      <c r="S7" s="1221" t="s">
        <v>24</v>
      </c>
      <c r="T7" s="1253" t="s">
        <v>21</v>
      </c>
      <c r="U7" s="1253" t="s">
        <v>25</v>
      </c>
      <c r="V7" s="1253" t="s">
        <v>26</v>
      </c>
      <c r="W7" s="1264" t="s">
        <v>12</v>
      </c>
      <c r="X7" s="1221" t="s">
        <v>27</v>
      </c>
      <c r="Y7" s="1240" t="s">
        <v>28</v>
      </c>
      <c r="Z7" s="1241"/>
      <c r="AA7" s="1241"/>
      <c r="AB7" s="1242"/>
      <c r="AC7" s="1243" t="s">
        <v>29</v>
      </c>
      <c r="AD7" s="1244"/>
      <c r="AE7" s="1244"/>
      <c r="AF7" s="1244"/>
      <c r="AG7" s="1244"/>
      <c r="AH7" s="1244"/>
      <c r="AI7" s="1244"/>
      <c r="AJ7" s="1245"/>
      <c r="AK7" s="1246" t="s">
        <v>30</v>
      </c>
      <c r="AL7" s="1247"/>
      <c r="AM7" s="1247"/>
      <c r="AN7" s="1247"/>
      <c r="AO7" s="1247"/>
      <c r="AP7" s="1247"/>
      <c r="AQ7" s="1247"/>
      <c r="AR7" s="1247"/>
      <c r="AS7" s="1247"/>
      <c r="AT7" s="1247"/>
      <c r="AU7" s="1247"/>
      <c r="AV7" s="1248"/>
      <c r="AW7" s="1254" t="s">
        <v>31</v>
      </c>
      <c r="AX7" s="1255"/>
      <c r="AY7" s="1255"/>
      <c r="AZ7" s="1255"/>
      <c r="BA7" s="1255"/>
      <c r="BB7" s="1256"/>
      <c r="BC7" s="1257" t="s">
        <v>32</v>
      </c>
      <c r="BD7" s="1258"/>
      <c r="BE7" s="1261" t="s">
        <v>33</v>
      </c>
      <c r="BF7" s="1262"/>
      <c r="BG7" s="1262"/>
      <c r="BH7" s="1262"/>
      <c r="BI7" s="1262"/>
      <c r="BJ7" s="1263"/>
      <c r="BK7" s="1266" t="s">
        <v>34</v>
      </c>
      <c r="BL7" s="1267"/>
      <c r="BM7" s="1266" t="s">
        <v>35</v>
      </c>
      <c r="BN7" s="1267"/>
      <c r="BO7" s="1270" t="s">
        <v>36</v>
      </c>
      <c r="BP7" s="3"/>
      <c r="BQ7" s="3"/>
      <c r="BR7" s="3"/>
      <c r="BS7" s="3"/>
      <c r="BT7" s="3"/>
      <c r="BU7" s="3"/>
      <c r="BV7" s="3"/>
      <c r="BW7" s="3"/>
      <c r="BX7" s="3"/>
      <c r="BY7" s="3"/>
      <c r="BZ7" s="3"/>
      <c r="CA7" s="3"/>
      <c r="CB7" s="3"/>
      <c r="CC7" s="3"/>
      <c r="CD7" s="3"/>
    </row>
    <row r="8" spans="1:84" s="4" customFormat="1" ht="120.75" customHeight="1" x14ac:dyDescent="0.2">
      <c r="A8" s="1235"/>
      <c r="B8" s="1221"/>
      <c r="C8" s="1221"/>
      <c r="D8" s="1221"/>
      <c r="E8" s="1221"/>
      <c r="F8" s="1221"/>
      <c r="G8" s="1238"/>
      <c r="H8" s="1221"/>
      <c r="I8" s="1221"/>
      <c r="J8" s="1224"/>
      <c r="K8" s="1225"/>
      <c r="L8" s="1221"/>
      <c r="M8" s="1221"/>
      <c r="N8" s="1221"/>
      <c r="O8" s="1226"/>
      <c r="P8" s="1253"/>
      <c r="Q8" s="1221"/>
      <c r="R8" s="1221"/>
      <c r="S8" s="1221"/>
      <c r="T8" s="1253"/>
      <c r="U8" s="1253"/>
      <c r="V8" s="1253"/>
      <c r="W8" s="1264"/>
      <c r="X8" s="1221"/>
      <c r="Y8" s="1249" t="s">
        <v>37</v>
      </c>
      <c r="Z8" s="1250"/>
      <c r="AA8" s="1251" t="s">
        <v>38</v>
      </c>
      <c r="AB8" s="1252"/>
      <c r="AC8" s="1249" t="s">
        <v>39</v>
      </c>
      <c r="AD8" s="1250"/>
      <c r="AE8" s="1249" t="s">
        <v>40</v>
      </c>
      <c r="AF8" s="1250"/>
      <c r="AG8" s="1249" t="s">
        <v>41</v>
      </c>
      <c r="AH8" s="1250"/>
      <c r="AI8" s="1249" t="s">
        <v>42</v>
      </c>
      <c r="AJ8" s="1250"/>
      <c r="AK8" s="1249" t="s">
        <v>43</v>
      </c>
      <c r="AL8" s="1250"/>
      <c r="AM8" s="1249" t="s">
        <v>44</v>
      </c>
      <c r="AN8" s="1250"/>
      <c r="AO8" s="1249" t="s">
        <v>45</v>
      </c>
      <c r="AP8" s="1250"/>
      <c r="AQ8" s="1249" t="s">
        <v>46</v>
      </c>
      <c r="AR8" s="1250"/>
      <c r="AS8" s="1249" t="s">
        <v>47</v>
      </c>
      <c r="AT8" s="1250"/>
      <c r="AU8" s="1249" t="s">
        <v>48</v>
      </c>
      <c r="AV8" s="1250"/>
      <c r="AW8" s="1249" t="s">
        <v>49</v>
      </c>
      <c r="AX8" s="1250"/>
      <c r="AY8" s="1249" t="s">
        <v>50</v>
      </c>
      <c r="AZ8" s="1250"/>
      <c r="BA8" s="1302" t="s">
        <v>51</v>
      </c>
      <c r="BB8" s="1302"/>
      <c r="BC8" s="1259"/>
      <c r="BD8" s="1260"/>
      <c r="BE8" s="1274" t="s">
        <v>52</v>
      </c>
      <c r="BF8" s="1273" t="s">
        <v>53</v>
      </c>
      <c r="BG8" s="1274" t="s">
        <v>54</v>
      </c>
      <c r="BH8" s="1275" t="s">
        <v>55</v>
      </c>
      <c r="BI8" s="1274" t="s">
        <v>56</v>
      </c>
      <c r="BJ8" s="1276" t="s">
        <v>57</v>
      </c>
      <c r="BK8" s="1509"/>
      <c r="BL8" s="1510"/>
      <c r="BM8" s="1268"/>
      <c r="BN8" s="1269"/>
      <c r="BO8" s="1271"/>
      <c r="BP8" s="3"/>
      <c r="BQ8" s="3"/>
      <c r="BR8" s="3"/>
      <c r="BS8" s="3"/>
      <c r="BT8" s="3"/>
      <c r="BU8" s="3"/>
      <c r="BV8" s="3"/>
      <c r="BW8" s="3"/>
      <c r="BX8" s="3"/>
      <c r="BY8" s="3"/>
      <c r="BZ8" s="3"/>
      <c r="CA8" s="3"/>
      <c r="CB8" s="3"/>
      <c r="CC8" s="3"/>
      <c r="CD8" s="3"/>
    </row>
    <row r="9" spans="1:84" s="4" customFormat="1" ht="21.75" customHeight="1" x14ac:dyDescent="0.2">
      <c r="A9" s="1236"/>
      <c r="B9" s="1221"/>
      <c r="C9" s="1221"/>
      <c r="D9" s="1221"/>
      <c r="E9" s="1221"/>
      <c r="F9" s="1221"/>
      <c r="G9" s="1239"/>
      <c r="H9" s="1221"/>
      <c r="I9" s="1221"/>
      <c r="J9" s="975" t="s">
        <v>58</v>
      </c>
      <c r="K9" s="975" t="s">
        <v>59</v>
      </c>
      <c r="L9" s="1221"/>
      <c r="M9" s="1221"/>
      <c r="N9" s="1221"/>
      <c r="O9" s="1226"/>
      <c r="P9" s="1253"/>
      <c r="Q9" s="1221"/>
      <c r="R9" s="1221"/>
      <c r="S9" s="1221"/>
      <c r="T9" s="1253"/>
      <c r="U9" s="1253"/>
      <c r="V9" s="1253"/>
      <c r="W9" s="1264"/>
      <c r="X9" s="1221"/>
      <c r="Y9" s="975" t="s">
        <v>58</v>
      </c>
      <c r="Z9" s="975" t="s">
        <v>60</v>
      </c>
      <c r="AA9" s="975" t="s">
        <v>58</v>
      </c>
      <c r="AB9" s="975" t="s">
        <v>60</v>
      </c>
      <c r="AC9" s="975" t="s">
        <v>58</v>
      </c>
      <c r="AD9" s="975" t="s">
        <v>60</v>
      </c>
      <c r="AE9" s="975" t="s">
        <v>58</v>
      </c>
      <c r="AF9" s="975" t="s">
        <v>60</v>
      </c>
      <c r="AG9" s="975" t="s">
        <v>58</v>
      </c>
      <c r="AH9" s="975" t="s">
        <v>60</v>
      </c>
      <c r="AI9" s="975" t="s">
        <v>58</v>
      </c>
      <c r="AJ9" s="975" t="s">
        <v>60</v>
      </c>
      <c r="AK9" s="975" t="s">
        <v>58</v>
      </c>
      <c r="AL9" s="975" t="s">
        <v>60</v>
      </c>
      <c r="AM9" s="975" t="s">
        <v>58</v>
      </c>
      <c r="AN9" s="975" t="s">
        <v>60</v>
      </c>
      <c r="AO9" s="975" t="s">
        <v>58</v>
      </c>
      <c r="AP9" s="975" t="s">
        <v>60</v>
      </c>
      <c r="AQ9" s="975" t="s">
        <v>58</v>
      </c>
      <c r="AR9" s="975" t="s">
        <v>60</v>
      </c>
      <c r="AS9" s="975" t="s">
        <v>58</v>
      </c>
      <c r="AT9" s="975" t="s">
        <v>60</v>
      </c>
      <c r="AU9" s="975" t="s">
        <v>58</v>
      </c>
      <c r="AV9" s="975" t="s">
        <v>60</v>
      </c>
      <c r="AW9" s="975" t="s">
        <v>58</v>
      </c>
      <c r="AX9" s="975" t="s">
        <v>60</v>
      </c>
      <c r="AY9" s="975" t="s">
        <v>58</v>
      </c>
      <c r="AZ9" s="975" t="s">
        <v>60</v>
      </c>
      <c r="BA9" s="975" t="s">
        <v>58</v>
      </c>
      <c r="BB9" s="975" t="s">
        <v>60</v>
      </c>
      <c r="BC9" s="975" t="s">
        <v>58</v>
      </c>
      <c r="BD9" s="975" t="s">
        <v>60</v>
      </c>
      <c r="BE9" s="1274"/>
      <c r="BF9" s="1273"/>
      <c r="BG9" s="1274"/>
      <c r="BH9" s="1275"/>
      <c r="BI9" s="1274"/>
      <c r="BJ9" s="1277"/>
      <c r="BK9" s="973" t="s">
        <v>58</v>
      </c>
      <c r="BL9" s="973" t="s">
        <v>60</v>
      </c>
      <c r="BM9" s="973" t="s">
        <v>58</v>
      </c>
      <c r="BN9" s="973" t="s">
        <v>60</v>
      </c>
      <c r="BO9" s="1272"/>
      <c r="BP9" s="3"/>
      <c r="BQ9" s="3"/>
      <c r="BR9" s="3"/>
      <c r="BS9" s="3"/>
      <c r="BT9" s="3"/>
      <c r="BU9" s="3"/>
      <c r="BV9" s="3"/>
      <c r="BW9" s="3"/>
      <c r="BX9" s="3"/>
      <c r="BY9" s="3"/>
      <c r="BZ9" s="3"/>
      <c r="CA9" s="3"/>
      <c r="CB9" s="3"/>
      <c r="CC9" s="3"/>
      <c r="CD9" s="3"/>
    </row>
    <row r="10" spans="1:84" s="4" customFormat="1" ht="15.75" x14ac:dyDescent="0.2">
      <c r="A10" s="838">
        <v>1</v>
      </c>
      <c r="B10" s="456" t="s">
        <v>1167</v>
      </c>
      <c r="C10" s="241"/>
      <c r="D10" s="307"/>
      <c r="E10" s="693"/>
      <c r="F10" s="693"/>
      <c r="G10" s="693"/>
      <c r="H10" s="873"/>
      <c r="I10" s="694"/>
      <c r="J10" s="693"/>
      <c r="K10" s="693"/>
      <c r="L10" s="693"/>
      <c r="M10" s="697"/>
      <c r="N10" s="697"/>
      <c r="O10" s="696"/>
      <c r="P10" s="693"/>
      <c r="Q10" s="697"/>
      <c r="R10" s="697"/>
      <c r="S10" s="694"/>
      <c r="T10" s="693"/>
      <c r="U10" s="693"/>
      <c r="V10" s="693"/>
      <c r="W10" s="693"/>
      <c r="X10" s="694"/>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3"/>
      <c r="AY10" s="693"/>
      <c r="AZ10" s="693"/>
      <c r="BA10" s="693"/>
      <c r="BB10" s="693"/>
      <c r="BC10" s="693"/>
      <c r="BD10" s="693"/>
      <c r="BE10" s="693"/>
      <c r="BF10" s="693"/>
      <c r="BG10" s="693"/>
      <c r="BH10" s="693"/>
      <c r="BI10" s="693"/>
      <c r="BJ10" s="693"/>
      <c r="BK10" s="693"/>
      <c r="BL10" s="693"/>
      <c r="BM10" s="693"/>
      <c r="BN10" s="693"/>
      <c r="BO10" s="693"/>
    </row>
    <row r="11" spans="1:84" s="4" customFormat="1" ht="24.75" customHeight="1" x14ac:dyDescent="0.2">
      <c r="A11" s="875"/>
      <c r="B11" s="875"/>
      <c r="C11" s="877"/>
      <c r="D11" s="449">
        <v>39</v>
      </c>
      <c r="E11" s="340" t="s">
        <v>193</v>
      </c>
      <c r="F11" s="450"/>
      <c r="G11" s="947"/>
      <c r="H11" s="878"/>
      <c r="I11" s="699"/>
      <c r="J11" s="261"/>
      <c r="K11" s="261"/>
      <c r="L11" s="259"/>
      <c r="M11" s="1061"/>
      <c r="N11" s="882"/>
      <c r="O11" s="701"/>
      <c r="P11" s="881"/>
      <c r="Q11" s="908"/>
      <c r="R11" s="908"/>
      <c r="S11" s="259"/>
      <c r="T11" s="883"/>
      <c r="U11" s="883"/>
      <c r="V11" s="883"/>
      <c r="W11" s="881"/>
      <c r="X11" s="884"/>
      <c r="Y11" s="881"/>
      <c r="Z11" s="881"/>
      <c r="AA11" s="881"/>
      <c r="AB11" s="881"/>
      <c r="AC11" s="881"/>
      <c r="AD11" s="881"/>
      <c r="AE11" s="881"/>
      <c r="AF11" s="881"/>
      <c r="AG11" s="881"/>
      <c r="AH11" s="881"/>
      <c r="AI11" s="881"/>
      <c r="AJ11" s="881"/>
      <c r="AK11" s="881"/>
      <c r="AL11" s="881"/>
      <c r="AM11" s="881"/>
      <c r="AN11" s="881"/>
      <c r="AO11" s="881"/>
      <c r="AP11" s="881"/>
      <c r="AQ11" s="881"/>
      <c r="AR11" s="881"/>
      <c r="AS11" s="881"/>
      <c r="AT11" s="881"/>
      <c r="AU11" s="881"/>
      <c r="AV11" s="881"/>
      <c r="AW11" s="881"/>
      <c r="AX11" s="881"/>
      <c r="AY11" s="881"/>
      <c r="AZ11" s="881"/>
      <c r="BA11" s="881"/>
      <c r="BB11" s="881"/>
      <c r="BC11" s="881"/>
      <c r="BD11" s="881"/>
      <c r="BE11" s="881"/>
      <c r="BF11" s="881"/>
      <c r="BG11" s="881"/>
      <c r="BH11" s="881"/>
      <c r="BI11" s="881"/>
      <c r="BJ11" s="881"/>
      <c r="BK11" s="881"/>
      <c r="BL11" s="881"/>
      <c r="BM11" s="881"/>
      <c r="BN11" s="881"/>
      <c r="BO11" s="881"/>
    </row>
    <row r="12" spans="1:84" s="221" customFormat="1" ht="120" x14ac:dyDescent="0.2">
      <c r="A12" s="1062"/>
      <c r="B12" s="1062"/>
      <c r="C12" s="1063"/>
      <c r="D12" s="1064"/>
      <c r="E12" s="212"/>
      <c r="F12" s="1065"/>
      <c r="G12" s="1066" t="s">
        <v>328</v>
      </c>
      <c r="H12" s="1067" t="s">
        <v>1168</v>
      </c>
      <c r="I12" s="1068" t="s">
        <v>195</v>
      </c>
      <c r="J12" s="862">
        <v>3</v>
      </c>
      <c r="K12" s="862"/>
      <c r="L12" s="36" t="s">
        <v>1169</v>
      </c>
      <c r="M12" s="1069" t="s">
        <v>1170</v>
      </c>
      <c r="N12" s="981" t="s">
        <v>1171</v>
      </c>
      <c r="O12" s="1070">
        <f>+T12/P12</f>
        <v>1</v>
      </c>
      <c r="P12" s="1071">
        <f>+T12</f>
        <v>372570330</v>
      </c>
      <c r="Q12" s="831" t="s">
        <v>1172</v>
      </c>
      <c r="R12" s="831" t="s">
        <v>1173</v>
      </c>
      <c r="S12" s="1072" t="s">
        <v>1168</v>
      </c>
      <c r="T12" s="1073">
        <v>372570330</v>
      </c>
      <c r="U12" s="1073">
        <f>+[1]Hoja1!$H$7</f>
        <v>141813333.33000001</v>
      </c>
      <c r="V12" s="1073">
        <f>+[1]Hoja1!$I$7</f>
        <v>106733333.33333333</v>
      </c>
      <c r="W12" s="1074">
        <v>4</v>
      </c>
      <c r="X12" s="980" t="s">
        <v>198</v>
      </c>
      <c r="Y12" s="1812">
        <v>252272</v>
      </c>
      <c r="Z12" s="1803"/>
      <c r="AA12" s="1806">
        <v>257368</v>
      </c>
      <c r="AB12" s="1803"/>
      <c r="AC12" s="1806">
        <v>76446</v>
      </c>
      <c r="AD12" s="1803"/>
      <c r="AE12" s="1806">
        <v>127410</v>
      </c>
      <c r="AF12" s="1803"/>
      <c r="AG12" s="1806">
        <v>178374</v>
      </c>
      <c r="AH12" s="1803"/>
      <c r="AI12" s="1806">
        <v>127410</v>
      </c>
      <c r="AJ12" s="1803"/>
      <c r="AK12" s="1806">
        <v>0</v>
      </c>
      <c r="AL12" s="1803"/>
      <c r="AM12" s="1806">
        <v>0</v>
      </c>
      <c r="AN12" s="1803"/>
      <c r="AO12" s="1806">
        <v>0</v>
      </c>
      <c r="AP12" s="1803"/>
      <c r="AQ12" s="1806">
        <v>0</v>
      </c>
      <c r="AR12" s="1803"/>
      <c r="AS12" s="1806">
        <v>0</v>
      </c>
      <c r="AT12" s="1803"/>
      <c r="AU12" s="1806">
        <v>0</v>
      </c>
      <c r="AV12" s="1803"/>
      <c r="AW12" s="1806">
        <v>0</v>
      </c>
      <c r="AX12" s="1803"/>
      <c r="AY12" s="1806">
        <v>0</v>
      </c>
      <c r="AZ12" s="1803"/>
      <c r="BA12" s="1806">
        <v>0</v>
      </c>
      <c r="BB12" s="1803"/>
      <c r="BC12" s="1806">
        <f>+AC12+AE12+AG12+AI12</f>
        <v>509640</v>
      </c>
      <c r="BD12" s="1806"/>
      <c r="BE12" s="1806"/>
      <c r="BF12" s="1806">
        <f>U12+U14+U15+U18+U20+U21+U22+U23+U26</f>
        <v>594636903.99000001</v>
      </c>
      <c r="BG12" s="1806">
        <f>V12+V14+V15+V18+V20+V21+V22+V23+V26</f>
        <v>431430703.99999994</v>
      </c>
      <c r="BH12" s="1682">
        <f>BG12/BF12</f>
        <v>0.72553637540002947</v>
      </c>
      <c r="BI12" s="1806"/>
      <c r="BJ12" s="1806"/>
      <c r="BK12" s="1807"/>
      <c r="BL12" s="1803"/>
      <c r="BM12" s="1807">
        <v>44195</v>
      </c>
      <c r="BN12" s="1803"/>
      <c r="BO12" s="1806" t="s">
        <v>1174</v>
      </c>
    </row>
    <row r="13" spans="1:84" s="4" customFormat="1" ht="26.25" customHeight="1" x14ac:dyDescent="0.2">
      <c r="A13" s="875"/>
      <c r="B13" s="875"/>
      <c r="C13" s="877"/>
      <c r="D13" s="978">
        <v>15</v>
      </c>
      <c r="E13" s="340" t="s">
        <v>175</v>
      </c>
      <c r="F13" s="340"/>
      <c r="G13" s="1076"/>
      <c r="H13" s="450"/>
      <c r="I13" s="1077"/>
      <c r="J13" s="473"/>
      <c r="K13" s="1078"/>
      <c r="L13" s="473"/>
      <c r="M13" s="450"/>
      <c r="N13" s="387"/>
      <c r="O13" s="588"/>
      <c r="P13" s="588"/>
      <c r="Q13" s="1079"/>
      <c r="R13" s="1079"/>
      <c r="S13" s="450"/>
      <c r="T13" s="1080"/>
      <c r="U13" s="1080"/>
      <c r="V13" s="1080"/>
      <c r="W13" s="1081"/>
      <c r="X13" s="1082"/>
      <c r="Y13" s="1813"/>
      <c r="Z13" s="1804"/>
      <c r="AA13" s="1806"/>
      <c r="AB13" s="1804"/>
      <c r="AC13" s="1806"/>
      <c r="AD13" s="1804"/>
      <c r="AE13" s="1806"/>
      <c r="AF13" s="1804"/>
      <c r="AG13" s="1806"/>
      <c r="AH13" s="1804"/>
      <c r="AI13" s="1806"/>
      <c r="AJ13" s="1804"/>
      <c r="AK13" s="1806"/>
      <c r="AL13" s="1804"/>
      <c r="AM13" s="1806"/>
      <c r="AN13" s="1804"/>
      <c r="AO13" s="1806"/>
      <c r="AP13" s="1804"/>
      <c r="AQ13" s="1806"/>
      <c r="AR13" s="1804"/>
      <c r="AS13" s="1806"/>
      <c r="AT13" s="1804"/>
      <c r="AU13" s="1806"/>
      <c r="AV13" s="1804"/>
      <c r="AW13" s="1806"/>
      <c r="AX13" s="1804"/>
      <c r="AY13" s="1806"/>
      <c r="AZ13" s="1804"/>
      <c r="BA13" s="1806"/>
      <c r="BB13" s="1804"/>
      <c r="BC13" s="1806"/>
      <c r="BD13" s="1806"/>
      <c r="BE13" s="1806"/>
      <c r="BF13" s="1806"/>
      <c r="BG13" s="1806"/>
      <c r="BH13" s="1682"/>
      <c r="BI13" s="1806"/>
      <c r="BJ13" s="1806"/>
      <c r="BK13" s="1807"/>
      <c r="BL13" s="1804"/>
      <c r="BM13" s="1807"/>
      <c r="BN13" s="1804"/>
      <c r="BO13" s="1806"/>
    </row>
    <row r="14" spans="1:84" s="221" customFormat="1" ht="51.75" customHeight="1" x14ac:dyDescent="0.2">
      <c r="A14" s="1062"/>
      <c r="B14" s="1062"/>
      <c r="C14" s="1063"/>
      <c r="D14" s="1808"/>
      <c r="E14" s="1808"/>
      <c r="F14" s="1808"/>
      <c r="G14" s="1810" t="s">
        <v>328</v>
      </c>
      <c r="H14" s="1811" t="s">
        <v>1175</v>
      </c>
      <c r="I14" s="1810" t="s">
        <v>177</v>
      </c>
      <c r="J14" s="1822">
        <v>9</v>
      </c>
      <c r="K14" s="1822"/>
      <c r="L14" s="1817" t="s">
        <v>1176</v>
      </c>
      <c r="M14" s="1817" t="s">
        <v>1170</v>
      </c>
      <c r="N14" s="1565" t="s">
        <v>1171</v>
      </c>
      <c r="O14" s="1819">
        <f>(+T15+T14)/P14</f>
        <v>1</v>
      </c>
      <c r="P14" s="1816">
        <f>+T14+T15</f>
        <v>561746330</v>
      </c>
      <c r="Q14" s="1817" t="s">
        <v>1172</v>
      </c>
      <c r="R14" s="1817" t="s">
        <v>1173</v>
      </c>
      <c r="S14" s="1496" t="s">
        <v>1175</v>
      </c>
      <c r="T14" s="1073">
        <f>413967000-41396670</f>
        <v>372570330</v>
      </c>
      <c r="U14" s="1073">
        <f>+[1]Hoja1!$L$7</f>
        <v>141813333.33000001</v>
      </c>
      <c r="V14" s="1073">
        <f>+[1]Hoja1!$M$7</f>
        <v>106733333.33333333</v>
      </c>
      <c r="W14" s="1085">
        <v>4</v>
      </c>
      <c r="X14" s="980" t="s">
        <v>198</v>
      </c>
      <c r="Y14" s="1813"/>
      <c r="Z14" s="1804"/>
      <c r="AA14" s="1806"/>
      <c r="AB14" s="1804"/>
      <c r="AC14" s="1806"/>
      <c r="AD14" s="1804"/>
      <c r="AE14" s="1806"/>
      <c r="AF14" s="1804"/>
      <c r="AG14" s="1806"/>
      <c r="AH14" s="1804"/>
      <c r="AI14" s="1806"/>
      <c r="AJ14" s="1804"/>
      <c r="AK14" s="1806"/>
      <c r="AL14" s="1804"/>
      <c r="AM14" s="1806"/>
      <c r="AN14" s="1804"/>
      <c r="AO14" s="1806"/>
      <c r="AP14" s="1804"/>
      <c r="AQ14" s="1806"/>
      <c r="AR14" s="1804"/>
      <c r="AS14" s="1806"/>
      <c r="AT14" s="1804"/>
      <c r="AU14" s="1806"/>
      <c r="AV14" s="1804"/>
      <c r="AW14" s="1806"/>
      <c r="AX14" s="1804"/>
      <c r="AY14" s="1806"/>
      <c r="AZ14" s="1804"/>
      <c r="BA14" s="1806"/>
      <c r="BB14" s="1804"/>
      <c r="BC14" s="1806"/>
      <c r="BD14" s="1806"/>
      <c r="BE14" s="1806"/>
      <c r="BF14" s="1806"/>
      <c r="BG14" s="1806"/>
      <c r="BH14" s="1682"/>
      <c r="BI14" s="1806"/>
      <c r="BJ14" s="1806"/>
      <c r="BK14" s="1807"/>
      <c r="BL14" s="1804"/>
      <c r="BM14" s="1807"/>
      <c r="BN14" s="1804"/>
      <c r="BO14" s="1806"/>
    </row>
    <row r="15" spans="1:84" s="221" customFormat="1" ht="109.5" customHeight="1" x14ac:dyDescent="0.2">
      <c r="A15" s="286"/>
      <c r="B15" s="468"/>
      <c r="C15" s="288"/>
      <c r="D15" s="1809"/>
      <c r="E15" s="1809"/>
      <c r="F15" s="1809"/>
      <c r="G15" s="1810"/>
      <c r="H15" s="1811"/>
      <c r="I15" s="1810"/>
      <c r="J15" s="1822"/>
      <c r="K15" s="1822"/>
      <c r="L15" s="1817"/>
      <c r="M15" s="1817"/>
      <c r="N15" s="1565"/>
      <c r="O15" s="1819"/>
      <c r="P15" s="1816"/>
      <c r="Q15" s="1817"/>
      <c r="R15" s="1817"/>
      <c r="S15" s="1496"/>
      <c r="T15" s="1073">
        <f>218280000-29104000</f>
        <v>189176000</v>
      </c>
      <c r="U15" s="1073">
        <f>+[1]Hoja1!$J$7+[1]Hoja1!$J$8</f>
        <v>38238375</v>
      </c>
      <c r="V15" s="1073">
        <f>+[1]Hoja1!$K$7+[1]Hoja1!$K$8</f>
        <v>27321825</v>
      </c>
      <c r="W15" s="1074">
        <v>3</v>
      </c>
      <c r="X15" s="980" t="s">
        <v>1177</v>
      </c>
      <c r="Y15" s="1813"/>
      <c r="Z15" s="1804"/>
      <c r="AA15" s="1806"/>
      <c r="AB15" s="1804"/>
      <c r="AC15" s="1806"/>
      <c r="AD15" s="1804"/>
      <c r="AE15" s="1806"/>
      <c r="AF15" s="1804"/>
      <c r="AG15" s="1806"/>
      <c r="AH15" s="1804"/>
      <c r="AI15" s="1806"/>
      <c r="AJ15" s="1804"/>
      <c r="AK15" s="1806"/>
      <c r="AL15" s="1804"/>
      <c r="AM15" s="1806"/>
      <c r="AN15" s="1804"/>
      <c r="AO15" s="1806"/>
      <c r="AP15" s="1804"/>
      <c r="AQ15" s="1806"/>
      <c r="AR15" s="1804"/>
      <c r="AS15" s="1806"/>
      <c r="AT15" s="1804"/>
      <c r="AU15" s="1806"/>
      <c r="AV15" s="1804"/>
      <c r="AW15" s="1806"/>
      <c r="AX15" s="1804"/>
      <c r="AY15" s="1806"/>
      <c r="AZ15" s="1804"/>
      <c r="BA15" s="1806"/>
      <c r="BB15" s="1804"/>
      <c r="BC15" s="1806"/>
      <c r="BD15" s="1806"/>
      <c r="BE15" s="1806"/>
      <c r="BF15" s="1806"/>
      <c r="BG15" s="1806"/>
      <c r="BH15" s="1682"/>
      <c r="BI15" s="1806"/>
      <c r="BJ15" s="1806"/>
      <c r="BK15" s="1807"/>
      <c r="BL15" s="1804"/>
      <c r="BM15" s="1807"/>
      <c r="BN15" s="1804"/>
      <c r="BO15" s="1806"/>
    </row>
    <row r="16" spans="1:84" s="4" customFormat="1" ht="15.75" x14ac:dyDescent="0.2">
      <c r="A16" s="838">
        <v>3</v>
      </c>
      <c r="B16" s="1086" t="s">
        <v>992</v>
      </c>
      <c r="C16" s="241"/>
      <c r="D16" s="1087"/>
      <c r="E16" s="1087"/>
      <c r="F16" s="1087"/>
      <c r="G16" s="1087"/>
      <c r="H16" s="1087"/>
      <c r="I16" s="1088"/>
      <c r="J16" s="1088"/>
      <c r="K16" s="1088"/>
      <c r="L16" s="1088"/>
      <c r="M16" s="1089"/>
      <c r="N16" s="1090"/>
      <c r="O16" s="1088"/>
      <c r="P16" s="1088"/>
      <c r="Q16" s="1091"/>
      <c r="R16" s="1091"/>
      <c r="S16" s="1092"/>
      <c r="T16" s="1093"/>
      <c r="U16" s="1093"/>
      <c r="V16" s="1093"/>
      <c r="W16" s="1094"/>
      <c r="X16" s="1095"/>
      <c r="Y16" s="1813"/>
      <c r="Z16" s="1804"/>
      <c r="AA16" s="1806"/>
      <c r="AB16" s="1804"/>
      <c r="AC16" s="1806"/>
      <c r="AD16" s="1804"/>
      <c r="AE16" s="1806"/>
      <c r="AF16" s="1804"/>
      <c r="AG16" s="1806"/>
      <c r="AH16" s="1804"/>
      <c r="AI16" s="1806"/>
      <c r="AJ16" s="1804"/>
      <c r="AK16" s="1806"/>
      <c r="AL16" s="1804"/>
      <c r="AM16" s="1806"/>
      <c r="AN16" s="1804"/>
      <c r="AO16" s="1806"/>
      <c r="AP16" s="1804"/>
      <c r="AQ16" s="1806"/>
      <c r="AR16" s="1804"/>
      <c r="AS16" s="1806"/>
      <c r="AT16" s="1804"/>
      <c r="AU16" s="1806"/>
      <c r="AV16" s="1804"/>
      <c r="AW16" s="1806"/>
      <c r="AX16" s="1804"/>
      <c r="AY16" s="1806"/>
      <c r="AZ16" s="1804"/>
      <c r="BA16" s="1806"/>
      <c r="BB16" s="1804"/>
      <c r="BC16" s="1806"/>
      <c r="BD16" s="1806"/>
      <c r="BE16" s="1806"/>
      <c r="BF16" s="1806"/>
      <c r="BG16" s="1806"/>
      <c r="BH16" s="1682"/>
      <c r="BI16" s="1806"/>
      <c r="BJ16" s="1806"/>
      <c r="BK16" s="1807"/>
      <c r="BL16" s="1804"/>
      <c r="BM16" s="1807"/>
      <c r="BN16" s="1804"/>
      <c r="BO16" s="1806"/>
    </row>
    <row r="17" spans="1:67" s="4" customFormat="1" ht="30.75" customHeight="1" x14ac:dyDescent="0.2">
      <c r="A17" s="875"/>
      <c r="B17" s="875"/>
      <c r="C17" s="877"/>
      <c r="D17" s="979">
        <v>18</v>
      </c>
      <c r="E17" s="256" t="s">
        <v>217</v>
      </c>
      <c r="F17" s="256"/>
      <c r="G17" s="1096"/>
      <c r="H17" s="878"/>
      <c r="I17" s="699"/>
      <c r="J17" s="260"/>
      <c r="K17" s="261"/>
      <c r="L17" s="260"/>
      <c r="M17" s="259"/>
      <c r="N17" s="387"/>
      <c r="O17" s="588"/>
      <c r="P17" s="588"/>
      <c r="Q17" s="1079"/>
      <c r="R17" s="1079"/>
      <c r="S17" s="259"/>
      <c r="T17" s="883"/>
      <c r="U17" s="883"/>
      <c r="V17" s="883"/>
      <c r="W17" s="1097"/>
      <c r="X17" s="1082"/>
      <c r="Y17" s="1813"/>
      <c r="Z17" s="1804"/>
      <c r="AA17" s="1806"/>
      <c r="AB17" s="1804"/>
      <c r="AC17" s="1806"/>
      <c r="AD17" s="1804"/>
      <c r="AE17" s="1806"/>
      <c r="AF17" s="1804"/>
      <c r="AG17" s="1806"/>
      <c r="AH17" s="1804"/>
      <c r="AI17" s="1806"/>
      <c r="AJ17" s="1804"/>
      <c r="AK17" s="1806"/>
      <c r="AL17" s="1804"/>
      <c r="AM17" s="1806"/>
      <c r="AN17" s="1804"/>
      <c r="AO17" s="1806"/>
      <c r="AP17" s="1804"/>
      <c r="AQ17" s="1806"/>
      <c r="AR17" s="1804"/>
      <c r="AS17" s="1806"/>
      <c r="AT17" s="1804"/>
      <c r="AU17" s="1806"/>
      <c r="AV17" s="1804"/>
      <c r="AW17" s="1806"/>
      <c r="AX17" s="1804"/>
      <c r="AY17" s="1806"/>
      <c r="AZ17" s="1804"/>
      <c r="BA17" s="1806"/>
      <c r="BB17" s="1804"/>
      <c r="BC17" s="1806"/>
      <c r="BD17" s="1806"/>
      <c r="BE17" s="1806"/>
      <c r="BF17" s="1806"/>
      <c r="BG17" s="1806"/>
      <c r="BH17" s="1682"/>
      <c r="BI17" s="1806"/>
      <c r="BJ17" s="1806"/>
      <c r="BK17" s="1807"/>
      <c r="BL17" s="1804"/>
      <c r="BM17" s="1807"/>
      <c r="BN17" s="1804"/>
      <c r="BO17" s="1806"/>
    </row>
    <row r="18" spans="1:67" s="221" customFormat="1" ht="109.5" customHeight="1" x14ac:dyDescent="0.2">
      <c r="A18" s="286"/>
      <c r="B18" s="468"/>
      <c r="C18" s="288"/>
      <c r="D18" s="539"/>
      <c r="E18" s="460"/>
      <c r="F18" s="460"/>
      <c r="G18" s="442" t="s">
        <v>328</v>
      </c>
      <c r="H18" s="723" t="s">
        <v>1178</v>
      </c>
      <c r="I18" s="1069" t="s">
        <v>1179</v>
      </c>
      <c r="J18" s="218">
        <v>130</v>
      </c>
      <c r="K18" s="218"/>
      <c r="L18" s="36" t="s">
        <v>1180</v>
      </c>
      <c r="M18" s="981" t="s">
        <v>1170</v>
      </c>
      <c r="N18" s="981" t="s">
        <v>1171</v>
      </c>
      <c r="O18" s="476">
        <f>+T18/P18</f>
        <v>1</v>
      </c>
      <c r="P18" s="1098">
        <f>+T18</f>
        <v>218280000</v>
      </c>
      <c r="Q18" s="974" t="s">
        <v>1172</v>
      </c>
      <c r="R18" s="981" t="s">
        <v>1173</v>
      </c>
      <c r="S18" s="1099" t="s">
        <v>1181</v>
      </c>
      <c r="T18" s="1073">
        <v>218280000</v>
      </c>
      <c r="U18" s="1073">
        <f>+[1]Hoja1!$R$7+[1]Hoja1!$R$8</f>
        <v>38238375</v>
      </c>
      <c r="V18" s="1073">
        <f>+[1]Hoja1!$S$7+[1]Hoja1!$S$8</f>
        <v>27321825</v>
      </c>
      <c r="W18" s="1074">
        <v>3</v>
      </c>
      <c r="X18" s="980" t="s">
        <v>1177</v>
      </c>
      <c r="Y18" s="1813"/>
      <c r="Z18" s="1804"/>
      <c r="AA18" s="1806"/>
      <c r="AB18" s="1804"/>
      <c r="AC18" s="1806"/>
      <c r="AD18" s="1804"/>
      <c r="AE18" s="1806"/>
      <c r="AF18" s="1804"/>
      <c r="AG18" s="1806"/>
      <c r="AH18" s="1804"/>
      <c r="AI18" s="1806"/>
      <c r="AJ18" s="1804"/>
      <c r="AK18" s="1806"/>
      <c r="AL18" s="1804"/>
      <c r="AM18" s="1806"/>
      <c r="AN18" s="1804"/>
      <c r="AO18" s="1806"/>
      <c r="AP18" s="1804"/>
      <c r="AQ18" s="1806"/>
      <c r="AR18" s="1804"/>
      <c r="AS18" s="1806"/>
      <c r="AT18" s="1804"/>
      <c r="AU18" s="1806"/>
      <c r="AV18" s="1804"/>
      <c r="AW18" s="1806"/>
      <c r="AX18" s="1804"/>
      <c r="AY18" s="1806"/>
      <c r="AZ18" s="1804"/>
      <c r="BA18" s="1806"/>
      <c r="BB18" s="1804"/>
      <c r="BC18" s="1806"/>
      <c r="BD18" s="1806"/>
      <c r="BE18" s="1806"/>
      <c r="BF18" s="1806"/>
      <c r="BG18" s="1806"/>
      <c r="BH18" s="1682"/>
      <c r="BI18" s="1806"/>
      <c r="BJ18" s="1806"/>
      <c r="BK18" s="1807"/>
      <c r="BL18" s="1804"/>
      <c r="BM18" s="1807"/>
      <c r="BN18" s="1804"/>
      <c r="BO18" s="1806"/>
    </row>
    <row r="19" spans="1:67" s="4" customFormat="1" ht="26.25" customHeight="1" x14ac:dyDescent="0.2">
      <c r="A19" s="875"/>
      <c r="B19" s="875"/>
      <c r="C19" s="877"/>
      <c r="D19" s="979">
        <v>33</v>
      </c>
      <c r="E19" s="256" t="s">
        <v>237</v>
      </c>
      <c r="F19" s="256"/>
      <c r="G19" s="1096"/>
      <c r="H19" s="450"/>
      <c r="I19" s="1077"/>
      <c r="J19" s="473"/>
      <c r="K19" s="1078"/>
      <c r="L19" s="473"/>
      <c r="M19" s="450"/>
      <c r="N19" s="387"/>
      <c r="O19" s="588"/>
      <c r="P19" s="588"/>
      <c r="Q19" s="1079"/>
      <c r="R19" s="1079"/>
      <c r="S19" s="450"/>
      <c r="T19" s="1080"/>
      <c r="U19" s="1080"/>
      <c r="V19" s="1080"/>
      <c r="W19" s="1081"/>
      <c r="X19" s="1082"/>
      <c r="Y19" s="1813"/>
      <c r="Z19" s="1804"/>
      <c r="AA19" s="1806"/>
      <c r="AB19" s="1804"/>
      <c r="AC19" s="1806"/>
      <c r="AD19" s="1804"/>
      <c r="AE19" s="1806"/>
      <c r="AF19" s="1804"/>
      <c r="AG19" s="1806"/>
      <c r="AH19" s="1804"/>
      <c r="AI19" s="1806"/>
      <c r="AJ19" s="1804"/>
      <c r="AK19" s="1806"/>
      <c r="AL19" s="1804"/>
      <c r="AM19" s="1806"/>
      <c r="AN19" s="1804"/>
      <c r="AO19" s="1806"/>
      <c r="AP19" s="1804"/>
      <c r="AQ19" s="1806"/>
      <c r="AR19" s="1804"/>
      <c r="AS19" s="1806"/>
      <c r="AT19" s="1804"/>
      <c r="AU19" s="1806"/>
      <c r="AV19" s="1804"/>
      <c r="AW19" s="1806"/>
      <c r="AX19" s="1804"/>
      <c r="AY19" s="1806"/>
      <c r="AZ19" s="1804"/>
      <c r="BA19" s="1806"/>
      <c r="BB19" s="1804"/>
      <c r="BC19" s="1806"/>
      <c r="BD19" s="1806"/>
      <c r="BE19" s="1806"/>
      <c r="BF19" s="1806"/>
      <c r="BG19" s="1806"/>
      <c r="BH19" s="1682"/>
      <c r="BI19" s="1806"/>
      <c r="BJ19" s="1806"/>
      <c r="BK19" s="1807"/>
      <c r="BL19" s="1804"/>
      <c r="BM19" s="1807"/>
      <c r="BN19" s="1804"/>
      <c r="BO19" s="1806"/>
    </row>
    <row r="20" spans="1:67" s="221" customFormat="1" ht="55.5" customHeight="1" x14ac:dyDescent="0.2">
      <c r="A20" s="1100"/>
      <c r="B20" s="1062"/>
      <c r="C20" s="1063"/>
      <c r="D20" s="212"/>
      <c r="E20" s="212"/>
      <c r="F20" s="1065"/>
      <c r="G20" s="1101" t="s">
        <v>1182</v>
      </c>
      <c r="H20" s="980" t="s">
        <v>1183</v>
      </c>
      <c r="I20" s="1102" t="s">
        <v>1184</v>
      </c>
      <c r="J20" s="1103">
        <v>3</v>
      </c>
      <c r="K20" s="1104"/>
      <c r="L20" s="1818" t="s">
        <v>1176</v>
      </c>
      <c r="M20" s="1497" t="s">
        <v>1170</v>
      </c>
      <c r="N20" s="1565" t="s">
        <v>1171</v>
      </c>
      <c r="O20" s="1070">
        <f>+T20/$P$20</f>
        <v>0.15874806098115857</v>
      </c>
      <c r="P20" s="1816">
        <f>SUM(T20:T23)</f>
        <v>561745444</v>
      </c>
      <c r="Q20" s="1565" t="s">
        <v>1172</v>
      </c>
      <c r="R20" s="1565" t="s">
        <v>1173</v>
      </c>
      <c r="S20" s="980" t="s">
        <v>1183</v>
      </c>
      <c r="T20" s="1073">
        <v>89176000</v>
      </c>
      <c r="U20" s="1073">
        <f>+[1]Hoja1!$B$7+[1]Hoja1!$B$8</f>
        <v>38238375</v>
      </c>
      <c r="V20" s="1073">
        <f>+[1]Hoja1!$C$7+[1]Hoja1!$C$8</f>
        <v>27321825</v>
      </c>
      <c r="W20" s="1085">
        <v>3</v>
      </c>
      <c r="X20" s="980" t="s">
        <v>1177</v>
      </c>
      <c r="Y20" s="1813"/>
      <c r="Z20" s="1804"/>
      <c r="AA20" s="1806"/>
      <c r="AB20" s="1804"/>
      <c r="AC20" s="1806"/>
      <c r="AD20" s="1804"/>
      <c r="AE20" s="1806"/>
      <c r="AF20" s="1804"/>
      <c r="AG20" s="1806"/>
      <c r="AH20" s="1804"/>
      <c r="AI20" s="1806"/>
      <c r="AJ20" s="1804"/>
      <c r="AK20" s="1806"/>
      <c r="AL20" s="1804"/>
      <c r="AM20" s="1806"/>
      <c r="AN20" s="1804"/>
      <c r="AO20" s="1806"/>
      <c r="AP20" s="1804"/>
      <c r="AQ20" s="1806"/>
      <c r="AR20" s="1804"/>
      <c r="AS20" s="1806"/>
      <c r="AT20" s="1804"/>
      <c r="AU20" s="1806"/>
      <c r="AV20" s="1804"/>
      <c r="AW20" s="1806"/>
      <c r="AX20" s="1804"/>
      <c r="AY20" s="1806"/>
      <c r="AZ20" s="1804"/>
      <c r="BA20" s="1806"/>
      <c r="BB20" s="1804"/>
      <c r="BC20" s="1806"/>
      <c r="BD20" s="1806"/>
      <c r="BE20" s="1806"/>
      <c r="BF20" s="1806"/>
      <c r="BG20" s="1806"/>
      <c r="BH20" s="1682"/>
      <c r="BI20" s="1806"/>
      <c r="BJ20" s="1806"/>
      <c r="BK20" s="1807"/>
      <c r="BL20" s="1804"/>
      <c r="BM20" s="1807"/>
      <c r="BN20" s="1804"/>
      <c r="BO20" s="1806"/>
    </row>
    <row r="21" spans="1:67" s="221" customFormat="1" ht="52.5" customHeight="1" x14ac:dyDescent="0.2">
      <c r="A21" s="1105"/>
      <c r="B21" s="468"/>
      <c r="C21" s="288"/>
      <c r="D21" s="1817"/>
      <c r="E21" s="1817"/>
      <c r="F21" s="1817"/>
      <c r="G21" s="1101" t="s">
        <v>1185</v>
      </c>
      <c r="H21" s="980" t="s">
        <v>1186</v>
      </c>
      <c r="I21" s="1102" t="s">
        <v>1187</v>
      </c>
      <c r="J21" s="722">
        <v>25</v>
      </c>
      <c r="K21" s="980"/>
      <c r="L21" s="1818"/>
      <c r="M21" s="1497"/>
      <c r="N21" s="1565"/>
      <c r="O21" s="1070">
        <f t="shared" ref="O21:O23" si="0">+T21/$P$20</f>
        <v>0.17801657506633911</v>
      </c>
      <c r="P21" s="1816"/>
      <c r="Q21" s="1565"/>
      <c r="R21" s="1565"/>
      <c r="S21" s="980" t="s">
        <v>1186</v>
      </c>
      <c r="T21" s="1073">
        <v>100000000</v>
      </c>
      <c r="U21" s="1073">
        <f>+[1]Hoja1!$B$5+[1]Hoja1!$B$6</f>
        <v>16243404</v>
      </c>
      <c r="V21" s="1073">
        <f>+[1]Hoja1!$C$5+[1]Hoja1!$C$6</f>
        <v>1943404</v>
      </c>
      <c r="W21" s="1106">
        <v>3</v>
      </c>
      <c r="X21" s="980" t="s">
        <v>1177</v>
      </c>
      <c r="Y21" s="1813"/>
      <c r="Z21" s="1804"/>
      <c r="AA21" s="1806"/>
      <c r="AB21" s="1804"/>
      <c r="AC21" s="1806"/>
      <c r="AD21" s="1804"/>
      <c r="AE21" s="1806"/>
      <c r="AF21" s="1804"/>
      <c r="AG21" s="1806"/>
      <c r="AH21" s="1804"/>
      <c r="AI21" s="1806"/>
      <c r="AJ21" s="1804"/>
      <c r="AK21" s="1806"/>
      <c r="AL21" s="1804"/>
      <c r="AM21" s="1806"/>
      <c r="AN21" s="1804"/>
      <c r="AO21" s="1806"/>
      <c r="AP21" s="1804"/>
      <c r="AQ21" s="1806"/>
      <c r="AR21" s="1804"/>
      <c r="AS21" s="1806"/>
      <c r="AT21" s="1804"/>
      <c r="AU21" s="1806"/>
      <c r="AV21" s="1804"/>
      <c r="AW21" s="1806"/>
      <c r="AX21" s="1804"/>
      <c r="AY21" s="1806"/>
      <c r="AZ21" s="1804"/>
      <c r="BA21" s="1806"/>
      <c r="BB21" s="1804"/>
      <c r="BC21" s="1806"/>
      <c r="BD21" s="1806"/>
      <c r="BE21" s="1806"/>
      <c r="BF21" s="1806"/>
      <c r="BG21" s="1806"/>
      <c r="BH21" s="1682"/>
      <c r="BI21" s="1806"/>
      <c r="BJ21" s="1806"/>
      <c r="BK21" s="1807"/>
      <c r="BL21" s="1804"/>
      <c r="BM21" s="1807"/>
      <c r="BN21" s="1804"/>
      <c r="BO21" s="1806"/>
    </row>
    <row r="22" spans="1:67" s="221" customFormat="1" ht="51" customHeight="1" x14ac:dyDescent="0.2">
      <c r="A22" s="1105"/>
      <c r="B22" s="468"/>
      <c r="C22" s="288"/>
      <c r="D22" s="1817"/>
      <c r="E22" s="1817"/>
      <c r="F22" s="1817"/>
      <c r="G22" s="1101" t="s">
        <v>1188</v>
      </c>
      <c r="H22" s="980" t="s">
        <v>1189</v>
      </c>
      <c r="I22" s="1102" t="s">
        <v>1190</v>
      </c>
      <c r="J22" s="722">
        <v>75</v>
      </c>
      <c r="K22" s="218"/>
      <c r="L22" s="1818"/>
      <c r="M22" s="1497"/>
      <c r="N22" s="1565"/>
      <c r="O22" s="1070">
        <f t="shared" si="0"/>
        <v>0.30720221381982404</v>
      </c>
      <c r="P22" s="1816"/>
      <c r="Q22" s="1565"/>
      <c r="R22" s="1565"/>
      <c r="S22" s="980" t="s">
        <v>1189</v>
      </c>
      <c r="T22" s="1073">
        <v>172569444</v>
      </c>
      <c r="U22" s="1073">
        <f>+[1]Hoja1!$D$7</f>
        <v>141813333.33000001</v>
      </c>
      <c r="V22" s="1073">
        <f>+[1]Hoja1!$E$7</f>
        <v>106733333.33333333</v>
      </c>
      <c r="W22" s="1106">
        <v>4</v>
      </c>
      <c r="X22" s="1107" t="s">
        <v>198</v>
      </c>
      <c r="Y22" s="1813"/>
      <c r="Z22" s="1804"/>
      <c r="AA22" s="1806"/>
      <c r="AB22" s="1804"/>
      <c r="AC22" s="1806"/>
      <c r="AD22" s="1804"/>
      <c r="AE22" s="1806"/>
      <c r="AF22" s="1804"/>
      <c r="AG22" s="1806"/>
      <c r="AH22" s="1804"/>
      <c r="AI22" s="1806"/>
      <c r="AJ22" s="1804"/>
      <c r="AK22" s="1806"/>
      <c r="AL22" s="1804"/>
      <c r="AM22" s="1806"/>
      <c r="AN22" s="1804"/>
      <c r="AO22" s="1806"/>
      <c r="AP22" s="1804"/>
      <c r="AQ22" s="1806"/>
      <c r="AR22" s="1804"/>
      <c r="AS22" s="1806"/>
      <c r="AT22" s="1804"/>
      <c r="AU22" s="1806"/>
      <c r="AV22" s="1804"/>
      <c r="AW22" s="1806"/>
      <c r="AX22" s="1804"/>
      <c r="AY22" s="1806"/>
      <c r="AZ22" s="1804"/>
      <c r="BA22" s="1806"/>
      <c r="BB22" s="1804"/>
      <c r="BC22" s="1806"/>
      <c r="BD22" s="1806"/>
      <c r="BE22" s="1806"/>
      <c r="BF22" s="1806"/>
      <c r="BG22" s="1806"/>
      <c r="BH22" s="1682"/>
      <c r="BI22" s="1806"/>
      <c r="BJ22" s="1806"/>
      <c r="BK22" s="1807"/>
      <c r="BL22" s="1804"/>
      <c r="BM22" s="1807"/>
      <c r="BN22" s="1804"/>
      <c r="BO22" s="1806"/>
    </row>
    <row r="23" spans="1:67" s="221" customFormat="1" ht="51" customHeight="1" x14ac:dyDescent="0.2">
      <c r="A23" s="1108"/>
      <c r="B23" s="771"/>
      <c r="C23" s="539"/>
      <c r="D23" s="212"/>
      <c r="E23" s="212"/>
      <c r="F23" s="212"/>
      <c r="G23" s="1101" t="s">
        <v>1191</v>
      </c>
      <c r="H23" s="1102" t="s">
        <v>259</v>
      </c>
      <c r="I23" s="1102" t="s">
        <v>260</v>
      </c>
      <c r="J23" s="1103">
        <v>3</v>
      </c>
      <c r="K23" s="218"/>
      <c r="L23" s="1818"/>
      <c r="M23" s="1497"/>
      <c r="N23" s="1565"/>
      <c r="O23" s="1070">
        <f t="shared" si="0"/>
        <v>0.35603315013267822</v>
      </c>
      <c r="P23" s="1816"/>
      <c r="Q23" s="1565"/>
      <c r="R23" s="1565"/>
      <c r="S23" s="980" t="s">
        <v>260</v>
      </c>
      <c r="T23" s="1073">
        <v>200000000</v>
      </c>
      <c r="U23" s="1073">
        <v>0</v>
      </c>
      <c r="V23" s="1073">
        <v>0</v>
      </c>
      <c r="W23" s="1109">
        <v>4</v>
      </c>
      <c r="X23" s="1107" t="s">
        <v>198</v>
      </c>
      <c r="Y23" s="1813"/>
      <c r="Z23" s="1804"/>
      <c r="AA23" s="1806"/>
      <c r="AB23" s="1804"/>
      <c r="AC23" s="1806"/>
      <c r="AD23" s="1804"/>
      <c r="AE23" s="1806"/>
      <c r="AF23" s="1804"/>
      <c r="AG23" s="1806"/>
      <c r="AH23" s="1804"/>
      <c r="AI23" s="1806"/>
      <c r="AJ23" s="1804"/>
      <c r="AK23" s="1806"/>
      <c r="AL23" s="1804"/>
      <c r="AM23" s="1806"/>
      <c r="AN23" s="1804"/>
      <c r="AO23" s="1806"/>
      <c r="AP23" s="1804"/>
      <c r="AQ23" s="1806"/>
      <c r="AR23" s="1804"/>
      <c r="AS23" s="1806"/>
      <c r="AT23" s="1804"/>
      <c r="AU23" s="1806"/>
      <c r="AV23" s="1804"/>
      <c r="AW23" s="1806"/>
      <c r="AX23" s="1804"/>
      <c r="AY23" s="1806"/>
      <c r="AZ23" s="1804"/>
      <c r="BA23" s="1806"/>
      <c r="BB23" s="1804"/>
      <c r="BC23" s="1806"/>
      <c r="BD23" s="1806"/>
      <c r="BE23" s="1806"/>
      <c r="BF23" s="1806"/>
      <c r="BG23" s="1806"/>
      <c r="BH23" s="1682"/>
      <c r="BI23" s="1806"/>
      <c r="BJ23" s="1806"/>
      <c r="BK23" s="1807"/>
      <c r="BL23" s="1804"/>
      <c r="BM23" s="1807"/>
      <c r="BN23" s="1804"/>
      <c r="BO23" s="1806"/>
    </row>
    <row r="24" spans="1:67" s="4" customFormat="1" ht="15.75" customHeight="1" x14ac:dyDescent="0.2">
      <c r="A24" s="838">
        <v>4</v>
      </c>
      <c r="B24" s="1110" t="s">
        <v>132</v>
      </c>
      <c r="C24" s="1111"/>
      <c r="D24" s="1112"/>
      <c r="E24" s="1113"/>
      <c r="F24" s="1113"/>
      <c r="G24" s="1113"/>
      <c r="H24" s="1113"/>
      <c r="I24" s="1113"/>
      <c r="J24" s="1113"/>
      <c r="K24" s="1087"/>
      <c r="L24" s="1113"/>
      <c r="M24" s="1113"/>
      <c r="N24" s="1090"/>
      <c r="O24" s="1113"/>
      <c r="P24" s="1113"/>
      <c r="Q24" s="1113"/>
      <c r="R24" s="1113"/>
      <c r="S24" s="1114"/>
      <c r="T24" s="1115"/>
      <c r="U24" s="1115"/>
      <c r="V24" s="1115"/>
      <c r="W24" s="1116"/>
      <c r="X24" s="1095"/>
      <c r="Y24" s="1813"/>
      <c r="Z24" s="1804"/>
      <c r="AA24" s="1806"/>
      <c r="AB24" s="1804"/>
      <c r="AC24" s="1806"/>
      <c r="AD24" s="1804"/>
      <c r="AE24" s="1806"/>
      <c r="AF24" s="1804"/>
      <c r="AG24" s="1806"/>
      <c r="AH24" s="1804"/>
      <c r="AI24" s="1806"/>
      <c r="AJ24" s="1804"/>
      <c r="AK24" s="1806"/>
      <c r="AL24" s="1804"/>
      <c r="AM24" s="1806"/>
      <c r="AN24" s="1804"/>
      <c r="AO24" s="1806"/>
      <c r="AP24" s="1804"/>
      <c r="AQ24" s="1806"/>
      <c r="AR24" s="1804"/>
      <c r="AS24" s="1806"/>
      <c r="AT24" s="1804"/>
      <c r="AU24" s="1806"/>
      <c r="AV24" s="1804"/>
      <c r="AW24" s="1806"/>
      <c r="AX24" s="1804"/>
      <c r="AY24" s="1806"/>
      <c r="AZ24" s="1804"/>
      <c r="BA24" s="1806"/>
      <c r="BB24" s="1804"/>
      <c r="BC24" s="1806"/>
      <c r="BD24" s="1806"/>
      <c r="BE24" s="1806"/>
      <c r="BF24" s="1806"/>
      <c r="BG24" s="1806"/>
      <c r="BH24" s="1682"/>
      <c r="BI24" s="1806"/>
      <c r="BJ24" s="1806"/>
      <c r="BK24" s="1807"/>
      <c r="BL24" s="1804"/>
      <c r="BM24" s="1807"/>
      <c r="BN24" s="1804"/>
      <c r="BO24" s="1806"/>
    </row>
    <row r="25" spans="1:67" s="4" customFormat="1" ht="19.5" customHeight="1" x14ac:dyDescent="0.2">
      <c r="A25" s="1117"/>
      <c r="B25" s="1118"/>
      <c r="C25" s="1119"/>
      <c r="D25" s="979">
        <v>45</v>
      </c>
      <c r="E25" s="16" t="s">
        <v>75</v>
      </c>
      <c r="F25" s="16"/>
      <c r="G25" s="51"/>
      <c r="H25" s="1120"/>
      <c r="I25" s="1121"/>
      <c r="J25" s="17"/>
      <c r="K25" s="1122"/>
      <c r="L25" s="17"/>
      <c r="M25" s="1123"/>
      <c r="N25" s="1820"/>
      <c r="O25" s="1820"/>
      <c r="P25" s="1820"/>
      <c r="Q25" s="1820"/>
      <c r="R25" s="1820"/>
      <c r="S25" s="1123"/>
      <c r="T25" s="1124"/>
      <c r="U25" s="1124"/>
      <c r="V25" s="1124"/>
      <c r="W25" s="1125"/>
      <c r="X25" s="1082"/>
      <c r="Y25" s="1813"/>
      <c r="Z25" s="1804"/>
      <c r="AA25" s="1806"/>
      <c r="AB25" s="1804"/>
      <c r="AC25" s="1806"/>
      <c r="AD25" s="1804"/>
      <c r="AE25" s="1806"/>
      <c r="AF25" s="1804"/>
      <c r="AG25" s="1806"/>
      <c r="AH25" s="1804"/>
      <c r="AI25" s="1806"/>
      <c r="AJ25" s="1804"/>
      <c r="AK25" s="1806"/>
      <c r="AL25" s="1804"/>
      <c r="AM25" s="1806"/>
      <c r="AN25" s="1804"/>
      <c r="AO25" s="1806"/>
      <c r="AP25" s="1804"/>
      <c r="AQ25" s="1806"/>
      <c r="AR25" s="1804"/>
      <c r="AS25" s="1806"/>
      <c r="AT25" s="1804"/>
      <c r="AU25" s="1806"/>
      <c r="AV25" s="1804"/>
      <c r="AW25" s="1806"/>
      <c r="AX25" s="1804"/>
      <c r="AY25" s="1806"/>
      <c r="AZ25" s="1804"/>
      <c r="BA25" s="1806"/>
      <c r="BB25" s="1804"/>
      <c r="BC25" s="1806"/>
      <c r="BD25" s="1806"/>
      <c r="BE25" s="1806"/>
      <c r="BF25" s="1806"/>
      <c r="BG25" s="1806"/>
      <c r="BH25" s="1682"/>
      <c r="BI25" s="1806"/>
      <c r="BJ25" s="1806"/>
      <c r="BK25" s="1807"/>
      <c r="BL25" s="1804"/>
      <c r="BM25" s="1807"/>
      <c r="BN25" s="1804"/>
      <c r="BO25" s="1806"/>
    </row>
    <row r="26" spans="1:67" s="221" customFormat="1" ht="109.5" customHeight="1" x14ac:dyDescent="0.2">
      <c r="A26" s="1126"/>
      <c r="B26" s="210"/>
      <c r="C26" s="211"/>
      <c r="D26" s="212"/>
      <c r="E26" s="212"/>
      <c r="F26" s="212"/>
      <c r="G26" s="1066" t="s">
        <v>328</v>
      </c>
      <c r="H26" s="1127" t="s">
        <v>1181</v>
      </c>
      <c r="I26" s="1128" t="s">
        <v>262</v>
      </c>
      <c r="J26" s="1129">
        <v>4</v>
      </c>
      <c r="K26" s="218"/>
      <c r="L26" s="36" t="s">
        <v>1180</v>
      </c>
      <c r="M26" s="981" t="s">
        <v>1170</v>
      </c>
      <c r="N26" s="981" t="s">
        <v>1171</v>
      </c>
      <c r="O26" s="476">
        <f>+T26/P26</f>
        <v>1</v>
      </c>
      <c r="P26" s="1098">
        <f>+T26</f>
        <v>189176000</v>
      </c>
      <c r="Q26" s="981" t="s">
        <v>1172</v>
      </c>
      <c r="R26" s="981" t="s">
        <v>1173</v>
      </c>
      <c r="S26" s="1127" t="s">
        <v>1181</v>
      </c>
      <c r="T26" s="1073">
        <v>189176000</v>
      </c>
      <c r="U26" s="1073">
        <f>+[1]Hoja1!$N$7+[1]Hoja1!$N$8</f>
        <v>38238375</v>
      </c>
      <c r="V26" s="1073">
        <f>+[1]Hoja1!$O$7+[1]Hoja1!$O$8</f>
        <v>27321825</v>
      </c>
      <c r="W26" s="1074">
        <v>3</v>
      </c>
      <c r="X26" s="980" t="s">
        <v>1177</v>
      </c>
      <c r="Y26" s="1814"/>
      <c r="Z26" s="1805"/>
      <c r="AA26" s="1806"/>
      <c r="AB26" s="1805"/>
      <c r="AC26" s="1806"/>
      <c r="AD26" s="1805"/>
      <c r="AE26" s="1806"/>
      <c r="AF26" s="1805"/>
      <c r="AG26" s="1806"/>
      <c r="AH26" s="1805"/>
      <c r="AI26" s="1806"/>
      <c r="AJ26" s="1805"/>
      <c r="AK26" s="1806"/>
      <c r="AL26" s="1805"/>
      <c r="AM26" s="1806"/>
      <c r="AN26" s="1805"/>
      <c r="AO26" s="1806"/>
      <c r="AP26" s="1805"/>
      <c r="AQ26" s="1806"/>
      <c r="AR26" s="1805"/>
      <c r="AS26" s="1806"/>
      <c r="AT26" s="1805"/>
      <c r="AU26" s="1806"/>
      <c r="AV26" s="1805"/>
      <c r="AW26" s="1806"/>
      <c r="AX26" s="1805"/>
      <c r="AY26" s="1806"/>
      <c r="AZ26" s="1805"/>
      <c r="BA26" s="1806"/>
      <c r="BB26" s="1805"/>
      <c r="BC26" s="1806"/>
      <c r="BD26" s="1806"/>
      <c r="BE26" s="1806"/>
      <c r="BF26" s="1806"/>
      <c r="BG26" s="1806"/>
      <c r="BH26" s="1682"/>
      <c r="BI26" s="1806"/>
      <c r="BJ26" s="1806"/>
      <c r="BK26" s="1807"/>
      <c r="BL26" s="1805"/>
      <c r="BM26" s="1807"/>
      <c r="BN26" s="1805"/>
      <c r="BO26" s="1806"/>
    </row>
    <row r="27" spans="1:67" s="140" customFormat="1" ht="30" customHeight="1" x14ac:dyDescent="0.25">
      <c r="A27" s="1130"/>
      <c r="B27" s="1131"/>
      <c r="C27" s="1132"/>
      <c r="D27" s="1133"/>
      <c r="E27" s="1133"/>
      <c r="F27" s="1133"/>
      <c r="G27" s="1133"/>
      <c r="H27" s="1134"/>
      <c r="I27" s="1135"/>
      <c r="J27" s="1136"/>
      <c r="K27" s="1136"/>
      <c r="L27" s="1136"/>
      <c r="M27" s="1137"/>
      <c r="N27" s="1137"/>
      <c r="O27" s="1138"/>
      <c r="P27" s="1139">
        <f>SUM(P12:P26)</f>
        <v>1903518104</v>
      </c>
      <c r="Q27" s="1137"/>
      <c r="R27" s="1137"/>
      <c r="S27" s="1140"/>
      <c r="T27" s="1141">
        <f>SUM(T12:T26)</f>
        <v>1903518104</v>
      </c>
      <c r="U27" s="1141">
        <f t="shared" ref="U27:V27" si="1">SUM(U12:U26)</f>
        <v>594636903.99000001</v>
      </c>
      <c r="V27" s="1141">
        <f t="shared" si="1"/>
        <v>431430703.99999994</v>
      </c>
      <c r="W27" s="1142"/>
      <c r="X27" s="1140"/>
      <c r="Y27" s="1133"/>
      <c r="Z27" s="1133"/>
      <c r="AA27" s="1133"/>
      <c r="AB27" s="1133"/>
      <c r="AC27" s="1133"/>
      <c r="AD27" s="1133"/>
      <c r="AE27" s="1133"/>
      <c r="AF27" s="1133"/>
      <c r="AG27" s="1133"/>
      <c r="AH27" s="1133"/>
      <c r="AI27" s="1133"/>
      <c r="AJ27" s="1133"/>
      <c r="AK27" s="1133"/>
      <c r="AL27" s="1133"/>
      <c r="AM27" s="1133"/>
      <c r="AN27" s="1133"/>
      <c r="AO27" s="1133"/>
      <c r="AP27" s="1133"/>
      <c r="AQ27" s="1133"/>
      <c r="AR27" s="1133"/>
      <c r="AS27" s="1133"/>
      <c r="AT27" s="1133"/>
      <c r="AU27" s="1133"/>
      <c r="AV27" s="1133"/>
      <c r="AW27" s="1133"/>
      <c r="AX27" s="1133"/>
      <c r="AY27" s="1133"/>
      <c r="AZ27" s="1133"/>
      <c r="BA27" s="1133"/>
      <c r="BB27" s="1133"/>
      <c r="BC27" s="1133"/>
      <c r="BD27" s="1133"/>
      <c r="BE27" s="1133"/>
      <c r="BF27" s="1139">
        <f>SUM(BF12:BF26)</f>
        <v>594636903.99000001</v>
      </c>
      <c r="BG27" s="1139">
        <f>SUM(BG12:BG26)</f>
        <v>431430703.99999994</v>
      </c>
      <c r="BH27" s="1133"/>
      <c r="BI27" s="1133"/>
      <c r="BJ27" s="1133"/>
      <c r="BK27" s="1143"/>
      <c r="BL27" s="1143"/>
      <c r="BM27" s="1144"/>
      <c r="BN27" s="1144"/>
      <c r="BO27" s="1145"/>
    </row>
    <row r="28" spans="1:67" s="4" customFormat="1" ht="27" customHeight="1" x14ac:dyDescent="0.2">
      <c r="A28" s="88"/>
      <c r="H28" s="915"/>
      <c r="I28" s="841"/>
      <c r="J28" s="3"/>
      <c r="K28" s="3"/>
      <c r="L28" s="3"/>
      <c r="M28" s="489"/>
      <c r="N28" s="489"/>
      <c r="O28" s="842"/>
      <c r="P28" s="137"/>
      <c r="Q28" s="489"/>
      <c r="R28" s="489"/>
      <c r="S28" s="125"/>
      <c r="T28" s="141"/>
      <c r="U28" s="141"/>
      <c r="V28" s="141"/>
      <c r="W28" s="131"/>
      <c r="X28" s="125"/>
      <c r="BK28" s="1146"/>
      <c r="BL28" s="1146"/>
      <c r="BM28" s="135"/>
      <c r="BN28" s="135"/>
      <c r="BO28" s="136"/>
    </row>
    <row r="29" spans="1:67" s="4" customFormat="1" ht="27" customHeight="1" x14ac:dyDescent="0.2">
      <c r="A29" s="88"/>
      <c r="H29" s="915"/>
      <c r="I29" s="841"/>
      <c r="J29" s="3"/>
      <c r="K29" s="3"/>
      <c r="L29" s="3"/>
      <c r="M29" s="489"/>
      <c r="N29" s="489"/>
      <c r="O29" s="842"/>
      <c r="P29" s="137"/>
      <c r="Q29" s="489"/>
      <c r="R29" s="489"/>
      <c r="S29" s="125"/>
      <c r="T29" s="141"/>
      <c r="U29" s="141"/>
      <c r="V29" s="141"/>
      <c r="W29" s="131"/>
      <c r="X29" s="125"/>
      <c r="BK29" s="1146"/>
      <c r="BL29" s="1146"/>
      <c r="BM29" s="135"/>
      <c r="BN29" s="135"/>
      <c r="BO29" s="136"/>
    </row>
    <row r="30" spans="1:67" s="4" customFormat="1" ht="27" customHeight="1" x14ac:dyDescent="0.2">
      <c r="A30" s="88"/>
      <c r="H30" s="915"/>
      <c r="I30" s="841"/>
      <c r="J30" s="3"/>
      <c r="K30" s="3"/>
      <c r="L30" s="3"/>
      <c r="M30" s="489"/>
      <c r="N30" s="489"/>
      <c r="O30" s="842"/>
      <c r="P30" s="137"/>
      <c r="Q30" s="489"/>
      <c r="R30" s="489"/>
      <c r="S30" s="125"/>
      <c r="T30" s="141"/>
      <c r="U30" s="141"/>
      <c r="V30" s="141"/>
      <c r="W30" s="131"/>
      <c r="X30" s="125"/>
      <c r="BK30" s="1146"/>
      <c r="BL30" s="1146"/>
      <c r="BM30" s="135"/>
      <c r="BN30" s="135"/>
      <c r="BO30" s="136"/>
    </row>
    <row r="31" spans="1:67" s="4" customFormat="1" ht="27" customHeight="1" x14ac:dyDescent="0.2">
      <c r="A31" s="88"/>
      <c r="H31" s="915"/>
      <c r="I31" s="841"/>
      <c r="J31" s="3"/>
      <c r="K31" s="3"/>
      <c r="L31" s="3"/>
      <c r="M31" s="489"/>
      <c r="N31" s="489"/>
      <c r="O31" s="842"/>
      <c r="P31" s="137"/>
      <c r="Q31" s="489"/>
      <c r="R31" s="489"/>
      <c r="S31" s="125"/>
      <c r="T31" s="141"/>
      <c r="U31" s="141"/>
      <c r="V31" s="141"/>
      <c r="W31" s="131"/>
      <c r="X31" s="125"/>
      <c r="BK31" s="1146"/>
      <c r="BL31" s="1146"/>
      <c r="BM31" s="135"/>
      <c r="BN31" s="135"/>
      <c r="BO31" s="136"/>
    </row>
    <row r="33" spans="18:28" ht="27" customHeight="1" x14ac:dyDescent="0.2">
      <c r="R33" s="1821" t="s">
        <v>1192</v>
      </c>
      <c r="S33" s="1821"/>
      <c r="T33" s="1821"/>
      <c r="U33" s="1821"/>
      <c r="V33" s="1821"/>
      <c r="W33" s="1821"/>
      <c r="X33" s="1821"/>
      <c r="Y33" s="1147"/>
      <c r="Z33" s="1147"/>
      <c r="AA33" s="1147"/>
      <c r="AB33" s="1147"/>
    </row>
    <row r="34" spans="18:28" ht="27" customHeight="1" x14ac:dyDescent="0.25">
      <c r="R34" s="1815" t="s">
        <v>1193</v>
      </c>
      <c r="S34" s="1815"/>
      <c r="T34" s="1815"/>
      <c r="U34" s="1815"/>
      <c r="V34" s="1815"/>
      <c r="W34" s="1815"/>
      <c r="X34" s="1815"/>
    </row>
  </sheetData>
  <sheetProtection password="A60F" sheet="1" objects="1" scenarios="1"/>
  <mergeCells count="126">
    <mergeCell ref="BE12:BE26"/>
    <mergeCell ref="AT12:AT26"/>
    <mergeCell ref="AU12:AU26"/>
    <mergeCell ref="D21:D22"/>
    <mergeCell ref="E21:E22"/>
    <mergeCell ref="F21:F22"/>
    <mergeCell ref="N25:R25"/>
    <mergeCell ref="R33:X33"/>
    <mergeCell ref="J14:J15"/>
    <mergeCell ref="K14:K15"/>
    <mergeCell ref="AQ12:AQ26"/>
    <mergeCell ref="AR12:AR26"/>
    <mergeCell ref="AS12:AS26"/>
    <mergeCell ref="AB12:AB26"/>
    <mergeCell ref="AC12:AC26"/>
    <mergeCell ref="AD12:AD26"/>
    <mergeCell ref="AE12:AE26"/>
    <mergeCell ref="AF12:AF26"/>
    <mergeCell ref="AG12:AG26"/>
    <mergeCell ref="R34:X34"/>
    <mergeCell ref="P14:P15"/>
    <mergeCell ref="Q14:Q15"/>
    <mergeCell ref="R14:R15"/>
    <mergeCell ref="S14:S15"/>
    <mergeCell ref="L20:L23"/>
    <mergeCell ref="M20:M23"/>
    <mergeCell ref="N20:N23"/>
    <mergeCell ref="P20:P23"/>
    <mergeCell ref="Q20:Q23"/>
    <mergeCell ref="R20:R23"/>
    <mergeCell ref="L14:L15"/>
    <mergeCell ref="M14:M15"/>
    <mergeCell ref="N14:N15"/>
    <mergeCell ref="O14:O15"/>
    <mergeCell ref="BL12:BL26"/>
    <mergeCell ref="BM12:BM26"/>
    <mergeCell ref="BN12:BN26"/>
    <mergeCell ref="BO12:BO26"/>
    <mergeCell ref="D14:D15"/>
    <mergeCell ref="E14:E15"/>
    <mergeCell ref="F14:F15"/>
    <mergeCell ref="G14:G15"/>
    <mergeCell ref="H14:H15"/>
    <mergeCell ref="I14:I15"/>
    <mergeCell ref="BF12:BF26"/>
    <mergeCell ref="BG12:BG26"/>
    <mergeCell ref="BH12:BH26"/>
    <mergeCell ref="BI12:BI26"/>
    <mergeCell ref="BJ12:BJ26"/>
    <mergeCell ref="BK12:BK26"/>
    <mergeCell ref="AZ12:AZ26"/>
    <mergeCell ref="BA12:BA26"/>
    <mergeCell ref="BB12:BB26"/>
    <mergeCell ref="BC12:BC26"/>
    <mergeCell ref="BD12:BD26"/>
    <mergeCell ref="Y12:Y26"/>
    <mergeCell ref="Z12:Z26"/>
    <mergeCell ref="AA12:AA26"/>
    <mergeCell ref="BK7:BL8"/>
    <mergeCell ref="BM7:BN8"/>
    <mergeCell ref="AH12:AH26"/>
    <mergeCell ref="AI12:AI26"/>
    <mergeCell ref="AJ12:AJ26"/>
    <mergeCell ref="AK12:AK26"/>
    <mergeCell ref="AL12:AL26"/>
    <mergeCell ref="AM12:AM26"/>
    <mergeCell ref="BJ8:BJ9"/>
    <mergeCell ref="AS8:AT8"/>
    <mergeCell ref="AU8:AV8"/>
    <mergeCell ref="AW8:AX8"/>
    <mergeCell ref="AY8:AZ8"/>
    <mergeCell ref="BA8:BB8"/>
    <mergeCell ref="BE8:BE9"/>
    <mergeCell ref="AG8:AH8"/>
    <mergeCell ref="AI8:AJ8"/>
    <mergeCell ref="AV12:AV26"/>
    <mergeCell ref="AW12:AW26"/>
    <mergeCell ref="AX12:AX26"/>
    <mergeCell ref="AY12:AY26"/>
    <mergeCell ref="AN12:AN26"/>
    <mergeCell ref="AO12:AO26"/>
    <mergeCell ref="AP12:AP26"/>
    <mergeCell ref="BG8:BG9"/>
    <mergeCell ref="BH8:BH9"/>
    <mergeCell ref="BI8:BI9"/>
    <mergeCell ref="V7:V9"/>
    <mergeCell ref="W7:W9"/>
    <mergeCell ref="X7:X9"/>
    <mergeCell ref="Y7:AB7"/>
    <mergeCell ref="AC7:AJ7"/>
    <mergeCell ref="AK7:AV7"/>
    <mergeCell ref="Y8:Z8"/>
    <mergeCell ref="AA8:AB8"/>
    <mergeCell ref="AC8:AD8"/>
    <mergeCell ref="AE8:AF8"/>
    <mergeCell ref="AK8:AL8"/>
    <mergeCell ref="AM8:AN8"/>
    <mergeCell ref="AO8:AP8"/>
    <mergeCell ref="AQ8:AR8"/>
    <mergeCell ref="AW7:BB7"/>
    <mergeCell ref="BC7:BD8"/>
    <mergeCell ref="BE7:BJ7"/>
    <mergeCell ref="A1:BM4"/>
    <mergeCell ref="A5:J6"/>
    <mergeCell ref="L5:BO5"/>
    <mergeCell ref="Y6:BD6"/>
    <mergeCell ref="A7:A9"/>
    <mergeCell ref="B7:C9"/>
    <mergeCell ref="D7:D9"/>
    <mergeCell ref="E7:F9"/>
    <mergeCell ref="G7:G9"/>
    <mergeCell ref="H7:H9"/>
    <mergeCell ref="P7:P9"/>
    <mergeCell ref="Q7:Q9"/>
    <mergeCell ref="R7:R9"/>
    <mergeCell ref="S7:S9"/>
    <mergeCell ref="T7:T9"/>
    <mergeCell ref="U7:U9"/>
    <mergeCell ref="I7:I9"/>
    <mergeCell ref="J7:K8"/>
    <mergeCell ref="L7:L9"/>
    <mergeCell ref="M7:M9"/>
    <mergeCell ref="N7:N9"/>
    <mergeCell ref="O7:O9"/>
    <mergeCell ref="BO7:BO9"/>
    <mergeCell ref="BF8:BF9"/>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H22"/>
  <sheetViews>
    <sheetView showGridLines="0" tabSelected="1" zoomScale="60" zoomScaleNormal="60" workbookViewId="0">
      <pane ySplit="8" topLeftCell="A9" activePane="bottomLeft" state="frozen"/>
      <selection activeCell="A11" sqref="A11:A12"/>
      <selection pane="bottomLeft" activeCell="E12" sqref="E12:F15"/>
    </sheetView>
  </sheetViews>
  <sheetFormatPr baseColWidth="10" defaultColWidth="11.42578125" defaultRowHeight="27" customHeight="1" x14ac:dyDescent="0.25"/>
  <cols>
    <col min="1" max="1" width="13.140625" style="222" customWidth="1"/>
    <col min="2" max="2" width="4" style="146" customWidth="1"/>
    <col min="3" max="4" width="14.7109375" style="146" customWidth="1"/>
    <col min="5" max="5" width="10" style="146" customWidth="1"/>
    <col min="6" max="6" width="8.140625" style="146" customWidth="1"/>
    <col min="7" max="7" width="14.7109375" style="146" customWidth="1"/>
    <col min="8" max="8" width="41.42578125" style="920" customWidth="1"/>
    <col min="9" max="9" width="36.5703125" style="844" customWidth="1"/>
    <col min="10" max="11" width="16" style="145" customWidth="1"/>
    <col min="12" max="12" width="27.5703125" style="145" customWidth="1"/>
    <col min="13" max="13" width="22.5703125" style="844" customWidth="1"/>
    <col min="14" max="14" width="36.5703125" style="225" customWidth="1"/>
    <col min="15" max="15" width="21.5703125" style="845" customWidth="1"/>
    <col min="16" max="16" width="28" style="227" customWidth="1"/>
    <col min="17" max="17" width="36.7109375" style="225" customWidth="1"/>
    <col min="18" max="18" width="37.42578125" style="225" customWidth="1"/>
    <col min="19" max="19" width="43.140625" style="225" customWidth="1"/>
    <col min="20" max="22" width="27.28515625" style="235" customWidth="1"/>
    <col min="23" max="23" width="14.28515625" style="229" customWidth="1"/>
    <col min="24" max="24" width="23.85546875" style="225" customWidth="1"/>
    <col min="25" max="39" width="9" style="146" customWidth="1"/>
    <col min="40" max="40" width="13.5703125" style="146" customWidth="1"/>
    <col min="41" max="41" width="15.5703125" style="652" customWidth="1"/>
    <col min="42" max="42" width="21.42578125" style="232" customWidth="1"/>
    <col min="43" max="43" width="25.42578125" style="233" customWidth="1"/>
  </cols>
  <sheetData>
    <row r="1" spans="1:60" ht="21" customHeight="1" x14ac:dyDescent="0.25">
      <c r="A1" s="1318" t="s">
        <v>991</v>
      </c>
      <c r="B1" s="1318"/>
      <c r="C1" s="1318"/>
      <c r="D1" s="1318"/>
      <c r="E1" s="1318"/>
      <c r="F1" s="1318"/>
      <c r="G1" s="1318"/>
      <c r="H1" s="1318"/>
      <c r="I1" s="1318"/>
      <c r="J1" s="1318"/>
      <c r="K1" s="1318"/>
      <c r="L1" s="1318"/>
      <c r="M1" s="1318"/>
      <c r="N1" s="1318"/>
      <c r="O1" s="1318"/>
      <c r="P1" s="1318"/>
      <c r="Q1" s="1318"/>
      <c r="R1" s="1318"/>
      <c r="S1" s="1318"/>
      <c r="T1" s="1318"/>
      <c r="U1" s="1318"/>
      <c r="V1" s="1318"/>
      <c r="W1" s="1318"/>
      <c r="X1" s="1318"/>
      <c r="Y1" s="1318"/>
      <c r="Z1" s="1318"/>
      <c r="AA1" s="1318"/>
      <c r="AB1" s="1318"/>
      <c r="AC1" s="1318"/>
      <c r="AD1" s="1318"/>
      <c r="AE1" s="1318"/>
      <c r="AF1" s="1318"/>
      <c r="AG1" s="1318"/>
      <c r="AH1" s="1318"/>
      <c r="AI1" s="1318"/>
      <c r="AJ1" s="1318"/>
      <c r="AK1" s="1318"/>
      <c r="AL1" s="1318"/>
      <c r="AM1" s="1318"/>
      <c r="AN1" s="1318"/>
      <c r="AO1" s="1318"/>
      <c r="AP1" s="144" t="s">
        <v>1</v>
      </c>
      <c r="AQ1" s="943" t="s">
        <v>131</v>
      </c>
    </row>
    <row r="2" spans="1:60" ht="18" customHeight="1" x14ac:dyDescent="0.25">
      <c r="A2" s="1318"/>
      <c r="B2" s="1318"/>
      <c r="C2" s="1318"/>
      <c r="D2" s="1318"/>
      <c r="E2" s="1318"/>
      <c r="F2" s="1318"/>
      <c r="G2" s="1318"/>
      <c r="H2" s="1318"/>
      <c r="I2" s="1318"/>
      <c r="J2" s="1318"/>
      <c r="K2" s="1318"/>
      <c r="L2" s="1318"/>
      <c r="M2" s="1318"/>
      <c r="N2" s="1318"/>
      <c r="O2" s="1318"/>
      <c r="P2" s="1318"/>
      <c r="Q2" s="1318"/>
      <c r="R2" s="1318"/>
      <c r="S2" s="1318"/>
      <c r="T2" s="1318"/>
      <c r="U2" s="1318"/>
      <c r="V2" s="1318"/>
      <c r="W2" s="1318"/>
      <c r="X2" s="1318"/>
      <c r="Y2" s="1318"/>
      <c r="Z2" s="1318"/>
      <c r="AA2" s="1318"/>
      <c r="AB2" s="1318"/>
      <c r="AC2" s="1318"/>
      <c r="AD2" s="1318"/>
      <c r="AE2" s="1318"/>
      <c r="AF2" s="1318"/>
      <c r="AG2" s="1318"/>
      <c r="AH2" s="1318"/>
      <c r="AI2" s="1318"/>
      <c r="AJ2" s="1318"/>
      <c r="AK2" s="1318"/>
      <c r="AL2" s="1318"/>
      <c r="AM2" s="1318"/>
      <c r="AN2" s="1318"/>
      <c r="AO2" s="1318"/>
      <c r="AP2" s="610" t="s">
        <v>3</v>
      </c>
      <c r="AQ2" s="943" t="s">
        <v>4</v>
      </c>
    </row>
    <row r="3" spans="1:60" ht="17.25" customHeight="1" x14ac:dyDescent="0.25">
      <c r="A3" s="1318"/>
      <c r="B3" s="1318"/>
      <c r="C3" s="1318"/>
      <c r="D3" s="1318"/>
      <c r="E3" s="1318"/>
      <c r="F3" s="1318"/>
      <c r="G3" s="1318"/>
      <c r="H3" s="1318"/>
      <c r="I3" s="1318"/>
      <c r="J3" s="1318"/>
      <c r="K3" s="1318"/>
      <c r="L3" s="1318"/>
      <c r="M3" s="1318"/>
      <c r="N3" s="1318"/>
      <c r="O3" s="1318"/>
      <c r="P3" s="1318"/>
      <c r="Q3" s="1318"/>
      <c r="R3" s="1318"/>
      <c r="S3" s="1318"/>
      <c r="T3" s="1318"/>
      <c r="U3" s="1318"/>
      <c r="V3" s="1318"/>
      <c r="W3" s="1318"/>
      <c r="X3" s="1318"/>
      <c r="Y3" s="1318"/>
      <c r="Z3" s="1318"/>
      <c r="AA3" s="1318"/>
      <c r="AB3" s="1318"/>
      <c r="AC3" s="1318"/>
      <c r="AD3" s="1318"/>
      <c r="AE3" s="1318"/>
      <c r="AF3" s="1318"/>
      <c r="AG3" s="1318"/>
      <c r="AH3" s="1318"/>
      <c r="AI3" s="1318"/>
      <c r="AJ3" s="1318"/>
      <c r="AK3" s="1318"/>
      <c r="AL3" s="1318"/>
      <c r="AM3" s="1318"/>
      <c r="AN3" s="1318"/>
      <c r="AO3" s="1318"/>
      <c r="AP3" s="144" t="s">
        <v>5</v>
      </c>
      <c r="AQ3" s="944" t="s">
        <v>6</v>
      </c>
    </row>
    <row r="4" spans="1:60" ht="18.75" customHeight="1" x14ac:dyDescent="0.25">
      <c r="A4" s="1320"/>
      <c r="B4" s="1320"/>
      <c r="C4" s="1320"/>
      <c r="D4" s="1320"/>
      <c r="E4" s="1320"/>
      <c r="F4" s="1320"/>
      <c r="G4" s="1320"/>
      <c r="H4" s="1320"/>
      <c r="I4" s="1320"/>
      <c r="J4" s="1320"/>
      <c r="K4" s="1320"/>
      <c r="L4" s="1320"/>
      <c r="M4" s="1320"/>
      <c r="N4" s="1320"/>
      <c r="O4" s="1320"/>
      <c r="P4" s="1320"/>
      <c r="Q4" s="1320"/>
      <c r="R4" s="1320"/>
      <c r="S4" s="1320"/>
      <c r="T4" s="1320"/>
      <c r="U4" s="1320"/>
      <c r="V4" s="1320"/>
      <c r="W4" s="1320"/>
      <c r="X4" s="1320"/>
      <c r="Y4" s="1320"/>
      <c r="Z4" s="1320"/>
      <c r="AA4" s="1320"/>
      <c r="AB4" s="1320"/>
      <c r="AC4" s="1320"/>
      <c r="AD4" s="1320"/>
      <c r="AE4" s="1320"/>
      <c r="AF4" s="1320"/>
      <c r="AG4" s="1320"/>
      <c r="AH4" s="1320"/>
      <c r="AI4" s="1320"/>
      <c r="AJ4" s="1320"/>
      <c r="AK4" s="1320"/>
      <c r="AL4" s="1320"/>
      <c r="AM4" s="1320"/>
      <c r="AN4" s="1320"/>
      <c r="AO4" s="1320"/>
      <c r="AP4" s="144" t="s">
        <v>7</v>
      </c>
      <c r="AQ4" s="945" t="s">
        <v>8</v>
      </c>
    </row>
    <row r="5" spans="1:60" s="4" customFormat="1" ht="27" customHeight="1" x14ac:dyDescent="0.2">
      <c r="A5" s="1231" t="s">
        <v>9</v>
      </c>
      <c r="B5" s="1231"/>
      <c r="C5" s="1231"/>
      <c r="D5" s="1231"/>
      <c r="E5" s="1231"/>
      <c r="F5" s="1231"/>
      <c r="G5" s="1231"/>
      <c r="H5" s="1231"/>
      <c r="I5" s="1231"/>
      <c r="J5" s="1231"/>
      <c r="K5" s="606"/>
      <c r="L5" s="1233" t="s">
        <v>10</v>
      </c>
      <c r="M5" s="1233"/>
      <c r="N5" s="1233"/>
      <c r="O5" s="1233"/>
      <c r="P5" s="1233"/>
      <c r="Q5" s="1233"/>
      <c r="R5" s="1233"/>
      <c r="S5" s="1233"/>
      <c r="T5" s="1233"/>
      <c r="U5" s="1233"/>
      <c r="V5" s="1233"/>
      <c r="W5" s="1233"/>
      <c r="X5" s="1233"/>
      <c r="Y5" s="1233"/>
      <c r="Z5" s="1233"/>
      <c r="AA5" s="1233"/>
      <c r="AB5" s="1233"/>
      <c r="AC5" s="1233"/>
      <c r="AD5" s="1233"/>
      <c r="AE5" s="1233"/>
      <c r="AF5" s="1233"/>
      <c r="AG5" s="1233"/>
      <c r="AH5" s="1233"/>
      <c r="AI5" s="1233"/>
      <c r="AJ5" s="1233"/>
      <c r="AK5" s="1233"/>
      <c r="AL5" s="1233"/>
      <c r="AM5" s="1233"/>
      <c r="AN5" s="1233"/>
      <c r="AO5" s="1233"/>
      <c r="AP5" s="1233"/>
      <c r="AQ5" s="1233"/>
      <c r="AR5" s="3"/>
      <c r="AS5" s="3"/>
      <c r="AT5" s="3"/>
      <c r="AU5" s="3"/>
      <c r="AV5" s="3"/>
      <c r="AW5" s="3"/>
      <c r="AX5" s="3"/>
      <c r="AY5" s="3"/>
      <c r="AZ5" s="3"/>
      <c r="BA5" s="3"/>
      <c r="BB5" s="3"/>
      <c r="BC5" s="3"/>
      <c r="BD5" s="3"/>
      <c r="BE5" s="3"/>
      <c r="BF5" s="3"/>
      <c r="BG5" s="3"/>
      <c r="BH5" s="3"/>
    </row>
    <row r="6" spans="1:60" s="4" customFormat="1" ht="27" customHeight="1" x14ac:dyDescent="0.2">
      <c r="A6" s="1232"/>
      <c r="B6" s="1232"/>
      <c r="C6" s="1232"/>
      <c r="D6" s="1232"/>
      <c r="E6" s="1232"/>
      <c r="F6" s="1232"/>
      <c r="G6" s="1232"/>
      <c r="H6" s="1232"/>
      <c r="I6" s="1232"/>
      <c r="J6" s="1232"/>
      <c r="K6" s="607"/>
      <c r="L6" s="239"/>
      <c r="M6" s="10"/>
      <c r="N6" s="240"/>
      <c r="O6" s="607"/>
      <c r="P6" s="10"/>
      <c r="Q6" s="240"/>
      <c r="R6" s="240"/>
      <c r="S6" s="240"/>
      <c r="T6" s="10"/>
      <c r="U6" s="10"/>
      <c r="V6" s="10"/>
      <c r="W6" s="10"/>
      <c r="X6" s="10"/>
      <c r="Y6" s="1233" t="s">
        <v>11</v>
      </c>
      <c r="Z6" s="1233"/>
      <c r="AA6" s="1233"/>
      <c r="AB6" s="1233"/>
      <c r="AC6" s="1233"/>
      <c r="AD6" s="1233"/>
      <c r="AE6" s="1233"/>
      <c r="AF6" s="1233"/>
      <c r="AG6" s="1233"/>
      <c r="AH6" s="1233"/>
      <c r="AI6" s="1233"/>
      <c r="AJ6" s="1233"/>
      <c r="AK6" s="1233"/>
      <c r="AL6" s="1233"/>
      <c r="AM6" s="1233"/>
      <c r="AN6" s="1233"/>
      <c r="AO6" s="607"/>
      <c r="AP6" s="607"/>
      <c r="AQ6" s="541"/>
      <c r="AR6" s="3"/>
      <c r="AS6" s="3"/>
      <c r="AT6" s="3"/>
      <c r="AU6" s="3"/>
      <c r="AV6" s="3"/>
      <c r="AW6" s="3"/>
      <c r="AX6" s="3"/>
      <c r="AY6" s="3"/>
      <c r="AZ6" s="3"/>
      <c r="BA6" s="3"/>
      <c r="BB6" s="3"/>
      <c r="BC6" s="3"/>
      <c r="BD6" s="3"/>
      <c r="BE6" s="3"/>
      <c r="BF6" s="3"/>
      <c r="BG6" s="3"/>
      <c r="BH6" s="3"/>
    </row>
    <row r="7" spans="1:60" s="4" customFormat="1" ht="43.5" customHeight="1" x14ac:dyDescent="0.2">
      <c r="A7" s="1234" t="s">
        <v>12</v>
      </c>
      <c r="B7" s="1221" t="s">
        <v>13</v>
      </c>
      <c r="C7" s="1221"/>
      <c r="D7" s="1221" t="s">
        <v>12</v>
      </c>
      <c r="E7" s="1221" t="s">
        <v>14</v>
      </c>
      <c r="F7" s="1221"/>
      <c r="G7" s="1237" t="s">
        <v>12</v>
      </c>
      <c r="H7" s="1221" t="s">
        <v>15</v>
      </c>
      <c r="I7" s="1221" t="s">
        <v>16</v>
      </c>
      <c r="J7" s="1222" t="s">
        <v>17</v>
      </c>
      <c r="K7" s="1223"/>
      <c r="L7" s="1221" t="s">
        <v>18</v>
      </c>
      <c r="M7" s="1221" t="s">
        <v>19</v>
      </c>
      <c r="N7" s="1221" t="s">
        <v>10</v>
      </c>
      <c r="O7" s="1226" t="s">
        <v>20</v>
      </c>
      <c r="P7" s="1253" t="s">
        <v>21</v>
      </c>
      <c r="Q7" s="1221" t="s">
        <v>22</v>
      </c>
      <c r="R7" s="1221" t="s">
        <v>23</v>
      </c>
      <c r="S7" s="1221" t="s">
        <v>24</v>
      </c>
      <c r="T7" s="1253" t="s">
        <v>21</v>
      </c>
      <c r="U7" s="1253" t="s">
        <v>25</v>
      </c>
      <c r="V7" s="1253" t="s">
        <v>26</v>
      </c>
      <c r="W7" s="1264" t="s">
        <v>12</v>
      </c>
      <c r="X7" s="1221" t="s">
        <v>27</v>
      </c>
      <c r="Y7" s="1240" t="s">
        <v>28</v>
      </c>
      <c r="Z7" s="1241"/>
      <c r="AA7" s="1243" t="s">
        <v>29</v>
      </c>
      <c r="AB7" s="1244"/>
      <c r="AC7" s="1244"/>
      <c r="AD7" s="1244"/>
      <c r="AE7" s="1246" t="s">
        <v>30</v>
      </c>
      <c r="AF7" s="1247"/>
      <c r="AG7" s="1247"/>
      <c r="AH7" s="1247"/>
      <c r="AI7" s="1247"/>
      <c r="AJ7" s="1247"/>
      <c r="AK7" s="1254" t="s">
        <v>31</v>
      </c>
      <c r="AL7" s="1255"/>
      <c r="AM7" s="1255"/>
      <c r="AN7" s="1257" t="s">
        <v>32</v>
      </c>
      <c r="AO7" s="1266" t="s">
        <v>34</v>
      </c>
      <c r="AP7" s="1266" t="s">
        <v>35</v>
      </c>
      <c r="AQ7" s="1270" t="s">
        <v>36</v>
      </c>
      <c r="AR7" s="3"/>
      <c r="AS7" s="3"/>
      <c r="AT7" s="3"/>
      <c r="AU7" s="3"/>
      <c r="AV7" s="3"/>
      <c r="AW7" s="3"/>
      <c r="AX7" s="3"/>
      <c r="AY7" s="3"/>
      <c r="AZ7" s="3"/>
      <c r="BA7" s="3"/>
      <c r="BB7" s="3"/>
      <c r="BC7" s="3"/>
      <c r="BD7" s="3"/>
      <c r="BE7" s="3"/>
      <c r="BF7" s="3"/>
    </row>
    <row r="8" spans="1:60" s="4" customFormat="1" ht="120.75" customHeight="1" x14ac:dyDescent="0.2">
      <c r="A8" s="1235"/>
      <c r="B8" s="1221"/>
      <c r="C8" s="1221"/>
      <c r="D8" s="1221"/>
      <c r="E8" s="1221"/>
      <c r="F8" s="1221"/>
      <c r="G8" s="1238"/>
      <c r="H8" s="1221"/>
      <c r="I8" s="1221"/>
      <c r="J8" s="1224"/>
      <c r="K8" s="1225"/>
      <c r="L8" s="1221"/>
      <c r="M8" s="1221"/>
      <c r="N8" s="1221"/>
      <c r="O8" s="1226"/>
      <c r="P8" s="1253"/>
      <c r="Q8" s="1221"/>
      <c r="R8" s="1221"/>
      <c r="S8" s="1221"/>
      <c r="T8" s="1253"/>
      <c r="U8" s="1253"/>
      <c r="V8" s="1253"/>
      <c r="W8" s="1264"/>
      <c r="X8" s="1221"/>
      <c r="Y8" s="601" t="s">
        <v>37</v>
      </c>
      <c r="Z8" s="605" t="s">
        <v>38</v>
      </c>
      <c r="AA8" s="601" t="s">
        <v>39</v>
      </c>
      <c r="AB8" s="601" t="s">
        <v>40</v>
      </c>
      <c r="AC8" s="601" t="s">
        <v>41</v>
      </c>
      <c r="AD8" s="601" t="s">
        <v>42</v>
      </c>
      <c r="AE8" s="601" t="s">
        <v>43</v>
      </c>
      <c r="AF8" s="601" t="s">
        <v>44</v>
      </c>
      <c r="AG8" s="601" t="s">
        <v>45</v>
      </c>
      <c r="AH8" s="601" t="s">
        <v>46</v>
      </c>
      <c r="AI8" s="601" t="s">
        <v>47</v>
      </c>
      <c r="AJ8" s="601" t="s">
        <v>48</v>
      </c>
      <c r="AK8" s="601" t="s">
        <v>49</v>
      </c>
      <c r="AL8" s="601" t="s">
        <v>50</v>
      </c>
      <c r="AM8" s="602" t="s">
        <v>51</v>
      </c>
      <c r="AN8" s="1259"/>
      <c r="AO8" s="1509"/>
      <c r="AP8" s="1268"/>
      <c r="AQ8" s="1271"/>
      <c r="AR8" s="3"/>
      <c r="AS8" s="3"/>
      <c r="AT8" s="3"/>
      <c r="AU8" s="3"/>
      <c r="AV8" s="3"/>
      <c r="AW8" s="3"/>
      <c r="AX8" s="3"/>
      <c r="AY8" s="3"/>
      <c r="AZ8" s="3"/>
      <c r="BA8" s="3"/>
      <c r="BB8" s="3"/>
      <c r="BC8" s="3"/>
      <c r="BD8" s="3"/>
      <c r="BE8" s="3"/>
      <c r="BF8" s="3"/>
    </row>
    <row r="9" spans="1:60" s="4" customFormat="1" ht="21.75" customHeight="1" x14ac:dyDescent="0.2">
      <c r="A9" s="1236"/>
      <c r="B9" s="1221"/>
      <c r="C9" s="1221"/>
      <c r="D9" s="1221"/>
      <c r="E9" s="1221"/>
      <c r="F9" s="1221"/>
      <c r="G9" s="1239"/>
      <c r="H9" s="1221"/>
      <c r="I9" s="1221"/>
      <c r="J9" s="604" t="s">
        <v>58</v>
      </c>
      <c r="K9" s="604" t="s">
        <v>59</v>
      </c>
      <c r="L9" s="1221"/>
      <c r="M9" s="1221"/>
      <c r="N9" s="1221"/>
      <c r="O9" s="1226"/>
      <c r="P9" s="1253"/>
      <c r="Q9" s="1221"/>
      <c r="R9" s="1221"/>
      <c r="S9" s="1221"/>
      <c r="T9" s="1253"/>
      <c r="U9" s="1253"/>
      <c r="V9" s="1253"/>
      <c r="W9" s="1264"/>
      <c r="X9" s="1221"/>
      <c r="Y9" s="604" t="s">
        <v>58</v>
      </c>
      <c r="Z9" s="604" t="s">
        <v>58</v>
      </c>
      <c r="AA9" s="604" t="s">
        <v>58</v>
      </c>
      <c r="AB9" s="604" t="s">
        <v>58</v>
      </c>
      <c r="AC9" s="604" t="s">
        <v>58</v>
      </c>
      <c r="AD9" s="604" t="s">
        <v>58</v>
      </c>
      <c r="AE9" s="604" t="s">
        <v>58</v>
      </c>
      <c r="AF9" s="604" t="s">
        <v>58</v>
      </c>
      <c r="AG9" s="604" t="s">
        <v>58</v>
      </c>
      <c r="AH9" s="604" t="s">
        <v>58</v>
      </c>
      <c r="AI9" s="604" t="s">
        <v>58</v>
      </c>
      <c r="AJ9" s="604" t="s">
        <v>58</v>
      </c>
      <c r="AK9" s="604" t="s">
        <v>58</v>
      </c>
      <c r="AL9" s="604" t="s">
        <v>58</v>
      </c>
      <c r="AM9" s="604" t="s">
        <v>58</v>
      </c>
      <c r="AN9" s="604" t="s">
        <v>58</v>
      </c>
      <c r="AO9" s="603" t="s">
        <v>58</v>
      </c>
      <c r="AP9" s="603" t="s">
        <v>58</v>
      </c>
      <c r="AQ9" s="1272"/>
      <c r="AR9" s="3"/>
      <c r="AS9" s="3"/>
      <c r="AT9" s="3"/>
      <c r="AU9" s="3"/>
      <c r="AV9" s="3"/>
      <c r="AW9" s="3"/>
      <c r="AX9" s="3"/>
      <c r="AY9" s="3"/>
      <c r="AZ9" s="3"/>
      <c r="BA9" s="3"/>
      <c r="BB9" s="3"/>
      <c r="BC9" s="3"/>
      <c r="BD9" s="3"/>
      <c r="BE9" s="3"/>
      <c r="BF9" s="3"/>
    </row>
    <row r="10" spans="1:60" s="4" customFormat="1" ht="21.75" customHeight="1" x14ac:dyDescent="0.2">
      <c r="A10" s="838">
        <v>3</v>
      </c>
      <c r="B10" s="456" t="s">
        <v>992</v>
      </c>
      <c r="C10" s="241"/>
      <c r="D10" s="307"/>
      <c r="E10" s="693"/>
      <c r="F10" s="693"/>
      <c r="G10" s="693"/>
      <c r="H10" s="873"/>
      <c r="I10" s="694"/>
      <c r="J10" s="693"/>
      <c r="K10" s="693"/>
      <c r="L10" s="693"/>
      <c r="M10" s="694"/>
      <c r="N10" s="694"/>
      <c r="O10" s="696"/>
      <c r="P10" s="693"/>
      <c r="Q10" s="693"/>
      <c r="R10" s="693"/>
      <c r="S10" s="694"/>
      <c r="T10" s="693"/>
      <c r="U10" s="693"/>
      <c r="V10" s="693"/>
      <c r="W10" s="693"/>
      <c r="X10" s="694"/>
      <c r="Y10" s="693"/>
      <c r="Z10" s="693"/>
      <c r="AA10" s="693"/>
      <c r="AB10" s="693"/>
      <c r="AC10" s="693"/>
      <c r="AD10" s="693"/>
      <c r="AE10" s="693"/>
      <c r="AF10" s="693"/>
      <c r="AG10" s="693"/>
      <c r="AH10" s="693"/>
      <c r="AI10" s="693"/>
      <c r="AJ10" s="693"/>
      <c r="AK10" s="693"/>
      <c r="AL10" s="693"/>
      <c r="AM10" s="693"/>
      <c r="AN10" s="693"/>
      <c r="AO10" s="693"/>
      <c r="AP10" s="693"/>
      <c r="AQ10" s="946"/>
    </row>
    <row r="11" spans="1:60" s="4" customFormat="1" ht="19.5" customHeight="1" x14ac:dyDescent="0.2">
      <c r="A11" s="1823"/>
      <c r="B11" s="1825"/>
      <c r="C11" s="1826"/>
      <c r="D11" s="449">
        <v>2409</v>
      </c>
      <c r="E11" s="340" t="s">
        <v>993</v>
      </c>
      <c r="F11" s="450"/>
      <c r="G11" s="947"/>
      <c r="H11" s="878"/>
      <c r="I11" s="699"/>
      <c r="J11" s="261"/>
      <c r="K11" s="261"/>
      <c r="L11" s="259"/>
      <c r="M11" s="401"/>
      <c r="N11" s="880"/>
      <c r="O11" s="701"/>
      <c r="P11" s="881"/>
      <c r="Q11" s="881"/>
      <c r="R11" s="881"/>
      <c r="S11" s="259"/>
      <c r="T11" s="883"/>
      <c r="U11" s="883"/>
      <c r="V11" s="883"/>
      <c r="W11" s="881"/>
      <c r="X11" s="884"/>
      <c r="Y11" s="881"/>
      <c r="Z11" s="881"/>
      <c r="AA11" s="881"/>
      <c r="AB11" s="881"/>
      <c r="AC11" s="881"/>
      <c r="AD11" s="881"/>
      <c r="AE11" s="881"/>
      <c r="AF11" s="881"/>
      <c r="AG11" s="881"/>
      <c r="AH11" s="881"/>
      <c r="AI11" s="881"/>
      <c r="AJ11" s="881"/>
      <c r="AK11" s="881"/>
      <c r="AL11" s="881"/>
      <c r="AM11" s="881"/>
      <c r="AN11" s="881"/>
      <c r="AO11" s="881"/>
      <c r="AP11" s="881"/>
      <c r="AQ11" s="948"/>
    </row>
    <row r="12" spans="1:60" s="4" customFormat="1" ht="106.5" customHeight="1" x14ac:dyDescent="0.2">
      <c r="A12" s="1824"/>
      <c r="B12" s="1827"/>
      <c r="C12" s="1827"/>
      <c r="D12" s="885"/>
      <c r="E12" s="1387"/>
      <c r="F12" s="1387"/>
      <c r="G12" s="609"/>
      <c r="H12" s="949" t="s">
        <v>994</v>
      </c>
      <c r="I12" s="40" t="s">
        <v>995</v>
      </c>
      <c r="J12" s="950">
        <v>1</v>
      </c>
      <c r="K12" s="92">
        <v>0.61</v>
      </c>
      <c r="L12" s="1281" t="s">
        <v>996</v>
      </c>
      <c r="M12" s="1413">
        <v>24010101</v>
      </c>
      <c r="N12" s="1415" t="s">
        <v>997</v>
      </c>
      <c r="O12" s="888">
        <f>+T12/$P$12</f>
        <v>0.24672897196261681</v>
      </c>
      <c r="P12" s="1829">
        <f>+T12+T13+T14+T15</f>
        <v>107000000</v>
      </c>
      <c r="Q12" s="1293" t="s">
        <v>998</v>
      </c>
      <c r="R12" s="1293" t="s">
        <v>999</v>
      </c>
      <c r="S12" s="951" t="str">
        <f>+H12</f>
        <v>Formular e Implementar una estrategia de movilidad saludable, segura y sostenible.</v>
      </c>
      <c r="T12" s="952">
        <v>26400000</v>
      </c>
      <c r="U12" s="467">
        <v>23052000</v>
      </c>
      <c r="V12" s="467">
        <v>16218000</v>
      </c>
      <c r="W12" s="1832" t="s">
        <v>1000</v>
      </c>
      <c r="X12" s="1293" t="s">
        <v>1001</v>
      </c>
      <c r="Y12" s="1597">
        <v>57163</v>
      </c>
      <c r="Z12" s="1597">
        <v>57815</v>
      </c>
      <c r="AA12" s="1597">
        <v>27805</v>
      </c>
      <c r="AB12" s="1597">
        <v>8790</v>
      </c>
      <c r="AC12" s="1597">
        <v>60583</v>
      </c>
      <c r="AD12" s="1597">
        <v>17800</v>
      </c>
      <c r="AE12" s="1597">
        <v>283</v>
      </c>
      <c r="AF12" s="1597">
        <v>1495</v>
      </c>
      <c r="AG12" s="1597">
        <v>8</v>
      </c>
      <c r="AH12" s="1597">
        <v>0</v>
      </c>
      <c r="AI12" s="1597">
        <v>0</v>
      </c>
      <c r="AJ12" s="1597">
        <v>0</v>
      </c>
      <c r="AK12" s="1597">
        <v>44350</v>
      </c>
      <c r="AL12" s="1597">
        <v>6251</v>
      </c>
      <c r="AM12" s="1597">
        <v>75687</v>
      </c>
      <c r="AN12" s="1597">
        <f>Y12+Z12+AA12+AB12+AC12+AD12+AE12+AF12+AG12+AK12+AL12+AM12</f>
        <v>358030</v>
      </c>
      <c r="AO12" s="1835">
        <v>43832</v>
      </c>
      <c r="AP12" s="1835">
        <v>44195</v>
      </c>
      <c r="AQ12" s="1478" t="s">
        <v>1002</v>
      </c>
    </row>
    <row r="13" spans="1:60" s="4" customFormat="1" ht="88.5" customHeight="1" x14ac:dyDescent="0.2">
      <c r="A13" s="283"/>
      <c r="B13" s="91"/>
      <c r="C13" s="91"/>
      <c r="D13" s="90"/>
      <c r="E13" s="1828"/>
      <c r="F13" s="1828"/>
      <c r="G13" s="89"/>
      <c r="H13" s="949" t="s">
        <v>1003</v>
      </c>
      <c r="I13" s="40" t="s">
        <v>1004</v>
      </c>
      <c r="J13" s="863">
        <v>1</v>
      </c>
      <c r="K13" s="863">
        <v>0.61</v>
      </c>
      <c r="L13" s="1282"/>
      <c r="M13" s="1414"/>
      <c r="N13" s="1416" t="s">
        <v>1005</v>
      </c>
      <c r="O13" s="888">
        <f t="shared" ref="O13" si="0">+T13/$P$12</f>
        <v>7.8504672897196259E-2</v>
      </c>
      <c r="P13" s="1830"/>
      <c r="Q13" s="1294"/>
      <c r="R13" s="1294"/>
      <c r="S13" s="951" t="str">
        <f t="shared" ref="S13:S15" si="1">+H13</f>
        <v>Formular e Implementar un programa de formación en normas de tránsito y fomento de cultura  de la seguridad en la vía.</v>
      </c>
      <c r="T13" s="952">
        <v>8400000</v>
      </c>
      <c r="U13" s="953">
        <v>0</v>
      </c>
      <c r="V13" s="953">
        <v>0</v>
      </c>
      <c r="W13" s="1833"/>
      <c r="X13" s="1294"/>
      <c r="Y13" s="1597"/>
      <c r="Z13" s="1597"/>
      <c r="AA13" s="1597"/>
      <c r="AB13" s="1597"/>
      <c r="AC13" s="1597"/>
      <c r="AD13" s="1597"/>
      <c r="AE13" s="1597"/>
      <c r="AF13" s="1597"/>
      <c r="AG13" s="1597"/>
      <c r="AH13" s="1597"/>
      <c r="AI13" s="1597"/>
      <c r="AJ13" s="1597"/>
      <c r="AK13" s="1597"/>
      <c r="AL13" s="1597"/>
      <c r="AM13" s="1597"/>
      <c r="AN13" s="1597"/>
      <c r="AO13" s="1836"/>
      <c r="AP13" s="1836"/>
      <c r="AQ13" s="1534"/>
    </row>
    <row r="14" spans="1:60" s="4" customFormat="1" ht="112.5" customHeight="1" x14ac:dyDescent="0.2">
      <c r="A14" s="283"/>
      <c r="B14" s="91"/>
      <c r="C14" s="91"/>
      <c r="D14" s="90"/>
      <c r="E14" s="1828"/>
      <c r="F14" s="1828"/>
      <c r="G14" s="89"/>
      <c r="H14" s="949" t="s">
        <v>1006</v>
      </c>
      <c r="I14" s="40" t="s">
        <v>1007</v>
      </c>
      <c r="J14" s="863">
        <v>1</v>
      </c>
      <c r="K14" s="863" t="s">
        <v>1008</v>
      </c>
      <c r="L14" s="1282"/>
      <c r="M14" s="1414"/>
      <c r="N14" s="1416"/>
      <c r="O14" s="888">
        <f>+T14/$P$12</f>
        <v>0.23551401869158878</v>
      </c>
      <c r="P14" s="1830"/>
      <c r="Q14" s="1294"/>
      <c r="R14" s="1294"/>
      <c r="S14" s="951" t="str">
        <f t="shared" si="1"/>
        <v>Formular e Implementar un programa de control, prevención y atención del tránsito y el transporte en los municipios y vías de jurisdicción del IDTQ.</v>
      </c>
      <c r="T14" s="889">
        <v>25200000</v>
      </c>
      <c r="U14" s="953">
        <v>0</v>
      </c>
      <c r="V14" s="953">
        <v>0</v>
      </c>
      <c r="W14" s="1833"/>
      <c r="X14" s="1294"/>
      <c r="Y14" s="1597"/>
      <c r="Z14" s="1597"/>
      <c r="AA14" s="1597"/>
      <c r="AB14" s="1597"/>
      <c r="AC14" s="1597"/>
      <c r="AD14" s="1597"/>
      <c r="AE14" s="1597"/>
      <c r="AF14" s="1597"/>
      <c r="AG14" s="1597"/>
      <c r="AH14" s="1597"/>
      <c r="AI14" s="1597"/>
      <c r="AJ14" s="1597"/>
      <c r="AK14" s="1597"/>
      <c r="AL14" s="1597"/>
      <c r="AM14" s="1597"/>
      <c r="AN14" s="1597"/>
      <c r="AO14" s="1836"/>
      <c r="AP14" s="1836"/>
      <c r="AQ14" s="1534"/>
    </row>
    <row r="15" spans="1:60" s="4" customFormat="1" ht="93" customHeight="1" x14ac:dyDescent="0.2">
      <c r="A15" s="283"/>
      <c r="B15" s="91"/>
      <c r="C15" s="91"/>
      <c r="D15" s="90"/>
      <c r="E15" s="1828"/>
      <c r="F15" s="1828"/>
      <c r="G15" s="89"/>
      <c r="H15" s="949" t="s">
        <v>1009</v>
      </c>
      <c r="I15" s="40" t="s">
        <v>1010</v>
      </c>
      <c r="J15" s="863">
        <v>1</v>
      </c>
      <c r="K15" s="863" t="s">
        <v>1008</v>
      </c>
      <c r="L15" s="1283"/>
      <c r="M15" s="1432"/>
      <c r="N15" s="1420"/>
      <c r="O15" s="888">
        <f>+T15/$P$12</f>
        <v>0.43925233644859812</v>
      </c>
      <c r="P15" s="1831"/>
      <c r="Q15" s="1295"/>
      <c r="R15" s="1295"/>
      <c r="S15" s="951" t="str">
        <f t="shared" si="1"/>
        <v>Diseñar e Implementar un programa de señalización y demarcación en los municipios y vías de jurisdicción del IDTQ.</v>
      </c>
      <c r="T15" s="889">
        <v>47000000</v>
      </c>
      <c r="U15" s="953">
        <v>0</v>
      </c>
      <c r="V15" s="953">
        <v>0</v>
      </c>
      <c r="W15" s="1834"/>
      <c r="X15" s="1295"/>
      <c r="Y15" s="1597"/>
      <c r="Z15" s="1597"/>
      <c r="AA15" s="1597"/>
      <c r="AB15" s="1597"/>
      <c r="AC15" s="1597"/>
      <c r="AD15" s="1597"/>
      <c r="AE15" s="1597"/>
      <c r="AF15" s="1597"/>
      <c r="AG15" s="1597"/>
      <c r="AH15" s="1597"/>
      <c r="AI15" s="1597"/>
      <c r="AJ15" s="1597"/>
      <c r="AK15" s="1597"/>
      <c r="AL15" s="1597"/>
      <c r="AM15" s="1597"/>
      <c r="AN15" s="1597"/>
      <c r="AO15" s="1431"/>
      <c r="AP15" s="1431"/>
      <c r="AQ15" s="1479"/>
    </row>
    <row r="16" spans="1:60" s="4" customFormat="1" ht="28.5" customHeight="1" x14ac:dyDescent="0.2">
      <c r="A16" s="321"/>
      <c r="B16" s="103"/>
      <c r="C16" s="103"/>
      <c r="D16" s="913"/>
      <c r="E16" s="328"/>
      <c r="F16" s="328"/>
      <c r="G16" s="329"/>
      <c r="H16" s="954"/>
      <c r="I16" s="914"/>
      <c r="J16" s="114"/>
      <c r="K16" s="114"/>
      <c r="L16" s="955"/>
      <c r="M16" s="914"/>
      <c r="N16" s="113"/>
      <c r="O16" s="285"/>
      <c r="P16" s="216">
        <f>SUM(P12)</f>
        <v>107000000</v>
      </c>
      <c r="Q16" s="113"/>
      <c r="R16" s="113"/>
      <c r="S16" s="113"/>
      <c r="T16" s="216">
        <f>SUM(T12:T15)</f>
        <v>107000000</v>
      </c>
      <c r="U16" s="216">
        <f t="shared" ref="U16:V16" si="2">SUM(U12:U15)</f>
        <v>23052000</v>
      </c>
      <c r="V16" s="216">
        <f t="shared" si="2"/>
        <v>16218000</v>
      </c>
      <c r="W16" s="110"/>
      <c r="X16" s="113"/>
      <c r="Y16" s="871"/>
      <c r="Z16" s="871"/>
      <c r="AA16" s="871"/>
      <c r="AB16" s="871"/>
      <c r="AC16" s="871"/>
      <c r="AD16" s="871"/>
      <c r="AE16" s="871"/>
      <c r="AF16" s="871"/>
      <c r="AG16" s="871"/>
      <c r="AH16" s="871"/>
      <c r="AI16" s="871"/>
      <c r="AJ16" s="871"/>
      <c r="AK16" s="871"/>
      <c r="AL16" s="871"/>
      <c r="AM16" s="871"/>
      <c r="AN16" s="871"/>
      <c r="AO16" s="648"/>
      <c r="AP16" s="123"/>
      <c r="AQ16" s="124"/>
    </row>
    <row r="17" spans="1:43" s="4" customFormat="1" ht="28.5" customHeight="1" x14ac:dyDescent="0.2">
      <c r="A17" s="956"/>
      <c r="B17" s="91"/>
      <c r="C17" s="91"/>
      <c r="D17" s="91"/>
      <c r="E17" s="91"/>
      <c r="F17" s="91"/>
      <c r="G17" s="91"/>
      <c r="H17" s="957"/>
      <c r="I17" s="958"/>
      <c r="J17" s="177"/>
      <c r="K17" s="177"/>
      <c r="L17" s="177"/>
      <c r="M17" s="958"/>
      <c r="N17" s="139"/>
      <c r="O17" s="959"/>
      <c r="P17" s="960"/>
      <c r="Q17" s="139"/>
      <c r="R17" s="139"/>
      <c r="S17" s="139"/>
      <c r="T17" s="960"/>
      <c r="U17" s="960"/>
      <c r="V17" s="960"/>
      <c r="W17" s="961"/>
      <c r="X17" s="139"/>
      <c r="Y17" s="91"/>
      <c r="Z17" s="91"/>
      <c r="AA17" s="91"/>
      <c r="AB17" s="91"/>
      <c r="AC17" s="91"/>
      <c r="AD17" s="91"/>
      <c r="AE17" s="91"/>
      <c r="AF17" s="91"/>
      <c r="AG17" s="91"/>
      <c r="AH17" s="91"/>
      <c r="AI17" s="91"/>
      <c r="AJ17" s="91"/>
      <c r="AK17" s="91"/>
      <c r="AL17" s="91"/>
      <c r="AM17" s="91"/>
      <c r="AN17" s="91"/>
      <c r="AO17" s="962"/>
      <c r="AP17" s="963"/>
      <c r="AQ17" s="964"/>
    </row>
    <row r="18" spans="1:43" s="4" customFormat="1" ht="27" customHeight="1" x14ac:dyDescent="0.2">
      <c r="A18" s="88"/>
      <c r="H18" s="915"/>
      <c r="I18" s="841"/>
      <c r="J18" s="3"/>
      <c r="K18" s="3"/>
      <c r="L18" s="3"/>
      <c r="M18" s="841"/>
      <c r="N18" s="125"/>
      <c r="O18" s="842"/>
      <c r="P18" s="137"/>
      <c r="Q18" s="125"/>
      <c r="R18" s="125"/>
      <c r="S18" s="125"/>
      <c r="T18" s="141"/>
      <c r="U18" s="141"/>
      <c r="V18" s="141"/>
      <c r="W18" s="131"/>
      <c r="X18" s="125"/>
      <c r="AO18" s="651"/>
      <c r="AP18" s="135"/>
      <c r="AQ18" s="136"/>
    </row>
    <row r="19" spans="1:43" ht="27" customHeight="1" x14ac:dyDescent="0.25">
      <c r="B19" s="103"/>
      <c r="C19" s="103"/>
      <c r="D19" s="103"/>
      <c r="E19" s="103"/>
      <c r="F19" s="103"/>
      <c r="G19" s="103"/>
      <c r="H19" s="916"/>
      <c r="I19" s="841"/>
      <c r="X19" s="223"/>
    </row>
    <row r="20" spans="1:43" ht="27" customHeight="1" x14ac:dyDescent="0.3">
      <c r="B20" s="956"/>
      <c r="C20" s="965"/>
      <c r="D20" s="965" t="s">
        <v>1011</v>
      </c>
      <c r="E20" s="965"/>
      <c r="F20" s="965"/>
      <c r="G20" s="965"/>
      <c r="H20" s="966"/>
      <c r="I20" s="967"/>
      <c r="J20" s="968"/>
      <c r="K20" s="968"/>
    </row>
    <row r="21" spans="1:43" ht="27" customHeight="1" x14ac:dyDescent="0.25">
      <c r="B21" s="4"/>
      <c r="C21" s="969"/>
      <c r="D21" s="969"/>
      <c r="E21" s="967" t="s">
        <v>1012</v>
      </c>
      <c r="F21" s="967"/>
      <c r="G21" s="967"/>
      <c r="H21" s="967"/>
      <c r="I21" s="608"/>
      <c r="J21" s="970"/>
      <c r="K21" s="970"/>
    </row>
    <row r="22" spans="1:43" ht="27" customHeight="1" x14ac:dyDescent="0.25">
      <c r="C22" s="971"/>
      <c r="D22" s="971"/>
      <c r="E22" s="972"/>
      <c r="F22" s="972"/>
      <c r="G22" s="972"/>
      <c r="H22" s="972"/>
      <c r="I22" s="146"/>
    </row>
  </sheetData>
  <sheetProtection password="A60F" sheet="1" objects="1" scenarios="1"/>
  <mergeCells count="63">
    <mergeCell ref="AQ12:AQ15"/>
    <mergeCell ref="AK12:AK15"/>
    <mergeCell ref="AL12:AL15"/>
    <mergeCell ref="AM12:AM15"/>
    <mergeCell ref="AN12:AN15"/>
    <mergeCell ref="AO12:AO15"/>
    <mergeCell ref="AP12:AP15"/>
    <mergeCell ref="AO7:AO8"/>
    <mergeCell ref="AP7:AP8"/>
    <mergeCell ref="N12:N15"/>
    <mergeCell ref="P12:P15"/>
    <mergeCell ref="Q12:Q15"/>
    <mergeCell ref="R12:R15"/>
    <mergeCell ref="W12:W15"/>
    <mergeCell ref="AJ12:AJ15"/>
    <mergeCell ref="Y12:Y15"/>
    <mergeCell ref="Z12:Z15"/>
    <mergeCell ref="AA12:AA15"/>
    <mergeCell ref="AB12:AB15"/>
    <mergeCell ref="AC12:AC15"/>
    <mergeCell ref="AD12:AD15"/>
    <mergeCell ref="AE12:AE15"/>
    <mergeCell ref="AF12:AF15"/>
    <mergeCell ref="R7:R9"/>
    <mergeCell ref="S7:S9"/>
    <mergeCell ref="X12:X15"/>
    <mergeCell ref="AK7:AM7"/>
    <mergeCell ref="AN7:AN8"/>
    <mergeCell ref="AG12:AG15"/>
    <mergeCell ref="AH12:AH15"/>
    <mergeCell ref="AI12:AI15"/>
    <mergeCell ref="N7:N9"/>
    <mergeCell ref="O7:O9"/>
    <mergeCell ref="AQ7:AQ9"/>
    <mergeCell ref="A11:A12"/>
    <mergeCell ref="B11:C12"/>
    <mergeCell ref="E12:F15"/>
    <mergeCell ref="L12:L15"/>
    <mergeCell ref="M12:M15"/>
    <mergeCell ref="V7:V9"/>
    <mergeCell ref="W7:W9"/>
    <mergeCell ref="X7:X9"/>
    <mergeCell ref="Y7:Z7"/>
    <mergeCell ref="AA7:AD7"/>
    <mergeCell ref="AE7:AJ7"/>
    <mergeCell ref="P7:P9"/>
    <mergeCell ref="Q7:Q9"/>
    <mergeCell ref="A1:AO4"/>
    <mergeCell ref="A5:J6"/>
    <mergeCell ref="L5:AQ5"/>
    <mergeCell ref="Y6:AN6"/>
    <mergeCell ref="A7:A9"/>
    <mergeCell ref="B7:C9"/>
    <mergeCell ref="D7:D9"/>
    <mergeCell ref="E7:F9"/>
    <mergeCell ref="G7:G9"/>
    <mergeCell ref="H7:H9"/>
    <mergeCell ref="T7:T9"/>
    <mergeCell ref="U7:U9"/>
    <mergeCell ref="I7:I9"/>
    <mergeCell ref="J7:K8"/>
    <mergeCell ref="L7:L9"/>
    <mergeCell ref="M7:M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2060"/>
  </sheetPr>
  <dimension ref="A1:CG21"/>
  <sheetViews>
    <sheetView showGridLines="0" zoomScale="70" zoomScaleNormal="70" workbookViewId="0">
      <selection activeCell="N12" sqref="N12"/>
    </sheetView>
  </sheetViews>
  <sheetFormatPr baseColWidth="10" defaultColWidth="11.42578125" defaultRowHeight="27" customHeight="1" x14ac:dyDescent="0.2"/>
  <cols>
    <col min="1" max="1" width="10" style="222" customWidth="1"/>
    <col min="2" max="2" width="4" style="146" customWidth="1"/>
    <col min="3" max="3" width="12" style="146" customWidth="1"/>
    <col min="4" max="4" width="11" style="146" customWidth="1"/>
    <col min="5" max="5" width="10" style="146" customWidth="1"/>
    <col min="6" max="6" width="7.5703125" style="146" customWidth="1"/>
    <col min="7" max="7" width="11.28515625" style="146" customWidth="1"/>
    <col min="8" max="8" width="22.28515625" style="223" customWidth="1"/>
    <col min="9" max="9" width="18.7109375" style="223" customWidth="1"/>
    <col min="10" max="10" width="10.5703125" style="145" customWidth="1"/>
    <col min="11" max="11" width="11.42578125" style="145" customWidth="1"/>
    <col min="12" max="12" width="35.28515625" style="224" customWidth="1"/>
    <col min="13" max="13" width="19.140625" style="224" customWidth="1"/>
    <col min="14" max="14" width="30.85546875" style="225" customWidth="1"/>
    <col min="15" max="15" width="14.42578125" style="226" customWidth="1"/>
    <col min="16" max="16" width="27.85546875" style="227" customWidth="1"/>
    <col min="17" max="17" width="45.85546875" style="225" customWidth="1"/>
    <col min="18" max="18" width="55.42578125" style="225" customWidth="1"/>
    <col min="19" max="19" width="36" style="225" customWidth="1"/>
    <col min="20" max="22" width="28.140625" style="235" customWidth="1"/>
    <col min="23" max="23" width="20.28515625" style="229" customWidth="1"/>
    <col min="24" max="24" width="35.7109375" style="230" customWidth="1"/>
    <col min="25" max="57" width="10.5703125" style="146" customWidth="1"/>
    <col min="58" max="58" width="28.28515625" style="146" customWidth="1"/>
    <col min="59" max="59" width="23.140625" style="146" customWidth="1"/>
    <col min="60" max="60" width="12.85546875" style="146" customWidth="1"/>
    <col min="61" max="61" width="15.7109375" style="146" customWidth="1"/>
    <col min="62" max="62" width="21.5703125" style="146" customWidth="1"/>
    <col min="63" max="63" width="13.28515625" style="231" customWidth="1"/>
    <col min="64" max="64" width="12.7109375" style="231" customWidth="1"/>
    <col min="65" max="65" width="12.5703125" style="232" customWidth="1"/>
    <col min="66" max="66" width="16.28515625" style="232" customWidth="1"/>
    <col min="67" max="67" width="21" style="233" customWidth="1"/>
    <col min="68" max="16384" width="11.42578125" style="146"/>
  </cols>
  <sheetData>
    <row r="1" spans="1:85" ht="20.25" customHeight="1" x14ac:dyDescent="0.2">
      <c r="A1" s="1318" t="s">
        <v>130</v>
      </c>
      <c r="B1" s="1318"/>
      <c r="C1" s="1318"/>
      <c r="D1" s="1318"/>
      <c r="E1" s="1318"/>
      <c r="F1" s="1318"/>
      <c r="G1" s="1318"/>
      <c r="H1" s="1318"/>
      <c r="I1" s="1318"/>
      <c r="J1" s="1318"/>
      <c r="K1" s="1318"/>
      <c r="L1" s="1318"/>
      <c r="M1" s="1318"/>
      <c r="N1" s="1318"/>
      <c r="O1" s="1318"/>
      <c r="P1" s="1318"/>
      <c r="Q1" s="1318"/>
      <c r="R1" s="1318"/>
      <c r="S1" s="1318"/>
      <c r="T1" s="1318"/>
      <c r="U1" s="1318"/>
      <c r="V1" s="1318"/>
      <c r="W1" s="1318"/>
      <c r="X1" s="1318"/>
      <c r="Y1" s="1318"/>
      <c r="Z1" s="1318"/>
      <c r="AA1" s="1318"/>
      <c r="AB1" s="1318"/>
      <c r="AC1" s="1318"/>
      <c r="AD1" s="1318"/>
      <c r="AE1" s="1318"/>
      <c r="AF1" s="1318"/>
      <c r="AG1" s="1318"/>
      <c r="AH1" s="1318"/>
      <c r="AI1" s="1318"/>
      <c r="AJ1" s="1318"/>
      <c r="AK1" s="1318"/>
      <c r="AL1" s="1318"/>
      <c r="AM1" s="1318"/>
      <c r="AN1" s="1318"/>
      <c r="AO1" s="1318"/>
      <c r="AP1" s="1318"/>
      <c r="AQ1" s="1318"/>
      <c r="AR1" s="1318"/>
      <c r="AS1" s="1318"/>
      <c r="AT1" s="1318"/>
      <c r="AU1" s="1318"/>
      <c r="AV1" s="1318"/>
      <c r="AW1" s="1318"/>
      <c r="AX1" s="1318"/>
      <c r="AY1" s="1318"/>
      <c r="AZ1" s="1318"/>
      <c r="BA1" s="1318"/>
      <c r="BB1" s="1318"/>
      <c r="BC1" s="1318"/>
      <c r="BD1" s="1318"/>
      <c r="BE1" s="1318"/>
      <c r="BF1" s="1318"/>
      <c r="BG1" s="1318"/>
      <c r="BH1" s="1318"/>
      <c r="BI1" s="1318"/>
      <c r="BJ1" s="1318"/>
      <c r="BK1" s="1318"/>
      <c r="BL1" s="1318"/>
      <c r="BM1" s="1319"/>
      <c r="BN1" s="143" t="s">
        <v>1</v>
      </c>
      <c r="BO1" s="144" t="s">
        <v>131</v>
      </c>
      <c r="BP1" s="145"/>
      <c r="BQ1" s="145"/>
      <c r="BR1" s="145"/>
      <c r="BS1" s="145"/>
      <c r="BT1" s="145"/>
      <c r="BU1" s="145"/>
      <c r="BV1" s="145"/>
      <c r="BW1" s="145"/>
      <c r="BX1" s="145"/>
      <c r="BY1" s="145"/>
      <c r="BZ1" s="145"/>
      <c r="CA1" s="145"/>
      <c r="CB1" s="145"/>
      <c r="CC1" s="145"/>
      <c r="CD1" s="145"/>
      <c r="CE1" s="145"/>
      <c r="CF1" s="145"/>
      <c r="CG1" s="145"/>
    </row>
    <row r="2" spans="1:85" ht="24.75" customHeight="1" x14ac:dyDescent="0.2">
      <c r="A2" s="1318"/>
      <c r="B2" s="1318"/>
      <c r="C2" s="1318"/>
      <c r="D2" s="1318"/>
      <c r="E2" s="1318"/>
      <c r="F2" s="1318"/>
      <c r="G2" s="1318"/>
      <c r="H2" s="1318"/>
      <c r="I2" s="1318"/>
      <c r="J2" s="1318"/>
      <c r="K2" s="1318"/>
      <c r="L2" s="1318"/>
      <c r="M2" s="1318"/>
      <c r="N2" s="1318"/>
      <c r="O2" s="1318"/>
      <c r="P2" s="1318"/>
      <c r="Q2" s="1318"/>
      <c r="R2" s="1318"/>
      <c r="S2" s="1318"/>
      <c r="T2" s="1318"/>
      <c r="U2" s="1318"/>
      <c r="V2" s="1318"/>
      <c r="W2" s="1318"/>
      <c r="X2" s="1318"/>
      <c r="Y2" s="1318"/>
      <c r="Z2" s="1318"/>
      <c r="AA2" s="1318"/>
      <c r="AB2" s="1318"/>
      <c r="AC2" s="1318"/>
      <c r="AD2" s="1318"/>
      <c r="AE2" s="1318"/>
      <c r="AF2" s="1318"/>
      <c r="AG2" s="1318"/>
      <c r="AH2" s="1318"/>
      <c r="AI2" s="1318"/>
      <c r="AJ2" s="1318"/>
      <c r="AK2" s="1318"/>
      <c r="AL2" s="1318"/>
      <c r="AM2" s="1318"/>
      <c r="AN2" s="1318"/>
      <c r="AO2" s="1318"/>
      <c r="AP2" s="1318"/>
      <c r="AQ2" s="1318"/>
      <c r="AR2" s="1318"/>
      <c r="AS2" s="1318"/>
      <c r="AT2" s="1318"/>
      <c r="AU2" s="1318"/>
      <c r="AV2" s="1318"/>
      <c r="AW2" s="1318"/>
      <c r="AX2" s="1318"/>
      <c r="AY2" s="1318"/>
      <c r="AZ2" s="1318"/>
      <c r="BA2" s="1318"/>
      <c r="BB2" s="1318"/>
      <c r="BC2" s="1318"/>
      <c r="BD2" s="1318"/>
      <c r="BE2" s="1318"/>
      <c r="BF2" s="1318"/>
      <c r="BG2" s="1318"/>
      <c r="BH2" s="1318"/>
      <c r="BI2" s="1318"/>
      <c r="BJ2" s="1318"/>
      <c r="BK2" s="1318"/>
      <c r="BL2" s="1318"/>
      <c r="BM2" s="1319"/>
      <c r="BN2" s="143" t="s">
        <v>3</v>
      </c>
      <c r="BO2" s="144" t="s">
        <v>4</v>
      </c>
      <c r="BP2" s="145"/>
      <c r="BQ2" s="145"/>
      <c r="BR2" s="145"/>
      <c r="BS2" s="145"/>
      <c r="BT2" s="145"/>
      <c r="BU2" s="145"/>
      <c r="BV2" s="145"/>
      <c r="BW2" s="145"/>
      <c r="BX2" s="145"/>
      <c r="BY2" s="145"/>
      <c r="BZ2" s="145"/>
      <c r="CA2" s="145"/>
      <c r="CB2" s="145"/>
      <c r="CC2" s="145"/>
      <c r="CD2" s="145"/>
      <c r="CE2" s="145"/>
      <c r="CF2" s="145"/>
      <c r="CG2" s="145"/>
    </row>
    <row r="3" spans="1:85" ht="24" customHeight="1" x14ac:dyDescent="0.2">
      <c r="A3" s="1318"/>
      <c r="B3" s="1318"/>
      <c r="C3" s="1318"/>
      <c r="D3" s="1318"/>
      <c r="E3" s="1318"/>
      <c r="F3" s="1318"/>
      <c r="G3" s="1318"/>
      <c r="H3" s="1318"/>
      <c r="I3" s="1318"/>
      <c r="J3" s="1318"/>
      <c r="K3" s="1318"/>
      <c r="L3" s="1318"/>
      <c r="M3" s="1318"/>
      <c r="N3" s="1318"/>
      <c r="O3" s="1318"/>
      <c r="P3" s="1318"/>
      <c r="Q3" s="1318"/>
      <c r="R3" s="1318"/>
      <c r="S3" s="1318"/>
      <c r="T3" s="1318"/>
      <c r="U3" s="1318"/>
      <c r="V3" s="1318"/>
      <c r="W3" s="1318"/>
      <c r="X3" s="1318"/>
      <c r="Y3" s="1318"/>
      <c r="Z3" s="1318"/>
      <c r="AA3" s="1318"/>
      <c r="AB3" s="1318"/>
      <c r="AC3" s="1318"/>
      <c r="AD3" s="1318"/>
      <c r="AE3" s="1318"/>
      <c r="AF3" s="1318"/>
      <c r="AG3" s="1318"/>
      <c r="AH3" s="1318"/>
      <c r="AI3" s="1318"/>
      <c r="AJ3" s="1318"/>
      <c r="AK3" s="1318"/>
      <c r="AL3" s="1318"/>
      <c r="AM3" s="1318"/>
      <c r="AN3" s="1318"/>
      <c r="AO3" s="1318"/>
      <c r="AP3" s="1318"/>
      <c r="AQ3" s="1318"/>
      <c r="AR3" s="1318"/>
      <c r="AS3" s="1318"/>
      <c r="AT3" s="1318"/>
      <c r="AU3" s="1318"/>
      <c r="AV3" s="1318"/>
      <c r="AW3" s="1318"/>
      <c r="AX3" s="1318"/>
      <c r="AY3" s="1318"/>
      <c r="AZ3" s="1318"/>
      <c r="BA3" s="1318"/>
      <c r="BB3" s="1318"/>
      <c r="BC3" s="1318"/>
      <c r="BD3" s="1318"/>
      <c r="BE3" s="1318"/>
      <c r="BF3" s="1318"/>
      <c r="BG3" s="1318"/>
      <c r="BH3" s="1318"/>
      <c r="BI3" s="1318"/>
      <c r="BJ3" s="1318"/>
      <c r="BK3" s="1318"/>
      <c r="BL3" s="1318"/>
      <c r="BM3" s="1319"/>
      <c r="BN3" s="143" t="s">
        <v>5</v>
      </c>
      <c r="BO3" s="147" t="s">
        <v>6</v>
      </c>
      <c r="BP3" s="145"/>
      <c r="BQ3" s="145"/>
      <c r="BR3" s="145"/>
      <c r="BS3" s="145"/>
      <c r="BT3" s="145"/>
      <c r="BU3" s="145"/>
      <c r="BV3" s="145"/>
      <c r="BW3" s="145"/>
      <c r="BX3" s="145"/>
      <c r="BY3" s="145"/>
      <c r="BZ3" s="145"/>
      <c r="CA3" s="145"/>
      <c r="CB3" s="145"/>
      <c r="CC3" s="145"/>
      <c r="CD3" s="145"/>
      <c r="CE3" s="145"/>
      <c r="CF3" s="145"/>
      <c r="CG3" s="145"/>
    </row>
    <row r="4" spans="1:85" ht="28.5" customHeight="1" x14ac:dyDescent="0.2">
      <c r="A4" s="1320"/>
      <c r="B4" s="1320"/>
      <c r="C4" s="1320"/>
      <c r="D4" s="1320"/>
      <c r="E4" s="1320"/>
      <c r="F4" s="1320"/>
      <c r="G4" s="1320"/>
      <c r="H4" s="1320"/>
      <c r="I4" s="1320"/>
      <c r="J4" s="1320"/>
      <c r="K4" s="1320"/>
      <c r="L4" s="1320"/>
      <c r="M4" s="1320"/>
      <c r="N4" s="1320"/>
      <c r="O4" s="1320"/>
      <c r="P4" s="1320"/>
      <c r="Q4" s="1320"/>
      <c r="R4" s="1320"/>
      <c r="S4" s="1320"/>
      <c r="T4" s="1320"/>
      <c r="U4" s="1320"/>
      <c r="V4" s="1320"/>
      <c r="W4" s="1320"/>
      <c r="X4" s="1320"/>
      <c r="Y4" s="1320"/>
      <c r="Z4" s="1320"/>
      <c r="AA4" s="1320"/>
      <c r="AB4" s="1320"/>
      <c r="AC4" s="1320"/>
      <c r="AD4" s="1320"/>
      <c r="AE4" s="1320"/>
      <c r="AF4" s="1320"/>
      <c r="AG4" s="1320"/>
      <c r="AH4" s="1320"/>
      <c r="AI4" s="1320"/>
      <c r="AJ4" s="1320"/>
      <c r="AK4" s="1320"/>
      <c r="AL4" s="1320"/>
      <c r="AM4" s="1320"/>
      <c r="AN4" s="1320"/>
      <c r="AO4" s="1320"/>
      <c r="AP4" s="1320"/>
      <c r="AQ4" s="1320"/>
      <c r="AR4" s="1320"/>
      <c r="AS4" s="1320"/>
      <c r="AT4" s="1320"/>
      <c r="AU4" s="1320"/>
      <c r="AV4" s="1320"/>
      <c r="AW4" s="1320"/>
      <c r="AX4" s="1320"/>
      <c r="AY4" s="1320"/>
      <c r="AZ4" s="1320"/>
      <c r="BA4" s="1320"/>
      <c r="BB4" s="1320"/>
      <c r="BC4" s="1320"/>
      <c r="BD4" s="1320"/>
      <c r="BE4" s="1320"/>
      <c r="BF4" s="1320"/>
      <c r="BG4" s="1320"/>
      <c r="BH4" s="1320"/>
      <c r="BI4" s="1320"/>
      <c r="BJ4" s="1320"/>
      <c r="BK4" s="1320"/>
      <c r="BL4" s="1320"/>
      <c r="BM4" s="1321"/>
      <c r="BN4" s="143" t="s">
        <v>7</v>
      </c>
      <c r="BO4" s="148" t="s">
        <v>8</v>
      </c>
      <c r="BP4" s="145"/>
      <c r="BQ4" s="145"/>
      <c r="BR4" s="145"/>
      <c r="BS4" s="145"/>
      <c r="BT4" s="145"/>
      <c r="BU4" s="145"/>
      <c r="BV4" s="145"/>
      <c r="BW4" s="145"/>
      <c r="BX4" s="145"/>
      <c r="BY4" s="145"/>
      <c r="BZ4" s="145"/>
      <c r="CA4" s="145"/>
      <c r="CB4" s="145"/>
      <c r="CC4" s="145"/>
      <c r="CD4" s="145"/>
      <c r="CE4" s="145"/>
      <c r="CF4" s="145"/>
      <c r="CG4" s="145"/>
    </row>
    <row r="5" spans="1:85" ht="22.5" customHeight="1" x14ac:dyDescent="0.2">
      <c r="A5" s="1231" t="s">
        <v>9</v>
      </c>
      <c r="B5" s="1231"/>
      <c r="C5" s="1231"/>
      <c r="D5" s="1231"/>
      <c r="E5" s="1231"/>
      <c r="F5" s="1231"/>
      <c r="G5" s="1231"/>
      <c r="H5" s="1231"/>
      <c r="I5" s="1231"/>
      <c r="J5" s="1231"/>
      <c r="K5" s="7"/>
      <c r="L5" s="1322" t="s">
        <v>10</v>
      </c>
      <c r="M5" s="1323"/>
      <c r="N5" s="1323"/>
      <c r="O5" s="1323"/>
      <c r="P5" s="1323"/>
      <c r="Q5" s="1323"/>
      <c r="R5" s="1323"/>
      <c r="S5" s="1323"/>
      <c r="T5" s="1323"/>
      <c r="U5" s="1323"/>
      <c r="V5" s="1323"/>
      <c r="W5" s="1323"/>
      <c r="X5" s="1323"/>
      <c r="Y5" s="1323"/>
      <c r="Z5" s="1323"/>
      <c r="AA5" s="1323"/>
      <c r="AB5" s="1323"/>
      <c r="AC5" s="1323"/>
      <c r="AD5" s="1323"/>
      <c r="AE5" s="1323"/>
      <c r="AF5" s="1323"/>
      <c r="AG5" s="1323"/>
      <c r="AH5" s="1323"/>
      <c r="AI5" s="1323"/>
      <c r="AJ5" s="1323"/>
      <c r="AK5" s="1323"/>
      <c r="AL5" s="1323"/>
      <c r="AM5" s="1323"/>
      <c r="AN5" s="1323"/>
      <c r="AO5" s="1323"/>
      <c r="AP5" s="1323"/>
      <c r="AQ5" s="1323"/>
      <c r="AR5" s="1323"/>
      <c r="AS5" s="1323"/>
      <c r="AT5" s="1323"/>
      <c r="AU5" s="1323"/>
      <c r="AV5" s="1323"/>
      <c r="AW5" s="1323"/>
      <c r="AX5" s="1323"/>
      <c r="AY5" s="1323"/>
      <c r="AZ5" s="1323"/>
      <c r="BA5" s="1323"/>
      <c r="BB5" s="1323"/>
      <c r="BC5" s="1323"/>
      <c r="BD5" s="1323"/>
      <c r="BE5" s="1323"/>
      <c r="BF5" s="1323"/>
      <c r="BG5" s="1323"/>
      <c r="BH5" s="1323"/>
      <c r="BI5" s="1323"/>
      <c r="BJ5" s="1323"/>
      <c r="BK5" s="1323"/>
      <c r="BL5" s="1323"/>
      <c r="BM5" s="1323"/>
      <c r="BN5" s="1323"/>
      <c r="BO5" s="1324"/>
      <c r="BP5" s="145"/>
      <c r="BQ5" s="145"/>
      <c r="BR5" s="145"/>
      <c r="BS5" s="145"/>
      <c r="BT5" s="145"/>
      <c r="BU5" s="145"/>
      <c r="BV5" s="145"/>
      <c r="BW5" s="145"/>
      <c r="BX5" s="145"/>
      <c r="BY5" s="145"/>
      <c r="BZ5" s="145"/>
      <c r="CA5" s="145"/>
      <c r="CB5" s="145"/>
      <c r="CC5" s="145"/>
      <c r="CD5" s="145"/>
      <c r="CE5" s="145"/>
      <c r="CF5" s="145"/>
      <c r="CG5" s="145"/>
    </row>
    <row r="6" spans="1:85" ht="22.5" customHeight="1" thickBot="1" x14ac:dyDescent="0.25">
      <c r="A6" s="1232"/>
      <c r="B6" s="1232"/>
      <c r="C6" s="1232"/>
      <c r="D6" s="1232"/>
      <c r="E6" s="1232"/>
      <c r="F6" s="1232"/>
      <c r="G6" s="1232"/>
      <c r="H6" s="1232"/>
      <c r="I6" s="1232"/>
      <c r="J6" s="1232"/>
      <c r="K6" s="8"/>
      <c r="L6" s="149"/>
      <c r="M6" s="150"/>
      <c r="N6" s="151"/>
      <c r="O6" s="151"/>
      <c r="P6" s="151"/>
      <c r="Q6" s="151"/>
      <c r="R6" s="151"/>
      <c r="S6" s="151"/>
      <c r="T6" s="151"/>
      <c r="U6" s="151"/>
      <c r="V6" s="151"/>
      <c r="W6" s="151"/>
      <c r="X6" s="151"/>
      <c r="Y6" s="1322" t="s">
        <v>11</v>
      </c>
      <c r="Z6" s="1323"/>
      <c r="AA6" s="1323"/>
      <c r="AB6" s="1323"/>
      <c r="AC6" s="1323"/>
      <c r="AD6" s="1323"/>
      <c r="AE6" s="1323"/>
      <c r="AF6" s="1323"/>
      <c r="AG6" s="1323"/>
      <c r="AH6" s="1323"/>
      <c r="AI6" s="1323"/>
      <c r="AJ6" s="1323"/>
      <c r="AK6" s="1323"/>
      <c r="AL6" s="1323"/>
      <c r="AM6" s="1323"/>
      <c r="AN6" s="1323"/>
      <c r="AO6" s="1323"/>
      <c r="AP6" s="1323"/>
      <c r="AQ6" s="1323"/>
      <c r="AR6" s="1323"/>
      <c r="AS6" s="1323"/>
      <c r="AT6" s="1323"/>
      <c r="AU6" s="1323"/>
      <c r="AV6" s="1323"/>
      <c r="AW6" s="1323"/>
      <c r="AX6" s="1323"/>
      <c r="AY6" s="1323"/>
      <c r="AZ6" s="1323"/>
      <c r="BA6" s="1324"/>
      <c r="BB6" s="150"/>
      <c r="BC6" s="150"/>
      <c r="BD6" s="150"/>
      <c r="BE6" s="150"/>
      <c r="BF6" s="150"/>
      <c r="BG6" s="150"/>
      <c r="BH6" s="150"/>
      <c r="BI6" s="150"/>
      <c r="BJ6" s="150"/>
      <c r="BK6" s="150"/>
      <c r="BL6" s="150"/>
      <c r="BM6" s="150"/>
      <c r="BN6" s="150"/>
      <c r="BO6" s="152"/>
      <c r="BP6" s="145"/>
      <c r="BQ6" s="145"/>
      <c r="BR6" s="145"/>
      <c r="BS6" s="145"/>
      <c r="BT6" s="145"/>
      <c r="BU6" s="145"/>
      <c r="BV6" s="145"/>
      <c r="BW6" s="145"/>
      <c r="BX6" s="145"/>
      <c r="BY6" s="145"/>
      <c r="BZ6" s="145"/>
      <c r="CA6" s="145"/>
      <c r="CB6" s="145"/>
      <c r="CC6" s="145"/>
      <c r="CD6" s="145"/>
      <c r="CE6" s="145"/>
      <c r="CF6" s="145"/>
      <c r="CG6" s="145"/>
    </row>
    <row r="7" spans="1:85" s="4" customFormat="1" ht="43.5" customHeight="1" x14ac:dyDescent="0.2">
      <c r="A7" s="1234" t="s">
        <v>12</v>
      </c>
      <c r="B7" s="1325" t="s">
        <v>13</v>
      </c>
      <c r="C7" s="1325"/>
      <c r="D7" s="1325" t="s">
        <v>12</v>
      </c>
      <c r="E7" s="1325" t="s">
        <v>14</v>
      </c>
      <c r="F7" s="1325"/>
      <c r="G7" s="1326" t="s">
        <v>12</v>
      </c>
      <c r="H7" s="1325" t="s">
        <v>15</v>
      </c>
      <c r="I7" s="1325" t="s">
        <v>16</v>
      </c>
      <c r="J7" s="1330" t="s">
        <v>17</v>
      </c>
      <c r="K7" s="1331"/>
      <c r="L7" s="1325" t="s">
        <v>18</v>
      </c>
      <c r="M7" s="1325" t="s">
        <v>19</v>
      </c>
      <c r="N7" s="1325" t="s">
        <v>10</v>
      </c>
      <c r="O7" s="1334" t="s">
        <v>20</v>
      </c>
      <c r="P7" s="1329" t="s">
        <v>21</v>
      </c>
      <c r="Q7" s="1325" t="s">
        <v>22</v>
      </c>
      <c r="R7" s="1325" t="s">
        <v>23</v>
      </c>
      <c r="S7" s="1325" t="s">
        <v>24</v>
      </c>
      <c r="T7" s="1329" t="s">
        <v>21</v>
      </c>
      <c r="U7" s="1329" t="s">
        <v>25</v>
      </c>
      <c r="V7" s="1329" t="s">
        <v>26</v>
      </c>
      <c r="W7" s="1335" t="s">
        <v>12</v>
      </c>
      <c r="X7" s="1325" t="s">
        <v>27</v>
      </c>
      <c r="Y7" s="1336" t="s">
        <v>28</v>
      </c>
      <c r="Z7" s="1337"/>
      <c r="AA7" s="1337"/>
      <c r="AB7" s="1338"/>
      <c r="AC7" s="1339" t="s">
        <v>29</v>
      </c>
      <c r="AD7" s="1340"/>
      <c r="AE7" s="1340"/>
      <c r="AF7" s="1340"/>
      <c r="AG7" s="1340"/>
      <c r="AH7" s="1340"/>
      <c r="AI7" s="1340"/>
      <c r="AJ7" s="1341"/>
      <c r="AK7" s="1367" t="s">
        <v>30</v>
      </c>
      <c r="AL7" s="1368"/>
      <c r="AM7" s="1368"/>
      <c r="AN7" s="1368"/>
      <c r="AO7" s="1368"/>
      <c r="AP7" s="1368"/>
      <c r="AQ7" s="1368"/>
      <c r="AR7" s="1368"/>
      <c r="AS7" s="1368"/>
      <c r="AT7" s="1368"/>
      <c r="AU7" s="1368"/>
      <c r="AV7" s="1369"/>
      <c r="AW7" s="1364" t="s">
        <v>31</v>
      </c>
      <c r="AX7" s="1365"/>
      <c r="AY7" s="1365"/>
      <c r="AZ7" s="1365"/>
      <c r="BA7" s="1365"/>
      <c r="BB7" s="1366"/>
      <c r="BC7" s="1346" t="s">
        <v>32</v>
      </c>
      <c r="BD7" s="1347"/>
      <c r="BE7" s="1350" t="s">
        <v>33</v>
      </c>
      <c r="BF7" s="1351"/>
      <c r="BG7" s="1351"/>
      <c r="BH7" s="1351"/>
      <c r="BI7" s="1351"/>
      <c r="BJ7" s="1352"/>
      <c r="BK7" s="1353" t="s">
        <v>34</v>
      </c>
      <c r="BL7" s="1353"/>
      <c r="BM7" s="1354" t="s">
        <v>35</v>
      </c>
      <c r="BN7" s="1355"/>
      <c r="BO7" s="1358" t="s">
        <v>36</v>
      </c>
      <c r="BP7" s="3"/>
      <c r="BQ7" s="3"/>
      <c r="BR7" s="3"/>
      <c r="BS7" s="3"/>
      <c r="BT7" s="3"/>
      <c r="BU7" s="3"/>
      <c r="BV7" s="3"/>
      <c r="BW7" s="3"/>
      <c r="BX7" s="3"/>
      <c r="BY7" s="3"/>
      <c r="BZ7" s="3"/>
      <c r="CA7" s="3"/>
      <c r="CB7" s="3"/>
      <c r="CC7" s="3"/>
      <c r="CD7" s="3"/>
      <c r="CE7" s="3"/>
      <c r="CF7" s="3"/>
    </row>
    <row r="8" spans="1:85" s="4" customFormat="1" ht="120.75" customHeight="1" x14ac:dyDescent="0.2">
      <c r="A8" s="1235"/>
      <c r="B8" s="1325"/>
      <c r="C8" s="1325"/>
      <c r="D8" s="1325"/>
      <c r="E8" s="1325"/>
      <c r="F8" s="1325"/>
      <c r="G8" s="1327"/>
      <c r="H8" s="1325"/>
      <c r="I8" s="1325"/>
      <c r="J8" s="1332"/>
      <c r="K8" s="1333"/>
      <c r="L8" s="1325"/>
      <c r="M8" s="1325"/>
      <c r="N8" s="1325"/>
      <c r="O8" s="1334"/>
      <c r="P8" s="1329"/>
      <c r="Q8" s="1325"/>
      <c r="R8" s="1325"/>
      <c r="S8" s="1325"/>
      <c r="T8" s="1329"/>
      <c r="U8" s="1329"/>
      <c r="V8" s="1329"/>
      <c r="W8" s="1335"/>
      <c r="X8" s="1325"/>
      <c r="Y8" s="1342" t="s">
        <v>37</v>
      </c>
      <c r="Z8" s="1343"/>
      <c r="AA8" s="1344" t="s">
        <v>38</v>
      </c>
      <c r="AB8" s="1345"/>
      <c r="AC8" s="1342" t="s">
        <v>39</v>
      </c>
      <c r="AD8" s="1343"/>
      <c r="AE8" s="1342" t="s">
        <v>40</v>
      </c>
      <c r="AF8" s="1343"/>
      <c r="AG8" s="1342" t="s">
        <v>41</v>
      </c>
      <c r="AH8" s="1343"/>
      <c r="AI8" s="1342" t="s">
        <v>42</v>
      </c>
      <c r="AJ8" s="1343"/>
      <c r="AK8" s="1342" t="s">
        <v>43</v>
      </c>
      <c r="AL8" s="1343"/>
      <c r="AM8" s="1342" t="s">
        <v>44</v>
      </c>
      <c r="AN8" s="1343"/>
      <c r="AO8" s="1342" t="s">
        <v>45</v>
      </c>
      <c r="AP8" s="1343"/>
      <c r="AQ8" s="1342" t="s">
        <v>46</v>
      </c>
      <c r="AR8" s="1343"/>
      <c r="AS8" s="1342" t="s">
        <v>47</v>
      </c>
      <c r="AT8" s="1343"/>
      <c r="AU8" s="1342" t="s">
        <v>48</v>
      </c>
      <c r="AV8" s="1343"/>
      <c r="AW8" s="1342" t="s">
        <v>49</v>
      </c>
      <c r="AX8" s="1343"/>
      <c r="AY8" s="1342" t="s">
        <v>50</v>
      </c>
      <c r="AZ8" s="1343"/>
      <c r="BA8" s="1382" t="s">
        <v>51</v>
      </c>
      <c r="BB8" s="1382"/>
      <c r="BC8" s="1348"/>
      <c r="BD8" s="1349"/>
      <c r="BE8" s="1362" t="s">
        <v>52</v>
      </c>
      <c r="BF8" s="1361" t="s">
        <v>53</v>
      </c>
      <c r="BG8" s="1362" t="s">
        <v>54</v>
      </c>
      <c r="BH8" s="1363" t="s">
        <v>55</v>
      </c>
      <c r="BI8" s="1362" t="s">
        <v>56</v>
      </c>
      <c r="BJ8" s="1372" t="s">
        <v>57</v>
      </c>
      <c r="BK8" s="1353"/>
      <c r="BL8" s="1353"/>
      <c r="BM8" s="1356"/>
      <c r="BN8" s="1357"/>
      <c r="BO8" s="1359"/>
      <c r="BP8" s="3"/>
      <c r="BQ8" s="3"/>
      <c r="BR8" s="3"/>
      <c r="BS8" s="3"/>
      <c r="BT8" s="3"/>
      <c r="BU8" s="3"/>
      <c r="BV8" s="3"/>
      <c r="BW8" s="3"/>
      <c r="BX8" s="3"/>
      <c r="BY8" s="3"/>
      <c r="BZ8" s="3"/>
      <c r="CA8" s="3"/>
      <c r="CB8" s="3"/>
      <c r="CC8" s="3"/>
      <c r="CD8" s="3"/>
      <c r="CE8" s="3"/>
      <c r="CF8" s="3"/>
    </row>
    <row r="9" spans="1:85" s="4" customFormat="1" ht="21.75" customHeight="1" x14ac:dyDescent="0.2">
      <c r="A9" s="1236"/>
      <c r="B9" s="1325"/>
      <c r="C9" s="1325"/>
      <c r="D9" s="1325"/>
      <c r="E9" s="1325"/>
      <c r="F9" s="1325"/>
      <c r="G9" s="1328"/>
      <c r="H9" s="1325"/>
      <c r="I9" s="1325"/>
      <c r="J9" s="153" t="s">
        <v>58</v>
      </c>
      <c r="K9" s="153" t="s">
        <v>59</v>
      </c>
      <c r="L9" s="1325"/>
      <c r="M9" s="1325"/>
      <c r="N9" s="1325"/>
      <c r="O9" s="1334"/>
      <c r="P9" s="1329"/>
      <c r="Q9" s="1325"/>
      <c r="R9" s="1325"/>
      <c r="S9" s="1325"/>
      <c r="T9" s="1329"/>
      <c r="U9" s="1329"/>
      <c r="V9" s="1329"/>
      <c r="W9" s="1335"/>
      <c r="X9" s="1325"/>
      <c r="Y9" s="153" t="s">
        <v>58</v>
      </c>
      <c r="Z9" s="153" t="s">
        <v>60</v>
      </c>
      <c r="AA9" s="153" t="s">
        <v>58</v>
      </c>
      <c r="AB9" s="153" t="s">
        <v>60</v>
      </c>
      <c r="AC9" s="153" t="s">
        <v>58</v>
      </c>
      <c r="AD9" s="153" t="s">
        <v>60</v>
      </c>
      <c r="AE9" s="153" t="s">
        <v>58</v>
      </c>
      <c r="AF9" s="153" t="s">
        <v>60</v>
      </c>
      <c r="AG9" s="153" t="s">
        <v>58</v>
      </c>
      <c r="AH9" s="153" t="s">
        <v>60</v>
      </c>
      <c r="AI9" s="153" t="s">
        <v>58</v>
      </c>
      <c r="AJ9" s="153" t="s">
        <v>60</v>
      </c>
      <c r="AK9" s="153" t="s">
        <v>58</v>
      </c>
      <c r="AL9" s="153" t="s">
        <v>60</v>
      </c>
      <c r="AM9" s="153" t="s">
        <v>58</v>
      </c>
      <c r="AN9" s="153" t="s">
        <v>60</v>
      </c>
      <c r="AO9" s="153" t="s">
        <v>58</v>
      </c>
      <c r="AP9" s="153" t="s">
        <v>60</v>
      </c>
      <c r="AQ9" s="153" t="s">
        <v>58</v>
      </c>
      <c r="AR9" s="153" t="s">
        <v>60</v>
      </c>
      <c r="AS9" s="153" t="s">
        <v>58</v>
      </c>
      <c r="AT9" s="153" t="s">
        <v>60</v>
      </c>
      <c r="AU9" s="153" t="s">
        <v>58</v>
      </c>
      <c r="AV9" s="153" t="s">
        <v>60</v>
      </c>
      <c r="AW9" s="153" t="s">
        <v>58</v>
      </c>
      <c r="AX9" s="153" t="s">
        <v>60</v>
      </c>
      <c r="AY9" s="153" t="s">
        <v>58</v>
      </c>
      <c r="AZ9" s="153" t="s">
        <v>60</v>
      </c>
      <c r="BA9" s="153" t="s">
        <v>58</v>
      </c>
      <c r="BB9" s="153" t="s">
        <v>60</v>
      </c>
      <c r="BC9" s="153" t="s">
        <v>58</v>
      </c>
      <c r="BD9" s="153" t="s">
        <v>60</v>
      </c>
      <c r="BE9" s="1362"/>
      <c r="BF9" s="1361"/>
      <c r="BG9" s="1362"/>
      <c r="BH9" s="1363"/>
      <c r="BI9" s="1362"/>
      <c r="BJ9" s="1373"/>
      <c r="BK9" s="154" t="s">
        <v>58</v>
      </c>
      <c r="BL9" s="154" t="s">
        <v>60</v>
      </c>
      <c r="BM9" s="154" t="s">
        <v>58</v>
      </c>
      <c r="BN9" s="154" t="s">
        <v>60</v>
      </c>
      <c r="BO9" s="1360"/>
      <c r="BP9" s="3"/>
      <c r="BQ9" s="3"/>
      <c r="BR9" s="3"/>
      <c r="BS9" s="3"/>
      <c r="BT9" s="3"/>
      <c r="BU9" s="3"/>
      <c r="BV9" s="3"/>
      <c r="BW9" s="3"/>
      <c r="BX9" s="3"/>
      <c r="BY9" s="3"/>
      <c r="BZ9" s="3"/>
      <c r="CA9" s="3"/>
      <c r="CB9" s="3"/>
      <c r="CC9" s="3"/>
      <c r="CD9" s="3"/>
      <c r="CE9" s="3"/>
      <c r="CF9" s="3"/>
    </row>
    <row r="10" spans="1:85" s="91" customFormat="1" ht="15.75" x14ac:dyDescent="0.2">
      <c r="A10" s="155">
        <v>4</v>
      </c>
      <c r="B10" s="156" t="s">
        <v>132</v>
      </c>
      <c r="C10" s="157"/>
      <c r="D10" s="158"/>
      <c r="E10" s="158"/>
      <c r="F10" s="158"/>
      <c r="G10" s="158"/>
      <c r="H10" s="159"/>
      <c r="I10" s="159"/>
      <c r="J10" s="158"/>
      <c r="K10" s="158"/>
      <c r="L10" s="160"/>
      <c r="M10" s="160"/>
      <c r="N10" s="161"/>
      <c r="O10" s="162"/>
      <c r="P10" s="163"/>
      <c r="Q10" s="161"/>
      <c r="R10" s="161"/>
      <c r="S10" s="161"/>
      <c r="T10" s="164"/>
      <c r="U10" s="164"/>
      <c r="V10" s="164"/>
      <c r="W10" s="165"/>
      <c r="X10" s="160"/>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66"/>
      <c r="BL10" s="166"/>
      <c r="BM10" s="166"/>
      <c r="BN10" s="166"/>
      <c r="BO10" s="161"/>
      <c r="BP10" s="3"/>
      <c r="BQ10" s="3"/>
      <c r="BR10" s="3"/>
      <c r="BS10" s="3"/>
      <c r="BT10" s="3"/>
      <c r="BU10" s="3"/>
      <c r="BV10" s="3"/>
      <c r="BW10" s="3"/>
      <c r="BX10" s="3"/>
      <c r="BY10" s="3"/>
      <c r="BZ10" s="3"/>
      <c r="CA10" s="3"/>
      <c r="CB10" s="3"/>
      <c r="CC10" s="3"/>
      <c r="CD10" s="3"/>
      <c r="CE10" s="3"/>
      <c r="CF10" s="3"/>
      <c r="CG10" s="3"/>
    </row>
    <row r="11" spans="1:85" s="3" customFormat="1" ht="30" customHeight="1" x14ac:dyDescent="0.2">
      <c r="A11" s="167"/>
      <c r="B11" s="1374"/>
      <c r="C11" s="1375"/>
      <c r="D11" s="168">
        <v>45</v>
      </c>
      <c r="E11" s="1376" t="s">
        <v>75</v>
      </c>
      <c r="F11" s="1376"/>
      <c r="G11" s="1377"/>
      <c r="H11" s="1377"/>
      <c r="I11" s="1377"/>
      <c r="J11" s="1377"/>
      <c r="K11" s="1377"/>
      <c r="L11" s="1377"/>
      <c r="M11" s="1377"/>
      <c r="N11" s="169"/>
      <c r="O11" s="170"/>
      <c r="P11" s="171"/>
      <c r="Q11" s="169"/>
      <c r="R11" s="169"/>
      <c r="S11" s="169"/>
      <c r="T11" s="172"/>
      <c r="U11" s="172"/>
      <c r="V11" s="172"/>
      <c r="W11" s="173"/>
      <c r="X11" s="174"/>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175"/>
      <c r="BK11" s="176"/>
      <c r="BL11" s="176"/>
      <c r="BM11" s="176"/>
      <c r="BN11" s="176"/>
      <c r="BO11" s="169"/>
      <c r="BP11" s="177"/>
    </row>
    <row r="12" spans="1:85" s="3" customFormat="1" ht="261" customHeight="1" x14ac:dyDescent="0.2">
      <c r="A12" s="28"/>
      <c r="B12" s="1378"/>
      <c r="C12" s="1378"/>
      <c r="D12" s="60"/>
      <c r="E12" s="1379"/>
      <c r="F12" s="1380"/>
      <c r="G12" s="179" t="s">
        <v>62</v>
      </c>
      <c r="H12" s="180" t="s">
        <v>133</v>
      </c>
      <c r="I12" s="181" t="s">
        <v>134</v>
      </c>
      <c r="J12" s="34">
        <v>1</v>
      </c>
      <c r="K12" s="34"/>
      <c r="L12" s="34" t="s">
        <v>135</v>
      </c>
      <c r="M12" s="182" t="s">
        <v>136</v>
      </c>
      <c r="N12" s="69" t="s">
        <v>137</v>
      </c>
      <c r="O12" s="38">
        <f>+T12/P12</f>
        <v>1</v>
      </c>
      <c r="P12" s="183">
        <f>+T12</f>
        <v>1720270000</v>
      </c>
      <c r="Q12" s="40" t="s">
        <v>138</v>
      </c>
      <c r="R12" s="184" t="s">
        <v>139</v>
      </c>
      <c r="S12" s="180" t="s">
        <v>133</v>
      </c>
      <c r="T12" s="185">
        <v>1720270000</v>
      </c>
      <c r="U12" s="185">
        <v>642052535</v>
      </c>
      <c r="V12" s="185">
        <v>281105901</v>
      </c>
      <c r="W12" s="46" t="s">
        <v>140</v>
      </c>
      <c r="X12" s="34" t="s">
        <v>141</v>
      </c>
      <c r="Y12" s="186">
        <v>295972</v>
      </c>
      <c r="Z12" s="186"/>
      <c r="AA12" s="186">
        <v>285580</v>
      </c>
      <c r="AB12" s="186"/>
      <c r="AC12" s="186">
        <v>135545</v>
      </c>
      <c r="AD12" s="186"/>
      <c r="AE12" s="186">
        <v>44254</v>
      </c>
      <c r="AF12" s="186"/>
      <c r="AG12" s="186">
        <v>309146</v>
      </c>
      <c r="AH12" s="186"/>
      <c r="AI12" s="186">
        <v>92607</v>
      </c>
      <c r="AJ12" s="186"/>
      <c r="AK12" s="187">
        <v>2145</v>
      </c>
      <c r="AL12" s="187"/>
      <c r="AM12" s="187">
        <v>12718</v>
      </c>
      <c r="AN12" s="187"/>
      <c r="AO12" s="187">
        <v>26</v>
      </c>
      <c r="AP12" s="187"/>
      <c r="AQ12" s="187">
        <v>37</v>
      </c>
      <c r="AR12" s="187"/>
      <c r="AS12" s="187">
        <v>0</v>
      </c>
      <c r="AT12" s="187"/>
      <c r="AU12" s="187">
        <v>0</v>
      </c>
      <c r="AV12" s="187"/>
      <c r="AW12" s="187">
        <v>44350</v>
      </c>
      <c r="AX12" s="187"/>
      <c r="AY12" s="187">
        <v>21944</v>
      </c>
      <c r="AZ12" s="187"/>
      <c r="BA12" s="187">
        <v>75687</v>
      </c>
      <c r="BB12" s="187"/>
      <c r="BC12" s="187">
        <f>+Y12+AA12</f>
        <v>581552</v>
      </c>
      <c r="BD12" s="187"/>
      <c r="BE12" s="187">
        <v>35</v>
      </c>
      <c r="BF12" s="188">
        <f>U12</f>
        <v>642052535</v>
      </c>
      <c r="BG12" s="188">
        <f>V12</f>
        <v>281105901</v>
      </c>
      <c r="BH12" s="38">
        <f t="shared" ref="BH12:BH14" si="0">BG12/BF12</f>
        <v>0.43782383165888444</v>
      </c>
      <c r="BI12" s="187" t="s">
        <v>72</v>
      </c>
      <c r="BJ12" s="187" t="s">
        <v>142</v>
      </c>
      <c r="BK12" s="189">
        <v>43857</v>
      </c>
      <c r="BL12" s="189">
        <v>43857</v>
      </c>
      <c r="BM12" s="190">
        <v>44195</v>
      </c>
      <c r="BN12" s="190"/>
      <c r="BO12" s="46" t="s">
        <v>143</v>
      </c>
      <c r="BP12" s="191"/>
    </row>
    <row r="13" spans="1:85" s="3" customFormat="1" ht="195.75" customHeight="1" x14ac:dyDescent="0.2">
      <c r="A13" s="28"/>
      <c r="B13" s="192"/>
      <c r="C13" s="192"/>
      <c r="D13" s="30"/>
      <c r="E13" s="65"/>
      <c r="F13" s="66"/>
      <c r="G13" s="193" t="s">
        <v>62</v>
      </c>
      <c r="H13" s="194" t="s">
        <v>144</v>
      </c>
      <c r="I13" s="195" t="s">
        <v>145</v>
      </c>
      <c r="J13" s="196">
        <v>1</v>
      </c>
      <c r="K13" s="196"/>
      <c r="L13" s="196" t="s">
        <v>146</v>
      </c>
      <c r="M13" s="197" t="s">
        <v>147</v>
      </c>
      <c r="N13" s="198" t="s">
        <v>148</v>
      </c>
      <c r="O13" s="199">
        <f>+T13/P13</f>
        <v>1</v>
      </c>
      <c r="P13" s="200">
        <f>+T13</f>
        <v>570864000</v>
      </c>
      <c r="Q13" s="201" t="s">
        <v>149</v>
      </c>
      <c r="R13" s="202" t="s">
        <v>150</v>
      </c>
      <c r="S13" s="194" t="s">
        <v>144</v>
      </c>
      <c r="T13" s="203">
        <v>570864000</v>
      </c>
      <c r="U13" s="203">
        <v>143466664</v>
      </c>
      <c r="V13" s="203">
        <v>131466664</v>
      </c>
      <c r="W13" s="204" t="s">
        <v>70</v>
      </c>
      <c r="X13" s="196" t="s">
        <v>151</v>
      </c>
      <c r="Y13" s="186">
        <v>295972</v>
      </c>
      <c r="Z13" s="186"/>
      <c r="AA13" s="186">
        <v>285580</v>
      </c>
      <c r="AB13" s="186"/>
      <c r="AC13" s="186">
        <v>135545</v>
      </c>
      <c r="AD13" s="186"/>
      <c r="AE13" s="186">
        <v>44254</v>
      </c>
      <c r="AF13" s="186"/>
      <c r="AG13" s="186">
        <v>309146</v>
      </c>
      <c r="AH13" s="186"/>
      <c r="AI13" s="186">
        <v>92607</v>
      </c>
      <c r="AJ13" s="186"/>
      <c r="AK13" s="186">
        <v>2145</v>
      </c>
      <c r="AL13" s="186"/>
      <c r="AM13" s="186">
        <v>12718</v>
      </c>
      <c r="AN13" s="186"/>
      <c r="AO13" s="186">
        <v>26</v>
      </c>
      <c r="AP13" s="186"/>
      <c r="AQ13" s="186">
        <v>37</v>
      </c>
      <c r="AR13" s="186"/>
      <c r="AS13" s="186">
        <v>0</v>
      </c>
      <c r="AT13" s="186"/>
      <c r="AU13" s="186">
        <v>0</v>
      </c>
      <c r="AV13" s="186"/>
      <c r="AW13" s="186">
        <v>44350</v>
      </c>
      <c r="AX13" s="186"/>
      <c r="AY13" s="186">
        <v>21944</v>
      </c>
      <c r="AZ13" s="186"/>
      <c r="BA13" s="186">
        <v>75687</v>
      </c>
      <c r="BB13" s="186"/>
      <c r="BC13" s="186">
        <f>+Y13+AA13</f>
        <v>581552</v>
      </c>
      <c r="BD13" s="186"/>
      <c r="BE13" s="186">
        <v>9</v>
      </c>
      <c r="BF13" s="188">
        <f>U13</f>
        <v>143466664</v>
      </c>
      <c r="BG13" s="188">
        <f>V13</f>
        <v>131466664</v>
      </c>
      <c r="BH13" s="38">
        <f t="shared" si="0"/>
        <v>0.91635687576871516</v>
      </c>
      <c r="BI13" s="186" t="s">
        <v>72</v>
      </c>
      <c r="BJ13" s="205" t="s">
        <v>152</v>
      </c>
      <c r="BK13" s="189">
        <v>43857</v>
      </c>
      <c r="BL13" s="206">
        <v>43857</v>
      </c>
      <c r="BM13" s="207">
        <v>44195</v>
      </c>
      <c r="BN13" s="207"/>
      <c r="BO13" s="204" t="s">
        <v>143</v>
      </c>
      <c r="BP13" s="191"/>
    </row>
    <row r="14" spans="1:85" s="221" customFormat="1" ht="15.75" x14ac:dyDescent="0.2">
      <c r="A14" s="208"/>
      <c r="B14" s="1381"/>
      <c r="C14" s="1381"/>
      <c r="D14" s="209"/>
      <c r="E14" s="210"/>
      <c r="F14" s="211"/>
      <c r="G14" s="211"/>
      <c r="H14" s="212"/>
      <c r="I14" s="213"/>
      <c r="J14" s="212"/>
      <c r="K14" s="212"/>
      <c r="L14" s="214"/>
      <c r="M14" s="214"/>
      <c r="N14" s="118"/>
      <c r="O14" s="215"/>
      <c r="P14" s="216">
        <f>SUM(P12:P13)</f>
        <v>2291134000</v>
      </c>
      <c r="Q14" s="118"/>
      <c r="R14" s="118"/>
      <c r="S14" s="118"/>
      <c r="T14" s="216">
        <f>SUM(T12:T13)</f>
        <v>2291134000</v>
      </c>
      <c r="U14" s="216">
        <f t="shared" ref="U14:V14" si="1">SUM(U12:U13)</f>
        <v>785519199</v>
      </c>
      <c r="V14" s="216">
        <f t="shared" si="1"/>
        <v>412572565</v>
      </c>
      <c r="W14" s="217"/>
      <c r="X14" s="218"/>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c r="BA14" s="212"/>
      <c r="BB14" s="212"/>
      <c r="BC14" s="212"/>
      <c r="BD14" s="212"/>
      <c r="BE14" s="219">
        <f t="shared" ref="BE14:BG14" si="2">SUM(BE12:BE13)</f>
        <v>44</v>
      </c>
      <c r="BF14" s="216">
        <f t="shared" si="2"/>
        <v>785519199</v>
      </c>
      <c r="BG14" s="216">
        <f t="shared" si="2"/>
        <v>412572565</v>
      </c>
      <c r="BH14" s="121">
        <f t="shared" si="0"/>
        <v>0.52522276416059943</v>
      </c>
      <c r="BI14" s="212"/>
      <c r="BJ14" s="212"/>
      <c r="BK14" s="48"/>
      <c r="BL14" s="48"/>
      <c r="BM14" s="220"/>
      <c r="BN14" s="220"/>
      <c r="BO14" s="118"/>
    </row>
    <row r="15" spans="1:85" ht="14.25" x14ac:dyDescent="0.2">
      <c r="T15" s="228"/>
      <c r="U15" s="228"/>
      <c r="V15" s="228"/>
    </row>
    <row r="16" spans="1:85" ht="14.25" x14ac:dyDescent="0.2">
      <c r="P16" s="234"/>
    </row>
    <row r="17" spans="1:22" ht="27" customHeight="1" x14ac:dyDescent="0.2">
      <c r="C17" s="236"/>
      <c r="D17" s="236"/>
      <c r="E17" s="236"/>
      <c r="F17" s="236"/>
      <c r="G17" s="236"/>
    </row>
    <row r="18" spans="1:22" ht="27" customHeight="1" x14ac:dyDescent="0.25">
      <c r="C18" s="1370" t="s">
        <v>153</v>
      </c>
      <c r="D18" s="1370"/>
      <c r="E18" s="1370"/>
      <c r="F18" s="1370"/>
      <c r="G18" s="1370"/>
    </row>
    <row r="19" spans="1:22" ht="36.75" customHeight="1" x14ac:dyDescent="0.25">
      <c r="C19" s="1371" t="s">
        <v>154</v>
      </c>
      <c r="D19" s="1371"/>
      <c r="E19" s="1371"/>
      <c r="F19" s="1371"/>
      <c r="G19" s="1371"/>
      <c r="P19" s="234"/>
      <c r="T19" s="238"/>
      <c r="U19" s="238"/>
      <c r="V19" s="238"/>
    </row>
    <row r="20" spans="1:22" ht="27" customHeight="1" x14ac:dyDescent="0.2">
      <c r="C20" s="145"/>
      <c r="D20" s="224"/>
      <c r="E20" s="225"/>
      <c r="F20" s="226"/>
      <c r="G20" s="227"/>
    </row>
    <row r="21" spans="1:22" ht="27" customHeight="1" x14ac:dyDescent="0.2">
      <c r="A21" s="222" t="s">
        <v>155</v>
      </c>
    </row>
  </sheetData>
  <sheetProtection password="A60F" sheet="1" objects="1" scenarios="1"/>
  <mergeCells count="62">
    <mergeCell ref="C18:G18"/>
    <mergeCell ref="C19:G19"/>
    <mergeCell ref="BJ8:BJ9"/>
    <mergeCell ref="B11:C11"/>
    <mergeCell ref="E11:M11"/>
    <mergeCell ref="B12:C12"/>
    <mergeCell ref="E12:F12"/>
    <mergeCell ref="B14:C14"/>
    <mergeCell ref="AS8:AT8"/>
    <mergeCell ref="AU8:AV8"/>
    <mergeCell ref="AW8:AX8"/>
    <mergeCell ref="AY8:AZ8"/>
    <mergeCell ref="BA8:BB8"/>
    <mergeCell ref="BE8:BE9"/>
    <mergeCell ref="AG8:AH8"/>
    <mergeCell ref="AI8:AJ8"/>
    <mergeCell ref="AK8:AL8"/>
    <mergeCell ref="AM8:AN8"/>
    <mergeCell ref="AO8:AP8"/>
    <mergeCell ref="AQ8:AR8"/>
    <mergeCell ref="AW7:BB7"/>
    <mergeCell ref="AK7:AV7"/>
    <mergeCell ref="BC7:BD8"/>
    <mergeCell ref="BE7:BJ7"/>
    <mergeCell ref="BK7:BL8"/>
    <mergeCell ref="BM7:BN8"/>
    <mergeCell ref="BO7:BO9"/>
    <mergeCell ref="BF8:BF9"/>
    <mergeCell ref="BG8:BG9"/>
    <mergeCell ref="BH8:BH9"/>
    <mergeCell ref="BI8:BI9"/>
    <mergeCell ref="AC7:AJ7"/>
    <mergeCell ref="Y8:Z8"/>
    <mergeCell ref="AA8:AB8"/>
    <mergeCell ref="AC8:AD8"/>
    <mergeCell ref="AE8:AF8"/>
    <mergeCell ref="T7:T9"/>
    <mergeCell ref="V7:V9"/>
    <mergeCell ref="W7:W9"/>
    <mergeCell ref="X7:X9"/>
    <mergeCell ref="Y7:AB7"/>
    <mergeCell ref="O7:O9"/>
    <mergeCell ref="P7:P9"/>
    <mergeCell ref="Q7:Q9"/>
    <mergeCell ref="R7:R9"/>
    <mergeCell ref="S7:S9"/>
    <mergeCell ref="A1:BM4"/>
    <mergeCell ref="A5:J6"/>
    <mergeCell ref="L5:BO5"/>
    <mergeCell ref="Y6:BA6"/>
    <mergeCell ref="A7:A9"/>
    <mergeCell ref="B7:C9"/>
    <mergeCell ref="D7:D9"/>
    <mergeCell ref="E7:F9"/>
    <mergeCell ref="G7:G9"/>
    <mergeCell ref="H7:H9"/>
    <mergeCell ref="U7:U9"/>
    <mergeCell ref="I7:I9"/>
    <mergeCell ref="J7:K8"/>
    <mergeCell ref="L7:L9"/>
    <mergeCell ref="M7:M9"/>
    <mergeCell ref="N7:N9"/>
  </mergeCells>
  <pageMargins left="0.31496062992125984" right="0.31496062992125984" top="0.74803149606299213" bottom="0.74803149606299213" header="0.31496062992125984" footer="0.31496062992125984"/>
  <pageSetup scale="50" orientation="landscape"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2060"/>
  </sheetPr>
  <dimension ref="A1:CG55"/>
  <sheetViews>
    <sheetView showGridLines="0" zoomScale="69" zoomScaleNormal="69" workbookViewId="0">
      <selection activeCell="I14" sqref="I14"/>
    </sheetView>
  </sheetViews>
  <sheetFormatPr baseColWidth="10" defaultColWidth="11.42578125" defaultRowHeight="27" customHeight="1" x14ac:dyDescent="0.2"/>
  <cols>
    <col min="1" max="1" width="13.140625" style="222" customWidth="1"/>
    <col min="2" max="2" width="4" style="146" customWidth="1"/>
    <col min="3" max="3" width="14.5703125" style="146" customWidth="1"/>
    <col min="4" max="4" width="13" style="146" customWidth="1"/>
    <col min="5" max="5" width="10" style="146" customWidth="1"/>
    <col min="6" max="6" width="7.42578125" style="146" customWidth="1"/>
    <col min="7" max="7" width="18" style="146" customWidth="1"/>
    <col min="8" max="8" width="48.42578125" style="225" customWidth="1"/>
    <col min="9" max="9" width="37.28515625" style="145" customWidth="1"/>
    <col min="10" max="10" width="21.140625" style="230" customWidth="1"/>
    <col min="11" max="11" width="21.140625" style="373" customWidth="1"/>
    <col min="12" max="12" width="33" style="224" customWidth="1"/>
    <col min="13" max="13" width="21.85546875" style="224" customWidth="1"/>
    <col min="14" max="14" width="41.5703125" style="225" customWidth="1"/>
    <col min="15" max="15" width="15.5703125" style="226" customWidth="1"/>
    <col min="16" max="16" width="29.85546875" style="227" customWidth="1"/>
    <col min="17" max="17" width="39" style="223" customWidth="1"/>
    <col min="18" max="18" width="47" style="223" customWidth="1"/>
    <col min="19" max="19" width="39.7109375" style="225" customWidth="1"/>
    <col min="20" max="22" width="31.140625" style="235" customWidth="1"/>
    <col min="23" max="23" width="24" style="229" customWidth="1"/>
    <col min="24" max="24" width="34.85546875" style="230" customWidth="1"/>
    <col min="25" max="26" width="11.5703125" style="346" customWidth="1"/>
    <col min="27" max="28" width="12" style="346" customWidth="1"/>
    <col min="29" max="30" width="11" style="346" customWidth="1"/>
    <col min="31" max="32" width="10.140625" style="346" customWidth="1"/>
    <col min="33" max="56" width="11" style="346" customWidth="1"/>
    <col min="57" max="57" width="24.5703125" style="346" customWidth="1"/>
    <col min="58" max="58" width="28" style="346" customWidth="1"/>
    <col min="59" max="59" width="26" style="346" customWidth="1"/>
    <col min="60" max="62" width="19.28515625" style="346" customWidth="1"/>
    <col min="63" max="64" width="16.42578125" style="231" customWidth="1"/>
    <col min="65" max="66" width="20.85546875" style="232" customWidth="1"/>
    <col min="67" max="67" width="30.85546875" style="233" customWidth="1"/>
    <col min="68" max="16384" width="11.42578125" style="146"/>
  </cols>
  <sheetData>
    <row r="1" spans="1:85" ht="20.100000000000001" customHeight="1" x14ac:dyDescent="0.2">
      <c r="A1" s="1318" t="s">
        <v>270</v>
      </c>
      <c r="B1" s="1318"/>
      <c r="C1" s="1318"/>
      <c r="D1" s="1318"/>
      <c r="E1" s="1318"/>
      <c r="F1" s="1318"/>
      <c r="G1" s="1318"/>
      <c r="H1" s="1318"/>
      <c r="I1" s="1318"/>
      <c r="J1" s="1318"/>
      <c r="K1" s="1318"/>
      <c r="L1" s="1318"/>
      <c r="M1" s="1318"/>
      <c r="N1" s="1318"/>
      <c r="O1" s="1318"/>
      <c r="P1" s="1318"/>
      <c r="Q1" s="1318"/>
      <c r="R1" s="1318"/>
      <c r="S1" s="1318"/>
      <c r="T1" s="1318"/>
      <c r="U1" s="1318"/>
      <c r="V1" s="1318"/>
      <c r="W1" s="1318"/>
      <c r="X1" s="1318"/>
      <c r="Y1" s="1318"/>
      <c r="Z1" s="1318"/>
      <c r="AA1" s="1318"/>
      <c r="AB1" s="1318"/>
      <c r="AC1" s="1318"/>
      <c r="AD1" s="1318"/>
      <c r="AE1" s="1318"/>
      <c r="AF1" s="1318"/>
      <c r="AG1" s="1318"/>
      <c r="AH1" s="1318"/>
      <c r="AI1" s="1318"/>
      <c r="AJ1" s="1318"/>
      <c r="AK1" s="1318"/>
      <c r="AL1" s="1318"/>
      <c r="AM1" s="1318"/>
      <c r="AN1" s="1318"/>
      <c r="AO1" s="1318"/>
      <c r="AP1" s="1318"/>
      <c r="AQ1" s="1318"/>
      <c r="AR1" s="1318"/>
      <c r="AS1" s="1318"/>
      <c r="AT1" s="1318"/>
      <c r="AU1" s="1318"/>
      <c r="AV1" s="1318"/>
      <c r="AW1" s="1318"/>
      <c r="AX1" s="1318"/>
      <c r="AY1" s="1318"/>
      <c r="AZ1" s="1318"/>
      <c r="BA1" s="1318"/>
      <c r="BB1" s="1318"/>
      <c r="BC1" s="1318"/>
      <c r="BD1" s="1318"/>
      <c r="BE1" s="1318"/>
      <c r="BF1" s="1318"/>
      <c r="BG1" s="1318"/>
      <c r="BH1" s="1318"/>
      <c r="BI1" s="1318"/>
      <c r="BJ1" s="1318"/>
      <c r="BK1" s="1318"/>
      <c r="BL1" s="1318"/>
      <c r="BM1" s="1319"/>
      <c r="BN1" s="143" t="s">
        <v>1</v>
      </c>
      <c r="BO1" s="144" t="s">
        <v>131</v>
      </c>
      <c r="BP1" s="145"/>
      <c r="BQ1" s="145"/>
      <c r="BR1" s="145"/>
      <c r="BS1" s="145"/>
      <c r="BT1" s="145"/>
      <c r="BU1" s="145"/>
      <c r="BV1" s="145"/>
      <c r="BW1" s="145"/>
      <c r="BX1" s="145"/>
      <c r="BY1" s="145"/>
      <c r="BZ1" s="145"/>
      <c r="CA1" s="145"/>
      <c r="CB1" s="145"/>
      <c r="CC1" s="145"/>
      <c r="CD1" s="145"/>
      <c r="CE1" s="145"/>
      <c r="CF1" s="145"/>
      <c r="CG1" s="145"/>
    </row>
    <row r="2" spans="1:85" ht="20.100000000000001" customHeight="1" x14ac:dyDescent="0.2">
      <c r="A2" s="1318"/>
      <c r="B2" s="1318"/>
      <c r="C2" s="1318"/>
      <c r="D2" s="1318"/>
      <c r="E2" s="1318"/>
      <c r="F2" s="1318"/>
      <c r="G2" s="1318"/>
      <c r="H2" s="1318"/>
      <c r="I2" s="1318"/>
      <c r="J2" s="1318"/>
      <c r="K2" s="1318"/>
      <c r="L2" s="1318"/>
      <c r="M2" s="1318"/>
      <c r="N2" s="1318"/>
      <c r="O2" s="1318"/>
      <c r="P2" s="1318"/>
      <c r="Q2" s="1318"/>
      <c r="R2" s="1318"/>
      <c r="S2" s="1318"/>
      <c r="T2" s="1318"/>
      <c r="U2" s="1318"/>
      <c r="V2" s="1318"/>
      <c r="W2" s="1318"/>
      <c r="X2" s="1318"/>
      <c r="Y2" s="1318"/>
      <c r="Z2" s="1318"/>
      <c r="AA2" s="1318"/>
      <c r="AB2" s="1318"/>
      <c r="AC2" s="1318"/>
      <c r="AD2" s="1318"/>
      <c r="AE2" s="1318"/>
      <c r="AF2" s="1318"/>
      <c r="AG2" s="1318"/>
      <c r="AH2" s="1318"/>
      <c r="AI2" s="1318"/>
      <c r="AJ2" s="1318"/>
      <c r="AK2" s="1318"/>
      <c r="AL2" s="1318"/>
      <c r="AM2" s="1318"/>
      <c r="AN2" s="1318"/>
      <c r="AO2" s="1318"/>
      <c r="AP2" s="1318"/>
      <c r="AQ2" s="1318"/>
      <c r="AR2" s="1318"/>
      <c r="AS2" s="1318"/>
      <c r="AT2" s="1318"/>
      <c r="AU2" s="1318"/>
      <c r="AV2" s="1318"/>
      <c r="AW2" s="1318"/>
      <c r="AX2" s="1318"/>
      <c r="AY2" s="1318"/>
      <c r="AZ2" s="1318"/>
      <c r="BA2" s="1318"/>
      <c r="BB2" s="1318"/>
      <c r="BC2" s="1318"/>
      <c r="BD2" s="1318"/>
      <c r="BE2" s="1318"/>
      <c r="BF2" s="1318"/>
      <c r="BG2" s="1318"/>
      <c r="BH2" s="1318"/>
      <c r="BI2" s="1318"/>
      <c r="BJ2" s="1318"/>
      <c r="BK2" s="1318"/>
      <c r="BL2" s="1318"/>
      <c r="BM2" s="1319"/>
      <c r="BN2" s="143" t="s">
        <v>3</v>
      </c>
      <c r="BO2" s="144" t="s">
        <v>4</v>
      </c>
      <c r="BP2" s="145"/>
      <c r="BQ2" s="145"/>
      <c r="BR2" s="145"/>
      <c r="BS2" s="145"/>
      <c r="BT2" s="145"/>
      <c r="BU2" s="145"/>
      <c r="BV2" s="145"/>
      <c r="BW2" s="145"/>
      <c r="BX2" s="145"/>
      <c r="BY2" s="145"/>
      <c r="BZ2" s="145"/>
      <c r="CA2" s="145"/>
      <c r="CB2" s="145"/>
      <c r="CC2" s="145"/>
      <c r="CD2" s="145"/>
      <c r="CE2" s="145"/>
      <c r="CF2" s="145"/>
      <c r="CG2" s="145"/>
    </row>
    <row r="3" spans="1:85" ht="20.100000000000001" customHeight="1" x14ac:dyDescent="0.2">
      <c r="A3" s="1318"/>
      <c r="B3" s="1318"/>
      <c r="C3" s="1318"/>
      <c r="D3" s="1318"/>
      <c r="E3" s="1318"/>
      <c r="F3" s="1318"/>
      <c r="G3" s="1318"/>
      <c r="H3" s="1318"/>
      <c r="I3" s="1318"/>
      <c r="J3" s="1318"/>
      <c r="K3" s="1318"/>
      <c r="L3" s="1318"/>
      <c r="M3" s="1318"/>
      <c r="N3" s="1318"/>
      <c r="O3" s="1318"/>
      <c r="P3" s="1318"/>
      <c r="Q3" s="1318"/>
      <c r="R3" s="1318"/>
      <c r="S3" s="1318"/>
      <c r="T3" s="1318"/>
      <c r="U3" s="1318"/>
      <c r="V3" s="1318"/>
      <c r="W3" s="1318"/>
      <c r="X3" s="1318"/>
      <c r="Y3" s="1318"/>
      <c r="Z3" s="1318"/>
      <c r="AA3" s="1318"/>
      <c r="AB3" s="1318"/>
      <c r="AC3" s="1318"/>
      <c r="AD3" s="1318"/>
      <c r="AE3" s="1318"/>
      <c r="AF3" s="1318"/>
      <c r="AG3" s="1318"/>
      <c r="AH3" s="1318"/>
      <c r="AI3" s="1318"/>
      <c r="AJ3" s="1318"/>
      <c r="AK3" s="1318"/>
      <c r="AL3" s="1318"/>
      <c r="AM3" s="1318"/>
      <c r="AN3" s="1318"/>
      <c r="AO3" s="1318"/>
      <c r="AP3" s="1318"/>
      <c r="AQ3" s="1318"/>
      <c r="AR3" s="1318"/>
      <c r="AS3" s="1318"/>
      <c r="AT3" s="1318"/>
      <c r="AU3" s="1318"/>
      <c r="AV3" s="1318"/>
      <c r="AW3" s="1318"/>
      <c r="AX3" s="1318"/>
      <c r="AY3" s="1318"/>
      <c r="AZ3" s="1318"/>
      <c r="BA3" s="1318"/>
      <c r="BB3" s="1318"/>
      <c r="BC3" s="1318"/>
      <c r="BD3" s="1318"/>
      <c r="BE3" s="1318"/>
      <c r="BF3" s="1318"/>
      <c r="BG3" s="1318"/>
      <c r="BH3" s="1318"/>
      <c r="BI3" s="1318"/>
      <c r="BJ3" s="1318"/>
      <c r="BK3" s="1318"/>
      <c r="BL3" s="1318"/>
      <c r="BM3" s="1319"/>
      <c r="BN3" s="143" t="s">
        <v>5</v>
      </c>
      <c r="BO3" s="147" t="s">
        <v>6</v>
      </c>
      <c r="BP3" s="145"/>
      <c r="BQ3" s="145"/>
      <c r="BR3" s="145"/>
      <c r="BS3" s="145"/>
      <c r="BT3" s="145"/>
      <c r="BU3" s="145"/>
      <c r="BV3" s="145"/>
      <c r="BW3" s="145"/>
      <c r="BX3" s="145"/>
      <c r="BY3" s="145"/>
      <c r="BZ3" s="145"/>
      <c r="CA3" s="145"/>
      <c r="CB3" s="145"/>
      <c r="CC3" s="145"/>
      <c r="CD3" s="145"/>
      <c r="CE3" s="145"/>
      <c r="CF3" s="145"/>
      <c r="CG3" s="145"/>
    </row>
    <row r="4" spans="1:85" ht="20.100000000000001" customHeight="1" x14ac:dyDescent="0.2">
      <c r="A4" s="1320"/>
      <c r="B4" s="1320"/>
      <c r="C4" s="1320"/>
      <c r="D4" s="1320"/>
      <c r="E4" s="1320"/>
      <c r="F4" s="1320"/>
      <c r="G4" s="1320"/>
      <c r="H4" s="1320"/>
      <c r="I4" s="1320"/>
      <c r="J4" s="1320"/>
      <c r="K4" s="1320"/>
      <c r="L4" s="1320"/>
      <c r="M4" s="1320"/>
      <c r="N4" s="1320"/>
      <c r="O4" s="1320"/>
      <c r="P4" s="1320"/>
      <c r="Q4" s="1320"/>
      <c r="R4" s="1320"/>
      <c r="S4" s="1320"/>
      <c r="T4" s="1320"/>
      <c r="U4" s="1320"/>
      <c r="V4" s="1320"/>
      <c r="W4" s="1320"/>
      <c r="X4" s="1320"/>
      <c r="Y4" s="1320"/>
      <c r="Z4" s="1320"/>
      <c r="AA4" s="1320"/>
      <c r="AB4" s="1320"/>
      <c r="AC4" s="1320"/>
      <c r="AD4" s="1320"/>
      <c r="AE4" s="1320"/>
      <c r="AF4" s="1320"/>
      <c r="AG4" s="1320"/>
      <c r="AH4" s="1320"/>
      <c r="AI4" s="1320"/>
      <c r="AJ4" s="1320"/>
      <c r="AK4" s="1320"/>
      <c r="AL4" s="1320"/>
      <c r="AM4" s="1320"/>
      <c r="AN4" s="1320"/>
      <c r="AO4" s="1320"/>
      <c r="AP4" s="1320"/>
      <c r="AQ4" s="1320"/>
      <c r="AR4" s="1320"/>
      <c r="AS4" s="1320"/>
      <c r="AT4" s="1320"/>
      <c r="AU4" s="1320"/>
      <c r="AV4" s="1320"/>
      <c r="AW4" s="1320"/>
      <c r="AX4" s="1320"/>
      <c r="AY4" s="1320"/>
      <c r="AZ4" s="1320"/>
      <c r="BA4" s="1320"/>
      <c r="BB4" s="1320"/>
      <c r="BC4" s="1320"/>
      <c r="BD4" s="1320"/>
      <c r="BE4" s="1320"/>
      <c r="BF4" s="1320"/>
      <c r="BG4" s="1320"/>
      <c r="BH4" s="1320"/>
      <c r="BI4" s="1320"/>
      <c r="BJ4" s="1320"/>
      <c r="BK4" s="1320"/>
      <c r="BL4" s="1320"/>
      <c r="BM4" s="1321"/>
      <c r="BN4" s="143" t="s">
        <v>7</v>
      </c>
      <c r="BO4" s="148" t="s">
        <v>8</v>
      </c>
      <c r="BP4" s="145"/>
      <c r="BQ4" s="145"/>
      <c r="BR4" s="145"/>
      <c r="BS4" s="145"/>
      <c r="BT4" s="145"/>
      <c r="BU4" s="145"/>
      <c r="BV4" s="145"/>
      <c r="BW4" s="145"/>
      <c r="BX4" s="145"/>
      <c r="BY4" s="145"/>
      <c r="BZ4" s="145"/>
      <c r="CA4" s="145"/>
      <c r="CB4" s="145"/>
      <c r="CC4" s="145"/>
      <c r="CD4" s="145"/>
      <c r="CE4" s="145"/>
      <c r="CF4" s="145"/>
      <c r="CG4" s="145"/>
    </row>
    <row r="5" spans="1:85" s="4" customFormat="1" ht="20.100000000000001" customHeight="1" x14ac:dyDescent="0.2">
      <c r="A5" s="1231" t="s">
        <v>9</v>
      </c>
      <c r="B5" s="1231"/>
      <c r="C5" s="1231"/>
      <c r="D5" s="1231"/>
      <c r="E5" s="1231"/>
      <c r="F5" s="1231"/>
      <c r="G5" s="1231"/>
      <c r="H5" s="1231"/>
      <c r="I5" s="1231"/>
      <c r="J5" s="1231"/>
      <c r="K5" s="351"/>
      <c r="L5" s="1233" t="s">
        <v>10</v>
      </c>
      <c r="M5" s="1233"/>
      <c r="N5" s="1233"/>
      <c r="O5" s="1233"/>
      <c r="P5" s="1233"/>
      <c r="Q5" s="1233"/>
      <c r="R5" s="1233"/>
      <c r="S5" s="1233"/>
      <c r="T5" s="1233"/>
      <c r="U5" s="1233"/>
      <c r="V5" s="1233"/>
      <c r="W5" s="1233"/>
      <c r="X5" s="1233"/>
      <c r="Y5" s="1233"/>
      <c r="Z5" s="1233"/>
      <c r="AA5" s="1233"/>
      <c r="AB5" s="1233"/>
      <c r="AC5" s="1233"/>
      <c r="AD5" s="1233"/>
      <c r="AE5" s="1233"/>
      <c r="AF5" s="1233"/>
      <c r="AG5" s="1233"/>
      <c r="AH5" s="1233"/>
      <c r="AI5" s="1233"/>
      <c r="AJ5" s="1233"/>
      <c r="AK5" s="1233"/>
      <c r="AL5" s="1233"/>
      <c r="AM5" s="1233"/>
      <c r="AN5" s="1233"/>
      <c r="AO5" s="1233"/>
      <c r="AP5" s="1233"/>
      <c r="AQ5" s="1233"/>
      <c r="AR5" s="1233"/>
      <c r="AS5" s="1233"/>
      <c r="AT5" s="1233"/>
      <c r="AU5" s="1233"/>
      <c r="AV5" s="1233"/>
      <c r="AW5" s="1233"/>
      <c r="AX5" s="1233"/>
      <c r="AY5" s="1233"/>
      <c r="AZ5" s="1233"/>
      <c r="BA5" s="1233"/>
      <c r="BB5" s="1233"/>
      <c r="BC5" s="1233"/>
      <c r="BD5" s="1233"/>
      <c r="BE5" s="1233"/>
      <c r="BF5" s="1233"/>
      <c r="BG5" s="1233"/>
      <c r="BH5" s="1233"/>
      <c r="BI5" s="1233"/>
      <c r="BJ5" s="1233"/>
      <c r="BK5" s="1233"/>
      <c r="BL5" s="1233"/>
      <c r="BM5" s="1233"/>
      <c r="BN5" s="1233"/>
      <c r="BO5" s="1233"/>
      <c r="BP5" s="3"/>
      <c r="BQ5" s="3"/>
      <c r="BR5" s="3"/>
      <c r="BS5" s="3"/>
      <c r="BT5" s="3"/>
      <c r="BU5" s="3"/>
      <c r="BV5" s="3"/>
      <c r="BW5" s="3"/>
      <c r="BX5" s="3"/>
      <c r="BY5" s="3"/>
      <c r="BZ5" s="3"/>
      <c r="CA5" s="3"/>
      <c r="CB5" s="3"/>
      <c r="CC5" s="3"/>
      <c r="CD5" s="3"/>
      <c r="CE5" s="3"/>
      <c r="CF5" s="3"/>
    </row>
    <row r="6" spans="1:85" s="4" customFormat="1" ht="20.100000000000001" customHeight="1" thickBot="1" x14ac:dyDescent="0.25">
      <c r="A6" s="1232"/>
      <c r="B6" s="1232"/>
      <c r="C6" s="1232"/>
      <c r="D6" s="1232"/>
      <c r="E6" s="1232"/>
      <c r="F6" s="1232"/>
      <c r="G6" s="1232"/>
      <c r="H6" s="1232"/>
      <c r="I6" s="1232"/>
      <c r="J6" s="1232"/>
      <c r="K6" s="352"/>
      <c r="L6" s="239"/>
      <c r="M6" s="10"/>
      <c r="N6" s="240"/>
      <c r="O6" s="8"/>
      <c r="P6" s="10"/>
      <c r="Q6" s="240"/>
      <c r="R6" s="240"/>
      <c r="S6" s="240"/>
      <c r="T6" s="10"/>
      <c r="U6" s="10"/>
      <c r="V6" s="10"/>
      <c r="W6" s="10"/>
      <c r="X6" s="10"/>
      <c r="Y6" s="1233" t="s">
        <v>11</v>
      </c>
      <c r="Z6" s="1233"/>
      <c r="AA6" s="1233"/>
      <c r="AB6" s="1233"/>
      <c r="AC6" s="1233"/>
      <c r="AD6" s="1233"/>
      <c r="AE6" s="1233"/>
      <c r="AF6" s="1233"/>
      <c r="AG6" s="1233"/>
      <c r="AH6" s="1233"/>
      <c r="AI6" s="1233"/>
      <c r="AJ6" s="1233"/>
      <c r="AK6" s="1233"/>
      <c r="AL6" s="1233"/>
      <c r="AM6" s="1233"/>
      <c r="AN6" s="1233"/>
      <c r="AO6" s="1233"/>
      <c r="AP6" s="1233"/>
      <c r="AQ6" s="1233"/>
      <c r="AR6" s="1233"/>
      <c r="AS6" s="1233"/>
      <c r="AT6" s="1233"/>
      <c r="AU6" s="1233"/>
      <c r="AV6" s="1233"/>
      <c r="AW6" s="1233"/>
      <c r="AX6" s="1233"/>
      <c r="AY6" s="1233"/>
      <c r="AZ6" s="1233"/>
      <c r="BA6" s="1233"/>
      <c r="BB6" s="1233"/>
      <c r="BC6" s="1233"/>
      <c r="BD6" s="1233"/>
      <c r="BE6" s="8"/>
      <c r="BF6" s="8"/>
      <c r="BG6" s="8"/>
      <c r="BH6" s="8"/>
      <c r="BI6" s="8"/>
      <c r="BJ6" s="8"/>
      <c r="BK6" s="8"/>
      <c r="BL6" s="8"/>
      <c r="BM6" s="8"/>
      <c r="BN6" s="8"/>
      <c r="BO6" s="11"/>
      <c r="BP6" s="3"/>
      <c r="BQ6" s="3"/>
      <c r="BR6" s="3"/>
      <c r="BS6" s="3"/>
      <c r="BT6" s="3"/>
      <c r="BU6" s="3"/>
      <c r="BV6" s="3"/>
      <c r="BW6" s="3"/>
      <c r="BX6" s="3"/>
      <c r="BY6" s="3"/>
      <c r="BZ6" s="3"/>
      <c r="CA6" s="3"/>
      <c r="CB6" s="3"/>
      <c r="CC6" s="3"/>
      <c r="CD6" s="3"/>
      <c r="CE6" s="3"/>
      <c r="CF6" s="3"/>
    </row>
    <row r="7" spans="1:85" s="4" customFormat="1" ht="43.5" customHeight="1" x14ac:dyDescent="0.2">
      <c r="A7" s="1234" t="s">
        <v>12</v>
      </c>
      <c r="B7" s="1221" t="s">
        <v>13</v>
      </c>
      <c r="C7" s="1221"/>
      <c r="D7" s="1221" t="s">
        <v>12</v>
      </c>
      <c r="E7" s="1221" t="s">
        <v>14</v>
      </c>
      <c r="F7" s="1221"/>
      <c r="G7" s="1237" t="s">
        <v>12</v>
      </c>
      <c r="H7" s="1221" t="s">
        <v>15</v>
      </c>
      <c r="I7" s="1221" t="s">
        <v>16</v>
      </c>
      <c r="J7" s="1222" t="s">
        <v>17</v>
      </c>
      <c r="K7" s="1223"/>
      <c r="L7" s="1221" t="s">
        <v>18</v>
      </c>
      <c r="M7" s="1221" t="s">
        <v>19</v>
      </c>
      <c r="N7" s="1221" t="s">
        <v>10</v>
      </c>
      <c r="O7" s="1226" t="s">
        <v>20</v>
      </c>
      <c r="P7" s="1253" t="s">
        <v>21</v>
      </c>
      <c r="Q7" s="1221" t="s">
        <v>22</v>
      </c>
      <c r="R7" s="1221" t="s">
        <v>23</v>
      </c>
      <c r="S7" s="1221" t="s">
        <v>24</v>
      </c>
      <c r="T7" s="1253" t="s">
        <v>21</v>
      </c>
      <c r="U7" s="1253" t="s">
        <v>25</v>
      </c>
      <c r="V7" s="1253" t="s">
        <v>26</v>
      </c>
      <c r="W7" s="1264" t="s">
        <v>12</v>
      </c>
      <c r="X7" s="1221" t="s">
        <v>27</v>
      </c>
      <c r="Y7" s="1240" t="s">
        <v>28</v>
      </c>
      <c r="Z7" s="1241"/>
      <c r="AA7" s="1241"/>
      <c r="AB7" s="1242"/>
      <c r="AC7" s="1243" t="s">
        <v>29</v>
      </c>
      <c r="AD7" s="1244"/>
      <c r="AE7" s="1244"/>
      <c r="AF7" s="1244"/>
      <c r="AG7" s="1244"/>
      <c r="AH7" s="1244"/>
      <c r="AI7" s="1244"/>
      <c r="AJ7" s="1245"/>
      <c r="AK7" s="1246" t="s">
        <v>30</v>
      </c>
      <c r="AL7" s="1247"/>
      <c r="AM7" s="1247"/>
      <c r="AN7" s="1247"/>
      <c r="AO7" s="1247"/>
      <c r="AP7" s="1247"/>
      <c r="AQ7" s="1247"/>
      <c r="AR7" s="1247"/>
      <c r="AS7" s="1247"/>
      <c r="AT7" s="1247"/>
      <c r="AU7" s="1247"/>
      <c r="AV7" s="1248"/>
      <c r="AW7" s="1254" t="s">
        <v>31</v>
      </c>
      <c r="AX7" s="1255"/>
      <c r="AY7" s="1255"/>
      <c r="AZ7" s="1255"/>
      <c r="BA7" s="1255"/>
      <c r="BB7" s="1256"/>
      <c r="BC7" s="1257" t="s">
        <v>32</v>
      </c>
      <c r="BD7" s="1258"/>
      <c r="BE7" s="1261" t="s">
        <v>33</v>
      </c>
      <c r="BF7" s="1262"/>
      <c r="BG7" s="1262"/>
      <c r="BH7" s="1262"/>
      <c r="BI7" s="1262"/>
      <c r="BJ7" s="1263"/>
      <c r="BK7" s="1265" t="s">
        <v>34</v>
      </c>
      <c r="BL7" s="1265"/>
      <c r="BM7" s="1266" t="s">
        <v>35</v>
      </c>
      <c r="BN7" s="1267"/>
      <c r="BO7" s="1270" t="s">
        <v>36</v>
      </c>
      <c r="BP7" s="3"/>
      <c r="BQ7" s="3"/>
      <c r="BR7" s="3"/>
      <c r="BS7" s="3"/>
      <c r="BT7" s="3"/>
      <c r="BU7" s="3"/>
      <c r="BV7" s="3"/>
      <c r="BW7" s="3"/>
      <c r="BX7" s="3"/>
      <c r="BY7" s="3"/>
      <c r="BZ7" s="3"/>
      <c r="CA7" s="3"/>
      <c r="CB7" s="3"/>
      <c r="CC7" s="3"/>
      <c r="CD7" s="3"/>
      <c r="CE7" s="3"/>
      <c r="CF7" s="3"/>
    </row>
    <row r="8" spans="1:85" s="4" customFormat="1" ht="120.75" customHeight="1" x14ac:dyDescent="0.2">
      <c r="A8" s="1235"/>
      <c r="B8" s="1221"/>
      <c r="C8" s="1221"/>
      <c r="D8" s="1221"/>
      <c r="E8" s="1221"/>
      <c r="F8" s="1221"/>
      <c r="G8" s="1238"/>
      <c r="H8" s="1221"/>
      <c r="I8" s="1221"/>
      <c r="J8" s="1224"/>
      <c r="K8" s="1225"/>
      <c r="L8" s="1221"/>
      <c r="M8" s="1221"/>
      <c r="N8" s="1221"/>
      <c r="O8" s="1226"/>
      <c r="P8" s="1253"/>
      <c r="Q8" s="1221"/>
      <c r="R8" s="1221"/>
      <c r="S8" s="1221"/>
      <c r="T8" s="1253"/>
      <c r="U8" s="1253"/>
      <c r="V8" s="1253"/>
      <c r="W8" s="1264"/>
      <c r="X8" s="1221"/>
      <c r="Y8" s="1249" t="s">
        <v>37</v>
      </c>
      <c r="Z8" s="1250"/>
      <c r="AA8" s="1251" t="s">
        <v>38</v>
      </c>
      <c r="AB8" s="1252"/>
      <c r="AC8" s="1249" t="s">
        <v>39</v>
      </c>
      <c r="AD8" s="1250"/>
      <c r="AE8" s="1249" t="s">
        <v>40</v>
      </c>
      <c r="AF8" s="1250"/>
      <c r="AG8" s="1249" t="s">
        <v>41</v>
      </c>
      <c r="AH8" s="1250"/>
      <c r="AI8" s="1249" t="s">
        <v>42</v>
      </c>
      <c r="AJ8" s="1250"/>
      <c r="AK8" s="1249" t="s">
        <v>43</v>
      </c>
      <c r="AL8" s="1250"/>
      <c r="AM8" s="1249" t="s">
        <v>44</v>
      </c>
      <c r="AN8" s="1250"/>
      <c r="AO8" s="1249" t="s">
        <v>45</v>
      </c>
      <c r="AP8" s="1250"/>
      <c r="AQ8" s="1249" t="s">
        <v>46</v>
      </c>
      <c r="AR8" s="1250"/>
      <c r="AS8" s="1249" t="s">
        <v>47</v>
      </c>
      <c r="AT8" s="1250"/>
      <c r="AU8" s="1249" t="s">
        <v>48</v>
      </c>
      <c r="AV8" s="1250"/>
      <c r="AW8" s="1249" t="s">
        <v>49</v>
      </c>
      <c r="AX8" s="1250"/>
      <c r="AY8" s="1249" t="s">
        <v>50</v>
      </c>
      <c r="AZ8" s="1250"/>
      <c r="BA8" s="1302" t="s">
        <v>51</v>
      </c>
      <c r="BB8" s="1302"/>
      <c r="BC8" s="1259"/>
      <c r="BD8" s="1260"/>
      <c r="BE8" s="1274" t="s">
        <v>52</v>
      </c>
      <c r="BF8" s="1273" t="s">
        <v>53</v>
      </c>
      <c r="BG8" s="1274" t="s">
        <v>54</v>
      </c>
      <c r="BH8" s="1275" t="s">
        <v>55</v>
      </c>
      <c r="BI8" s="1274" t="s">
        <v>56</v>
      </c>
      <c r="BJ8" s="1276" t="s">
        <v>57</v>
      </c>
      <c r="BK8" s="1265"/>
      <c r="BL8" s="1265"/>
      <c r="BM8" s="1268"/>
      <c r="BN8" s="1269"/>
      <c r="BO8" s="1271"/>
      <c r="BP8" s="3"/>
      <c r="BQ8" s="3"/>
      <c r="BR8" s="3"/>
      <c r="BS8" s="3"/>
      <c r="BT8" s="3"/>
      <c r="BU8" s="3"/>
      <c r="BV8" s="3"/>
      <c r="BW8" s="3"/>
      <c r="BX8" s="3"/>
      <c r="BY8" s="3"/>
      <c r="BZ8" s="3"/>
      <c r="CA8" s="3"/>
      <c r="CB8" s="3"/>
      <c r="CC8" s="3"/>
      <c r="CD8" s="3"/>
      <c r="CE8" s="3"/>
      <c r="CF8" s="3"/>
    </row>
    <row r="9" spans="1:85" s="4" customFormat="1" ht="21.75" customHeight="1" x14ac:dyDescent="0.2">
      <c r="A9" s="1236"/>
      <c r="B9" s="1221"/>
      <c r="C9" s="1221"/>
      <c r="D9" s="1221"/>
      <c r="E9" s="1221"/>
      <c r="F9" s="1221"/>
      <c r="G9" s="1239"/>
      <c r="H9" s="1221"/>
      <c r="I9" s="1221"/>
      <c r="J9" s="12" t="s">
        <v>58</v>
      </c>
      <c r="K9" s="353" t="s">
        <v>59</v>
      </c>
      <c r="L9" s="1221"/>
      <c r="M9" s="1221"/>
      <c r="N9" s="1221"/>
      <c r="O9" s="1226"/>
      <c r="P9" s="1253"/>
      <c r="Q9" s="1221"/>
      <c r="R9" s="1221"/>
      <c r="S9" s="1221"/>
      <c r="T9" s="1253"/>
      <c r="U9" s="1253"/>
      <c r="V9" s="1253"/>
      <c r="W9" s="1264"/>
      <c r="X9" s="1221"/>
      <c r="Y9" s="12" t="s">
        <v>58</v>
      </c>
      <c r="Z9" s="12" t="s">
        <v>60</v>
      </c>
      <c r="AA9" s="12" t="s">
        <v>58</v>
      </c>
      <c r="AB9" s="12" t="s">
        <v>60</v>
      </c>
      <c r="AC9" s="12" t="s">
        <v>58</v>
      </c>
      <c r="AD9" s="12" t="s">
        <v>60</v>
      </c>
      <c r="AE9" s="12" t="s">
        <v>58</v>
      </c>
      <c r="AF9" s="12" t="s">
        <v>60</v>
      </c>
      <c r="AG9" s="12" t="s">
        <v>58</v>
      </c>
      <c r="AH9" s="12" t="s">
        <v>60</v>
      </c>
      <c r="AI9" s="12" t="s">
        <v>58</v>
      </c>
      <c r="AJ9" s="12" t="s">
        <v>60</v>
      </c>
      <c r="AK9" s="12" t="s">
        <v>58</v>
      </c>
      <c r="AL9" s="12" t="s">
        <v>60</v>
      </c>
      <c r="AM9" s="12" t="s">
        <v>58</v>
      </c>
      <c r="AN9" s="12" t="s">
        <v>60</v>
      </c>
      <c r="AO9" s="12" t="s">
        <v>58</v>
      </c>
      <c r="AP9" s="12" t="s">
        <v>60</v>
      </c>
      <c r="AQ9" s="12" t="s">
        <v>58</v>
      </c>
      <c r="AR9" s="12" t="s">
        <v>60</v>
      </c>
      <c r="AS9" s="12" t="s">
        <v>58</v>
      </c>
      <c r="AT9" s="12" t="s">
        <v>60</v>
      </c>
      <c r="AU9" s="12" t="s">
        <v>58</v>
      </c>
      <c r="AV9" s="12" t="s">
        <v>60</v>
      </c>
      <c r="AW9" s="12" t="s">
        <v>58</v>
      </c>
      <c r="AX9" s="12" t="s">
        <v>60</v>
      </c>
      <c r="AY9" s="12" t="s">
        <v>58</v>
      </c>
      <c r="AZ9" s="12" t="s">
        <v>60</v>
      </c>
      <c r="BA9" s="12" t="s">
        <v>58</v>
      </c>
      <c r="BB9" s="12" t="s">
        <v>60</v>
      </c>
      <c r="BC9" s="12" t="s">
        <v>58</v>
      </c>
      <c r="BD9" s="12" t="s">
        <v>60</v>
      </c>
      <c r="BE9" s="1274"/>
      <c r="BF9" s="1273"/>
      <c r="BG9" s="1274"/>
      <c r="BH9" s="1275"/>
      <c r="BI9" s="1274"/>
      <c r="BJ9" s="1277"/>
      <c r="BK9" s="13" t="s">
        <v>58</v>
      </c>
      <c r="BL9" s="13" t="s">
        <v>60</v>
      </c>
      <c r="BM9" s="13" t="s">
        <v>58</v>
      </c>
      <c r="BN9" s="13" t="s">
        <v>60</v>
      </c>
      <c r="BO9" s="1272"/>
      <c r="BP9" s="3"/>
      <c r="BQ9" s="3"/>
      <c r="BR9" s="3"/>
      <c r="BS9" s="3"/>
      <c r="BT9" s="3"/>
      <c r="BU9" s="3"/>
      <c r="BV9" s="3"/>
      <c r="BW9" s="3"/>
      <c r="BX9" s="3"/>
      <c r="BY9" s="3"/>
      <c r="BZ9" s="3"/>
      <c r="CA9" s="3"/>
      <c r="CB9" s="3"/>
      <c r="CC9" s="3"/>
      <c r="CD9" s="3"/>
      <c r="CE9" s="3"/>
      <c r="CF9" s="3"/>
    </row>
    <row r="10" spans="1:85" s="91" customFormat="1" ht="27" customHeight="1" x14ac:dyDescent="0.2">
      <c r="A10" s="155">
        <v>1</v>
      </c>
      <c r="B10" s="156" t="s">
        <v>156</v>
      </c>
      <c r="C10" s="241"/>
      <c r="D10" s="242"/>
      <c r="E10" s="243"/>
      <c r="F10" s="243"/>
      <c r="G10" s="243"/>
      <c r="H10" s="243"/>
      <c r="I10" s="243"/>
      <c r="J10" s="244"/>
      <c r="K10" s="244"/>
      <c r="L10" s="244"/>
      <c r="M10" s="244"/>
      <c r="N10" s="245"/>
      <c r="O10" s="246"/>
      <c r="P10" s="247"/>
      <c r="Q10" s="248"/>
      <c r="R10" s="248"/>
      <c r="S10" s="245"/>
      <c r="T10" s="249"/>
      <c r="U10" s="249"/>
      <c r="V10" s="249"/>
      <c r="W10" s="250"/>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244"/>
      <c r="BK10" s="251"/>
      <c r="BL10" s="251"/>
      <c r="BM10" s="251"/>
      <c r="BN10" s="251"/>
      <c r="BO10" s="252"/>
      <c r="BP10" s="3"/>
      <c r="BQ10" s="3"/>
      <c r="BR10" s="3"/>
      <c r="BS10" s="3"/>
      <c r="BT10" s="3"/>
      <c r="BU10" s="3"/>
      <c r="BV10" s="3"/>
      <c r="BW10" s="3"/>
      <c r="BX10" s="3"/>
      <c r="BY10" s="3"/>
      <c r="BZ10" s="3"/>
      <c r="CA10" s="3"/>
      <c r="CB10" s="3"/>
      <c r="CC10" s="3"/>
      <c r="CD10" s="3"/>
      <c r="CE10" s="3"/>
      <c r="CF10" s="3"/>
      <c r="CG10" s="3"/>
    </row>
    <row r="11" spans="1:85" s="3" customFormat="1" ht="21" customHeight="1" x14ac:dyDescent="0.2">
      <c r="A11" s="167"/>
      <c r="B11" s="253"/>
      <c r="C11" s="254"/>
      <c r="D11" s="255">
        <v>1</v>
      </c>
      <c r="E11" s="256" t="s">
        <v>157</v>
      </c>
      <c r="F11" s="257"/>
      <c r="G11" s="258"/>
      <c r="H11" s="259"/>
      <c r="I11" s="260"/>
      <c r="J11" s="261"/>
      <c r="K11" s="261"/>
      <c r="L11" s="262"/>
      <c r="M11" s="262"/>
      <c r="N11" s="263"/>
      <c r="O11" s="264"/>
      <c r="P11" s="265"/>
      <c r="Q11" s="266"/>
      <c r="R11" s="266"/>
      <c r="S11" s="263"/>
      <c r="T11" s="267"/>
      <c r="U11" s="267"/>
      <c r="V11" s="267"/>
      <c r="W11" s="268"/>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262"/>
      <c r="BK11" s="269"/>
      <c r="BL11" s="269"/>
      <c r="BM11" s="269"/>
      <c r="BN11" s="269"/>
      <c r="BO11" s="270"/>
    </row>
    <row r="12" spans="1:85" s="3" customFormat="1" ht="120" x14ac:dyDescent="0.2">
      <c r="A12" s="28"/>
      <c r="B12" s="65"/>
      <c r="C12" s="66"/>
      <c r="D12" s="1396"/>
      <c r="E12" s="1397"/>
      <c r="F12" s="1398"/>
      <c r="G12" s="271" t="s">
        <v>62</v>
      </c>
      <c r="H12" s="107" t="s">
        <v>158</v>
      </c>
      <c r="I12" s="45" t="s">
        <v>159</v>
      </c>
      <c r="J12" s="106">
        <v>1</v>
      </c>
      <c r="K12" s="36"/>
      <c r="L12" s="272" t="s">
        <v>160</v>
      </c>
      <c r="M12" s="37" t="s">
        <v>161</v>
      </c>
      <c r="N12" s="181" t="s">
        <v>162</v>
      </c>
      <c r="O12" s="273">
        <f>+T12/P12</f>
        <v>1</v>
      </c>
      <c r="P12" s="274">
        <f>+T12</f>
        <v>3000000</v>
      </c>
      <c r="Q12" s="213" t="s">
        <v>163</v>
      </c>
      <c r="R12" s="213" t="s">
        <v>164</v>
      </c>
      <c r="S12" s="107" t="s">
        <v>158</v>
      </c>
      <c r="T12" s="275">
        <v>3000000</v>
      </c>
      <c r="U12" s="354"/>
      <c r="V12" s="354"/>
      <c r="W12" s="44">
        <v>88</v>
      </c>
      <c r="X12" s="45" t="s">
        <v>165</v>
      </c>
      <c r="Y12" s="276">
        <v>295972</v>
      </c>
      <c r="Z12" s="276"/>
      <c r="AA12" s="276">
        <v>294321</v>
      </c>
      <c r="AB12" s="276"/>
      <c r="AC12" s="276">
        <v>132302</v>
      </c>
      <c r="AD12" s="276"/>
      <c r="AE12" s="276">
        <v>43426</v>
      </c>
      <c r="AF12" s="276"/>
      <c r="AG12" s="276">
        <v>313940</v>
      </c>
      <c r="AH12" s="276"/>
      <c r="AI12" s="276">
        <v>100625</v>
      </c>
      <c r="AJ12" s="276"/>
      <c r="AK12" s="276">
        <v>2145</v>
      </c>
      <c r="AL12" s="276"/>
      <c r="AM12" s="276">
        <v>12718</v>
      </c>
      <c r="AN12" s="276"/>
      <c r="AO12" s="276">
        <v>36</v>
      </c>
      <c r="AP12" s="276"/>
      <c r="AQ12" s="276">
        <v>0</v>
      </c>
      <c r="AR12" s="276"/>
      <c r="AS12" s="276">
        <v>0</v>
      </c>
      <c r="AT12" s="276"/>
      <c r="AU12" s="276">
        <v>0</v>
      </c>
      <c r="AV12" s="276"/>
      <c r="AW12" s="276">
        <v>70</v>
      </c>
      <c r="AX12" s="276"/>
      <c r="AY12" s="276">
        <v>21944</v>
      </c>
      <c r="AZ12" s="276"/>
      <c r="BA12" s="276">
        <v>285</v>
      </c>
      <c r="BB12" s="276"/>
      <c r="BC12" s="276">
        <v>590292</v>
      </c>
      <c r="BD12" s="320"/>
      <c r="BE12" s="320"/>
      <c r="BF12" s="320"/>
      <c r="BG12" s="320"/>
      <c r="BH12" s="320"/>
      <c r="BI12" s="320"/>
      <c r="BJ12" s="320"/>
      <c r="BK12" s="277">
        <v>44033</v>
      </c>
      <c r="BL12" s="277"/>
      <c r="BM12" s="277">
        <v>44195</v>
      </c>
      <c r="BN12" s="355"/>
      <c r="BO12" s="278" t="s">
        <v>166</v>
      </c>
    </row>
    <row r="13" spans="1:85" s="3" customFormat="1" ht="31.5" customHeight="1" x14ac:dyDescent="0.2">
      <c r="A13" s="14"/>
      <c r="B13" s="192"/>
      <c r="C13" s="279"/>
      <c r="D13" s="255">
        <v>13</v>
      </c>
      <c r="E13" s="256" t="s">
        <v>167</v>
      </c>
      <c r="F13" s="257"/>
      <c r="G13" s="258"/>
      <c r="H13" s="259"/>
      <c r="I13" s="259"/>
      <c r="J13" s="261"/>
      <c r="K13" s="261"/>
      <c r="L13" s="280"/>
      <c r="M13" s="281"/>
      <c r="N13" s="259"/>
      <c r="O13" s="264"/>
      <c r="P13" s="265"/>
      <c r="Q13" s="266"/>
      <c r="R13" s="266"/>
      <c r="S13" s="259"/>
      <c r="T13" s="267"/>
      <c r="U13" s="267"/>
      <c r="V13" s="267"/>
      <c r="W13" s="268"/>
      <c r="X13" s="266"/>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262"/>
      <c r="BK13" s="269"/>
      <c r="BL13" s="269"/>
      <c r="BM13" s="269"/>
      <c r="BN13" s="269"/>
      <c r="BO13" s="282"/>
    </row>
    <row r="14" spans="1:85" s="4" customFormat="1" ht="135" x14ac:dyDescent="0.2">
      <c r="A14" s="283"/>
      <c r="B14" s="91"/>
      <c r="C14" s="89"/>
      <c r="D14" s="1383"/>
      <c r="E14" s="1384"/>
      <c r="F14" s="1385"/>
      <c r="G14" s="271" t="s">
        <v>62</v>
      </c>
      <c r="H14" s="107" t="s">
        <v>168</v>
      </c>
      <c r="I14" s="45" t="s">
        <v>169</v>
      </c>
      <c r="J14" s="92">
        <v>2</v>
      </c>
      <c r="K14" s="218"/>
      <c r="L14" s="284" t="s">
        <v>170</v>
      </c>
      <c r="M14" s="37" t="s">
        <v>171</v>
      </c>
      <c r="N14" s="33" t="s">
        <v>172</v>
      </c>
      <c r="O14" s="285">
        <f>+T14/P14</f>
        <v>1</v>
      </c>
      <c r="P14" s="274">
        <f>+T14</f>
        <v>2000000</v>
      </c>
      <c r="Q14" s="213" t="s">
        <v>173</v>
      </c>
      <c r="R14" s="213" t="s">
        <v>174</v>
      </c>
      <c r="S14" s="107" t="s">
        <v>168</v>
      </c>
      <c r="T14" s="275">
        <v>2000000</v>
      </c>
      <c r="U14" s="275"/>
      <c r="V14" s="275"/>
      <c r="W14" s="110">
        <v>88</v>
      </c>
      <c r="X14" s="45" t="s">
        <v>165</v>
      </c>
      <c r="Y14" s="276">
        <v>295972</v>
      </c>
      <c r="Z14" s="276"/>
      <c r="AA14" s="276">
        <v>294321</v>
      </c>
      <c r="AB14" s="276"/>
      <c r="AC14" s="276">
        <v>132302</v>
      </c>
      <c r="AD14" s="276"/>
      <c r="AE14" s="276">
        <v>43426</v>
      </c>
      <c r="AF14" s="276"/>
      <c r="AG14" s="276">
        <v>313940</v>
      </c>
      <c r="AH14" s="276"/>
      <c r="AI14" s="276">
        <v>100625</v>
      </c>
      <c r="AJ14" s="276"/>
      <c r="AK14" s="276">
        <v>2145</v>
      </c>
      <c r="AL14" s="276"/>
      <c r="AM14" s="276">
        <v>12718</v>
      </c>
      <c r="AN14" s="276"/>
      <c r="AO14" s="276">
        <v>36</v>
      </c>
      <c r="AP14" s="276"/>
      <c r="AQ14" s="276">
        <v>0</v>
      </c>
      <c r="AR14" s="276"/>
      <c r="AS14" s="276">
        <v>0</v>
      </c>
      <c r="AT14" s="276"/>
      <c r="AU14" s="276">
        <v>0</v>
      </c>
      <c r="AV14" s="276"/>
      <c r="AW14" s="276">
        <v>70</v>
      </c>
      <c r="AX14" s="276"/>
      <c r="AY14" s="276">
        <v>21944</v>
      </c>
      <c r="AZ14" s="276"/>
      <c r="BA14" s="276">
        <v>285</v>
      </c>
      <c r="BB14" s="276"/>
      <c r="BC14" s="276">
        <v>590292</v>
      </c>
      <c r="BD14" s="320"/>
      <c r="BE14" s="320"/>
      <c r="BF14" s="320"/>
      <c r="BG14" s="320"/>
      <c r="BH14" s="320"/>
      <c r="BI14" s="320"/>
      <c r="BJ14" s="320"/>
      <c r="BK14" s="277">
        <v>44033</v>
      </c>
      <c r="BL14" s="277"/>
      <c r="BM14" s="277">
        <v>44195</v>
      </c>
      <c r="BN14" s="355"/>
      <c r="BO14" s="278" t="s">
        <v>166</v>
      </c>
    </row>
    <row r="15" spans="1:85" s="3" customFormat="1" ht="29.25" customHeight="1" x14ac:dyDescent="0.2">
      <c r="A15" s="14"/>
      <c r="B15" s="192"/>
      <c r="C15" s="279"/>
      <c r="D15" s="255">
        <v>15</v>
      </c>
      <c r="E15" s="256" t="s">
        <v>175</v>
      </c>
      <c r="F15" s="257"/>
      <c r="G15" s="258"/>
      <c r="H15" s="259"/>
      <c r="I15" s="259"/>
      <c r="J15" s="261"/>
      <c r="K15" s="261"/>
      <c r="L15" s="280"/>
      <c r="M15" s="281"/>
      <c r="N15" s="259"/>
      <c r="O15" s="264"/>
      <c r="P15" s="265"/>
      <c r="Q15" s="266"/>
      <c r="R15" s="266"/>
      <c r="S15" s="259"/>
      <c r="T15" s="267"/>
      <c r="U15" s="267"/>
      <c r="V15" s="267"/>
      <c r="W15" s="268"/>
      <c r="X15" s="266"/>
      <c r="Y15" s="262"/>
      <c r="Z15" s="262"/>
      <c r="AA15" s="262"/>
      <c r="AB15" s="262"/>
      <c r="AC15" s="262"/>
      <c r="AD15" s="262"/>
      <c r="AE15" s="262"/>
      <c r="AF15" s="262"/>
      <c r="AG15" s="262"/>
      <c r="AH15" s="262"/>
      <c r="AI15" s="262"/>
      <c r="AJ15" s="262"/>
      <c r="AK15" s="262"/>
      <c r="AL15" s="262"/>
      <c r="AM15" s="262"/>
      <c r="AN15" s="262"/>
      <c r="AO15" s="262"/>
      <c r="AP15" s="262"/>
      <c r="AQ15" s="262"/>
      <c r="AR15" s="262"/>
      <c r="AS15" s="262"/>
      <c r="AT15" s="262"/>
      <c r="AU15" s="262"/>
      <c r="AV15" s="262"/>
      <c r="AW15" s="262"/>
      <c r="AX15" s="262"/>
      <c r="AY15" s="262"/>
      <c r="AZ15" s="262"/>
      <c r="BA15" s="262"/>
      <c r="BB15" s="262"/>
      <c r="BC15" s="262"/>
      <c r="BD15" s="262"/>
      <c r="BE15" s="262"/>
      <c r="BF15" s="262"/>
      <c r="BG15" s="262"/>
      <c r="BH15" s="262"/>
      <c r="BI15" s="262"/>
      <c r="BJ15" s="262"/>
      <c r="BK15" s="269"/>
      <c r="BL15" s="269"/>
      <c r="BM15" s="269"/>
      <c r="BN15" s="269"/>
      <c r="BO15" s="282"/>
    </row>
    <row r="16" spans="1:85" s="221" customFormat="1" ht="90" x14ac:dyDescent="0.2">
      <c r="A16" s="286"/>
      <c r="B16" s="287"/>
      <c r="C16" s="288"/>
      <c r="D16" s="1399"/>
      <c r="E16" s="1400"/>
      <c r="F16" s="1401"/>
      <c r="G16" s="271" t="s">
        <v>62</v>
      </c>
      <c r="H16" s="181" t="s">
        <v>176</v>
      </c>
      <c r="I16" s="68" t="s">
        <v>177</v>
      </c>
      <c r="J16" s="218">
        <v>9</v>
      </c>
      <c r="K16" s="218"/>
      <c r="L16" s="36" t="s">
        <v>178</v>
      </c>
      <c r="M16" s="290" t="s">
        <v>179</v>
      </c>
      <c r="N16" s="181" t="s">
        <v>180</v>
      </c>
      <c r="O16" s="291">
        <f>(T16)/(P16+P18+P20+P22+P38+P47+P49)</f>
        <v>0.38083711956989569</v>
      </c>
      <c r="P16" s="274">
        <f>+T16</f>
        <v>2575091000</v>
      </c>
      <c r="Q16" s="213" t="s">
        <v>181</v>
      </c>
      <c r="R16" s="213" t="s">
        <v>182</v>
      </c>
      <c r="S16" s="181" t="s">
        <v>176</v>
      </c>
      <c r="T16" s="275">
        <v>2575091000</v>
      </c>
      <c r="U16" s="275">
        <v>159888333</v>
      </c>
      <c r="V16" s="275">
        <v>126110325</v>
      </c>
      <c r="W16" s="217" t="s">
        <v>183</v>
      </c>
      <c r="X16" s="68" t="s">
        <v>184</v>
      </c>
      <c r="Y16" s="292">
        <v>295972</v>
      </c>
      <c r="Z16" s="292"/>
      <c r="AA16" s="292">
        <v>285580</v>
      </c>
      <c r="AB16" s="292"/>
      <c r="AC16" s="292">
        <v>135545</v>
      </c>
      <c r="AD16" s="292"/>
      <c r="AE16" s="292">
        <v>44254</v>
      </c>
      <c r="AF16" s="292"/>
      <c r="AG16" s="292">
        <v>309146</v>
      </c>
      <c r="AH16" s="292"/>
      <c r="AI16" s="292">
        <v>92607</v>
      </c>
      <c r="AJ16" s="292"/>
      <c r="AK16" s="292">
        <v>2145</v>
      </c>
      <c r="AL16" s="292"/>
      <c r="AM16" s="292">
        <v>12718</v>
      </c>
      <c r="AN16" s="292"/>
      <c r="AO16" s="292">
        <v>26</v>
      </c>
      <c r="AP16" s="292"/>
      <c r="AQ16" s="292">
        <v>37</v>
      </c>
      <c r="AR16" s="292"/>
      <c r="AS16" s="292">
        <v>0</v>
      </c>
      <c r="AT16" s="292"/>
      <c r="AU16" s="292">
        <v>0</v>
      </c>
      <c r="AV16" s="292"/>
      <c r="AW16" s="292">
        <v>44350</v>
      </c>
      <c r="AX16" s="292"/>
      <c r="AY16" s="292">
        <v>21944</v>
      </c>
      <c r="AZ16" s="292"/>
      <c r="BA16" s="292">
        <v>75687</v>
      </c>
      <c r="BB16" s="292"/>
      <c r="BC16" s="292">
        <f>+Y16+AA16</f>
        <v>581552</v>
      </c>
      <c r="BD16" s="356">
        <f>Z16+AB16</f>
        <v>0</v>
      </c>
      <c r="BE16" s="292">
        <v>20</v>
      </c>
      <c r="BF16" s="357">
        <f>U16</f>
        <v>159888333</v>
      </c>
      <c r="BG16" s="357">
        <f>V16</f>
        <v>126110325</v>
      </c>
      <c r="BH16" s="358">
        <f>BG16/BF16</f>
        <v>0.78874000769024222</v>
      </c>
      <c r="BI16" s="359" t="s">
        <v>271</v>
      </c>
      <c r="BJ16" s="292"/>
      <c r="BK16" s="48">
        <v>43860</v>
      </c>
      <c r="BL16" s="360"/>
      <c r="BM16" s="293">
        <v>44042</v>
      </c>
      <c r="BN16" s="361"/>
      <c r="BO16" s="294" t="s">
        <v>185</v>
      </c>
    </row>
    <row r="17" spans="1:85" s="3" customFormat="1" ht="27" customHeight="1" x14ac:dyDescent="0.2">
      <c r="A17" s="14"/>
      <c r="B17" s="192"/>
      <c r="C17" s="279"/>
      <c r="D17" s="255">
        <v>25</v>
      </c>
      <c r="E17" s="256" t="s">
        <v>186</v>
      </c>
      <c r="F17" s="257"/>
      <c r="G17" s="258"/>
      <c r="H17" s="259"/>
      <c r="I17" s="259"/>
      <c r="J17" s="261"/>
      <c r="K17" s="261"/>
      <c r="L17" s="280"/>
      <c r="M17" s="281"/>
      <c r="N17" s="259"/>
      <c r="O17" s="264"/>
      <c r="P17" s="265"/>
      <c r="Q17" s="266"/>
      <c r="R17" s="266"/>
      <c r="S17" s="259"/>
      <c r="T17" s="267"/>
      <c r="U17" s="267"/>
      <c r="V17" s="267"/>
      <c r="W17" s="268"/>
      <c r="X17" s="266"/>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2"/>
      <c r="BH17" s="262"/>
      <c r="BI17" s="262"/>
      <c r="BJ17" s="262"/>
      <c r="BK17" s="269"/>
      <c r="BL17" s="269"/>
      <c r="BM17" s="269"/>
      <c r="BN17" s="269"/>
      <c r="BO17" s="282"/>
    </row>
    <row r="18" spans="1:85" s="4" customFormat="1" ht="45" x14ac:dyDescent="0.2">
      <c r="A18" s="283"/>
      <c r="B18" s="91"/>
      <c r="C18" s="89"/>
      <c r="D18" s="1383"/>
      <c r="E18" s="1384"/>
      <c r="F18" s="1385"/>
      <c r="G18" s="271" t="s">
        <v>187</v>
      </c>
      <c r="H18" s="181" t="s">
        <v>188</v>
      </c>
      <c r="I18" s="45" t="s">
        <v>189</v>
      </c>
      <c r="J18" s="92">
        <v>1</v>
      </c>
      <c r="K18" s="218"/>
      <c r="L18" s="284" t="s">
        <v>190</v>
      </c>
      <c r="M18" s="290" t="s">
        <v>179</v>
      </c>
      <c r="N18" s="181" t="s">
        <v>180</v>
      </c>
      <c r="O18" s="295">
        <f>(T18)/(P16+P18+P20+P22+P38+P47+P49)</f>
        <v>7.3946342006922412E-3</v>
      </c>
      <c r="P18" s="274">
        <f>+T18</f>
        <v>50000000</v>
      </c>
      <c r="Q18" s="40" t="s">
        <v>181</v>
      </c>
      <c r="R18" s="40" t="s">
        <v>182</v>
      </c>
      <c r="S18" s="181" t="s">
        <v>188</v>
      </c>
      <c r="T18" s="275">
        <v>50000000</v>
      </c>
      <c r="U18" s="275"/>
      <c r="V18" s="275"/>
      <c r="W18" s="110" t="s">
        <v>191</v>
      </c>
      <c r="X18" s="40" t="s">
        <v>192</v>
      </c>
      <c r="Y18" s="292">
        <v>295972</v>
      </c>
      <c r="Z18" s="292"/>
      <c r="AA18" s="292">
        <v>285580</v>
      </c>
      <c r="AB18" s="292"/>
      <c r="AC18" s="292">
        <v>135545</v>
      </c>
      <c r="AD18" s="292"/>
      <c r="AE18" s="292">
        <v>44254</v>
      </c>
      <c r="AF18" s="292"/>
      <c r="AG18" s="292">
        <v>309146</v>
      </c>
      <c r="AH18" s="292"/>
      <c r="AI18" s="292">
        <v>92607</v>
      </c>
      <c r="AJ18" s="292"/>
      <c r="AK18" s="292">
        <v>2145</v>
      </c>
      <c r="AL18" s="292"/>
      <c r="AM18" s="292">
        <v>12718</v>
      </c>
      <c r="AN18" s="292"/>
      <c r="AO18" s="292">
        <v>26</v>
      </c>
      <c r="AP18" s="292"/>
      <c r="AQ18" s="292">
        <v>37</v>
      </c>
      <c r="AR18" s="292"/>
      <c r="AS18" s="292">
        <v>0</v>
      </c>
      <c r="AT18" s="292"/>
      <c r="AU18" s="292">
        <v>0</v>
      </c>
      <c r="AV18" s="292"/>
      <c r="AW18" s="292">
        <v>44350</v>
      </c>
      <c r="AX18" s="292"/>
      <c r="AY18" s="292">
        <v>21944</v>
      </c>
      <c r="AZ18" s="292"/>
      <c r="BA18" s="292">
        <v>75687</v>
      </c>
      <c r="BB18" s="292"/>
      <c r="BC18" s="292">
        <f>+Y18+AA18</f>
        <v>581552</v>
      </c>
      <c r="BD18" s="292"/>
      <c r="BE18" s="292"/>
      <c r="BF18" s="292"/>
      <c r="BG18" s="292"/>
      <c r="BH18" s="292"/>
      <c r="BI18" s="292"/>
      <c r="BJ18" s="292"/>
      <c r="BK18" s="48">
        <v>43832</v>
      </c>
      <c r="BL18" s="360"/>
      <c r="BM18" s="277">
        <v>44195</v>
      </c>
      <c r="BN18" s="355"/>
      <c r="BO18" s="278" t="s">
        <v>166</v>
      </c>
    </row>
    <row r="19" spans="1:85" s="3" customFormat="1" ht="27" customHeight="1" x14ac:dyDescent="0.2">
      <c r="A19" s="14"/>
      <c r="B19" s="192"/>
      <c r="C19" s="279"/>
      <c r="D19" s="255">
        <v>39</v>
      </c>
      <c r="E19" s="256" t="s">
        <v>193</v>
      </c>
      <c r="F19" s="257"/>
      <c r="G19" s="258"/>
      <c r="H19" s="259"/>
      <c r="I19" s="259"/>
      <c r="J19" s="261"/>
      <c r="K19" s="261"/>
      <c r="L19" s="280"/>
      <c r="M19" s="296"/>
      <c r="N19" s="297"/>
      <c r="O19" s="264"/>
      <c r="P19" s="265"/>
      <c r="Q19" s="266"/>
      <c r="R19" s="266"/>
      <c r="S19" s="259"/>
      <c r="T19" s="267"/>
      <c r="U19" s="267"/>
      <c r="V19" s="267"/>
      <c r="W19" s="268"/>
      <c r="X19" s="266"/>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2"/>
      <c r="AZ19" s="262"/>
      <c r="BA19" s="262"/>
      <c r="BB19" s="262"/>
      <c r="BC19" s="262"/>
      <c r="BD19" s="262"/>
      <c r="BE19" s="262"/>
      <c r="BF19" s="262"/>
      <c r="BG19" s="262"/>
      <c r="BH19" s="262"/>
      <c r="BI19" s="262"/>
      <c r="BJ19" s="262"/>
      <c r="BK19" s="269"/>
      <c r="BL19" s="269"/>
      <c r="BM19" s="269"/>
      <c r="BN19" s="269"/>
      <c r="BO19" s="282"/>
    </row>
    <row r="20" spans="1:85" s="221" customFormat="1" ht="75" x14ac:dyDescent="0.2">
      <c r="A20" s="286"/>
      <c r="B20" s="287"/>
      <c r="C20" s="288"/>
      <c r="D20" s="1399"/>
      <c r="E20" s="1400"/>
      <c r="F20" s="1401"/>
      <c r="G20" s="271" t="s">
        <v>62</v>
      </c>
      <c r="H20" s="107" t="s">
        <v>194</v>
      </c>
      <c r="I20" s="68" t="s">
        <v>195</v>
      </c>
      <c r="J20" s="218">
        <v>3</v>
      </c>
      <c r="K20" s="218"/>
      <c r="L20" s="272" t="s">
        <v>196</v>
      </c>
      <c r="M20" s="290" t="s">
        <v>179</v>
      </c>
      <c r="N20" s="181" t="s">
        <v>180</v>
      </c>
      <c r="O20" s="291">
        <f>(T20)/(P20+P16+P18+P22+P38+P47+P49)</f>
        <v>0.24678262710730342</v>
      </c>
      <c r="P20" s="274">
        <v>1668660142</v>
      </c>
      <c r="Q20" s="213" t="s">
        <v>181</v>
      </c>
      <c r="R20" s="213" t="s">
        <v>182</v>
      </c>
      <c r="S20" s="107" t="s">
        <v>194</v>
      </c>
      <c r="T20" s="275">
        <v>1668660142</v>
      </c>
      <c r="U20" s="275">
        <v>89292000</v>
      </c>
      <c r="V20" s="275">
        <v>76775000</v>
      </c>
      <c r="W20" s="298" t="s">
        <v>197</v>
      </c>
      <c r="X20" s="213" t="s">
        <v>198</v>
      </c>
      <c r="Y20" s="292">
        <v>295972</v>
      </c>
      <c r="Z20" s="292"/>
      <c r="AA20" s="292">
        <v>285580</v>
      </c>
      <c r="AB20" s="292"/>
      <c r="AC20" s="292">
        <v>135545</v>
      </c>
      <c r="AD20" s="292"/>
      <c r="AE20" s="292">
        <v>44254</v>
      </c>
      <c r="AF20" s="292"/>
      <c r="AG20" s="292">
        <v>309146</v>
      </c>
      <c r="AH20" s="292"/>
      <c r="AI20" s="292">
        <v>92607</v>
      </c>
      <c r="AJ20" s="292"/>
      <c r="AK20" s="292">
        <v>2145</v>
      </c>
      <c r="AL20" s="292"/>
      <c r="AM20" s="292">
        <v>12718</v>
      </c>
      <c r="AN20" s="292"/>
      <c r="AO20" s="292">
        <v>26</v>
      </c>
      <c r="AP20" s="292"/>
      <c r="AQ20" s="292">
        <v>37</v>
      </c>
      <c r="AR20" s="292"/>
      <c r="AS20" s="292">
        <v>0</v>
      </c>
      <c r="AT20" s="292"/>
      <c r="AU20" s="292">
        <v>0</v>
      </c>
      <c r="AV20" s="292"/>
      <c r="AW20" s="292">
        <v>44350</v>
      </c>
      <c r="AX20" s="292"/>
      <c r="AY20" s="292">
        <v>21944</v>
      </c>
      <c r="AZ20" s="292"/>
      <c r="BA20" s="292">
        <v>75687</v>
      </c>
      <c r="BB20" s="292"/>
      <c r="BC20" s="292">
        <f>+Y20+AA20</f>
        <v>581552</v>
      </c>
      <c r="BD20" s="356">
        <f>Z20+AB20</f>
        <v>0</v>
      </c>
      <c r="BE20" s="292">
        <v>13</v>
      </c>
      <c r="BF20" s="357">
        <f>U20</f>
        <v>89292000</v>
      </c>
      <c r="BG20" s="357">
        <f>V20</f>
        <v>76775000</v>
      </c>
      <c r="BH20" s="358">
        <f>BG20/BF20</f>
        <v>0.85981946870940285</v>
      </c>
      <c r="BI20" s="359" t="s">
        <v>271</v>
      </c>
      <c r="BJ20" s="292"/>
      <c r="BK20" s="48">
        <v>43860</v>
      </c>
      <c r="BL20" s="360"/>
      <c r="BM20" s="293">
        <v>44042</v>
      </c>
      <c r="BN20" s="361"/>
      <c r="BO20" s="294" t="s">
        <v>185</v>
      </c>
    </row>
    <row r="21" spans="1:85" s="3" customFormat="1" ht="27" customHeight="1" x14ac:dyDescent="0.2">
      <c r="A21" s="14"/>
      <c r="B21" s="192"/>
      <c r="C21" s="279"/>
      <c r="D21" s="255">
        <v>40</v>
      </c>
      <c r="E21" s="256" t="s">
        <v>199</v>
      </c>
      <c r="F21" s="257"/>
      <c r="G21" s="258"/>
      <c r="H21" s="259"/>
      <c r="I21" s="259"/>
      <c r="J21" s="261"/>
      <c r="K21" s="261"/>
      <c r="L21" s="280"/>
      <c r="M21" s="281"/>
      <c r="N21" s="259"/>
      <c r="O21" s="264"/>
      <c r="P21" s="265"/>
      <c r="Q21" s="266"/>
      <c r="R21" s="266"/>
      <c r="S21" s="259"/>
      <c r="T21" s="267"/>
      <c r="U21" s="267"/>
      <c r="V21" s="267"/>
      <c r="W21" s="268"/>
      <c r="X21" s="266"/>
      <c r="Y21" s="262"/>
      <c r="Z21" s="262"/>
      <c r="AA21" s="262"/>
      <c r="AB21" s="262"/>
      <c r="AC21" s="262"/>
      <c r="AD21" s="262"/>
      <c r="AE21" s="262"/>
      <c r="AF21" s="262"/>
      <c r="AG21" s="262"/>
      <c r="AH21" s="262"/>
      <c r="AI21" s="262"/>
      <c r="AJ21" s="262"/>
      <c r="AK21" s="262"/>
      <c r="AL21" s="262"/>
      <c r="AM21" s="262"/>
      <c r="AN21" s="262"/>
      <c r="AO21" s="262"/>
      <c r="AP21" s="262"/>
      <c r="AQ21" s="262"/>
      <c r="AR21" s="262"/>
      <c r="AS21" s="262"/>
      <c r="AT21" s="262"/>
      <c r="AU21" s="262"/>
      <c r="AV21" s="262"/>
      <c r="AW21" s="262"/>
      <c r="AX21" s="262"/>
      <c r="AY21" s="262"/>
      <c r="AZ21" s="262"/>
      <c r="BA21" s="262"/>
      <c r="BB21" s="262"/>
      <c r="BC21" s="262"/>
      <c r="BD21" s="362"/>
      <c r="BE21" s="262"/>
      <c r="BF21" s="262"/>
      <c r="BG21" s="262"/>
      <c r="BH21" s="262"/>
      <c r="BI21" s="262"/>
      <c r="BJ21" s="262"/>
      <c r="BK21" s="269"/>
      <c r="BL21" s="269"/>
      <c r="BM21" s="269"/>
      <c r="BN21" s="269"/>
      <c r="BO21" s="282"/>
    </row>
    <row r="22" spans="1:85" s="4" customFormat="1" ht="79.5" customHeight="1" x14ac:dyDescent="0.2">
      <c r="A22" s="283"/>
      <c r="B22" s="91"/>
      <c r="C22" s="89"/>
      <c r="D22" s="1383"/>
      <c r="E22" s="1384"/>
      <c r="F22" s="1385"/>
      <c r="G22" s="271">
        <v>4302020</v>
      </c>
      <c r="H22" s="107" t="s">
        <v>200</v>
      </c>
      <c r="I22" s="45" t="s">
        <v>200</v>
      </c>
      <c r="J22" s="92">
        <v>0.25</v>
      </c>
      <c r="K22" s="218"/>
      <c r="L22" s="34" t="s">
        <v>201</v>
      </c>
      <c r="M22" s="290" t="s">
        <v>179</v>
      </c>
      <c r="N22" s="181" t="s">
        <v>180</v>
      </c>
      <c r="O22" s="295">
        <f>(T22)/(P16+P18+P20+P22+P38+P47+P49)</f>
        <v>0.24678262705554102</v>
      </c>
      <c r="P22" s="274">
        <f>+T22</f>
        <v>1668660141.6500001</v>
      </c>
      <c r="Q22" s="40" t="s">
        <v>181</v>
      </c>
      <c r="R22" s="40" t="s">
        <v>182</v>
      </c>
      <c r="S22" s="107" t="s">
        <v>200</v>
      </c>
      <c r="T22" s="275">
        <v>1668660141.6500001</v>
      </c>
      <c r="U22" s="275"/>
      <c r="V22" s="275"/>
      <c r="W22" s="299" t="s">
        <v>202</v>
      </c>
      <c r="X22" s="45" t="s">
        <v>203</v>
      </c>
      <c r="Y22" s="292">
        <v>295972</v>
      </c>
      <c r="Z22" s="292"/>
      <c r="AA22" s="292">
        <v>285580</v>
      </c>
      <c r="AB22" s="292"/>
      <c r="AC22" s="292">
        <v>135545</v>
      </c>
      <c r="AD22" s="292"/>
      <c r="AE22" s="292">
        <v>44254</v>
      </c>
      <c r="AF22" s="292"/>
      <c r="AG22" s="292">
        <v>309146</v>
      </c>
      <c r="AH22" s="292"/>
      <c r="AI22" s="292">
        <v>92607</v>
      </c>
      <c r="AJ22" s="292"/>
      <c r="AK22" s="292">
        <v>2145</v>
      </c>
      <c r="AL22" s="292"/>
      <c r="AM22" s="292">
        <v>12718</v>
      </c>
      <c r="AN22" s="292"/>
      <c r="AO22" s="292">
        <v>26</v>
      </c>
      <c r="AP22" s="292"/>
      <c r="AQ22" s="292">
        <v>37</v>
      </c>
      <c r="AR22" s="292"/>
      <c r="AS22" s="292">
        <v>0</v>
      </c>
      <c r="AT22" s="292"/>
      <c r="AU22" s="292">
        <v>0</v>
      </c>
      <c r="AV22" s="292"/>
      <c r="AW22" s="292">
        <v>44350</v>
      </c>
      <c r="AX22" s="292"/>
      <c r="AY22" s="292">
        <v>21944</v>
      </c>
      <c r="AZ22" s="292"/>
      <c r="BA22" s="292">
        <v>75687</v>
      </c>
      <c r="BB22" s="292"/>
      <c r="BC22" s="292">
        <f>+Y22+AA22</f>
        <v>581552</v>
      </c>
      <c r="BD22" s="363"/>
      <c r="BE22" s="292"/>
      <c r="BF22" s="292"/>
      <c r="BG22" s="292"/>
      <c r="BH22" s="292"/>
      <c r="BI22" s="292"/>
      <c r="BJ22" s="292"/>
      <c r="BK22" s="48">
        <v>43832</v>
      </c>
      <c r="BL22" s="360"/>
      <c r="BM22" s="277">
        <v>44195</v>
      </c>
      <c r="BN22" s="355"/>
      <c r="BO22" s="278" t="s">
        <v>166</v>
      </c>
    </row>
    <row r="23" spans="1:85" s="91" customFormat="1" ht="21.75" customHeight="1" x14ac:dyDescent="0.2">
      <c r="A23" s="300">
        <v>2</v>
      </c>
      <c r="B23" s="301" t="s">
        <v>204</v>
      </c>
      <c r="C23" s="302"/>
      <c r="D23" s="242"/>
      <c r="E23" s="303"/>
      <c r="F23" s="303"/>
      <c r="G23" s="303"/>
      <c r="H23" s="242"/>
      <c r="I23" s="242"/>
      <c r="J23" s="304"/>
      <c r="K23" s="304"/>
      <c r="L23" s="305"/>
      <c r="M23" s="306"/>
      <c r="N23" s="307"/>
      <c r="O23" s="308"/>
      <c r="P23" s="309"/>
      <c r="Q23" s="310"/>
      <c r="R23" s="310"/>
      <c r="S23" s="242"/>
      <c r="T23" s="311"/>
      <c r="U23" s="311"/>
      <c r="V23" s="311"/>
      <c r="W23" s="312"/>
      <c r="X23" s="310"/>
      <c r="Y23" s="304"/>
      <c r="Z23" s="304"/>
      <c r="AA23" s="304"/>
      <c r="AB23" s="304"/>
      <c r="AC23" s="304"/>
      <c r="AD23" s="304"/>
      <c r="AE23" s="304"/>
      <c r="AF23" s="304"/>
      <c r="AG23" s="304"/>
      <c r="AH23" s="304"/>
      <c r="AI23" s="304"/>
      <c r="AJ23" s="304"/>
      <c r="AK23" s="304"/>
      <c r="AL23" s="304"/>
      <c r="AM23" s="304"/>
      <c r="AN23" s="304"/>
      <c r="AO23" s="304"/>
      <c r="AP23" s="304"/>
      <c r="AQ23" s="304"/>
      <c r="AR23" s="304"/>
      <c r="AS23" s="304"/>
      <c r="AT23" s="304"/>
      <c r="AU23" s="304"/>
      <c r="AV23" s="304"/>
      <c r="AW23" s="304"/>
      <c r="AX23" s="304"/>
      <c r="AY23" s="304"/>
      <c r="AZ23" s="304"/>
      <c r="BA23" s="304"/>
      <c r="BB23" s="304"/>
      <c r="BC23" s="304"/>
      <c r="BD23" s="304"/>
      <c r="BE23" s="304"/>
      <c r="BF23" s="304"/>
      <c r="BG23" s="304"/>
      <c r="BH23" s="304"/>
      <c r="BI23" s="304"/>
      <c r="BJ23" s="304"/>
      <c r="BK23" s="313"/>
      <c r="BL23" s="313"/>
      <c r="BM23" s="313"/>
      <c r="BN23" s="313"/>
      <c r="BO23" s="314"/>
      <c r="BP23" s="3"/>
      <c r="BQ23" s="3"/>
      <c r="BR23" s="3"/>
      <c r="BS23" s="3"/>
      <c r="BT23" s="3"/>
      <c r="BU23" s="3"/>
      <c r="BV23" s="3"/>
      <c r="BW23" s="3"/>
      <c r="BX23" s="3"/>
      <c r="BY23" s="3"/>
      <c r="BZ23" s="3"/>
      <c r="CA23" s="3"/>
      <c r="CB23" s="3"/>
      <c r="CC23" s="3"/>
      <c r="CD23" s="3"/>
      <c r="CE23" s="3"/>
      <c r="CF23" s="3"/>
      <c r="CG23" s="3"/>
    </row>
    <row r="24" spans="1:85" s="3" customFormat="1" ht="24" customHeight="1" x14ac:dyDescent="0.2">
      <c r="A24" s="167"/>
      <c r="B24" s="253"/>
      <c r="C24" s="254"/>
      <c r="D24" s="255">
        <v>10</v>
      </c>
      <c r="E24" s="256" t="s">
        <v>205</v>
      </c>
      <c r="F24" s="257"/>
      <c r="G24" s="258"/>
      <c r="H24" s="259"/>
      <c r="I24" s="259"/>
      <c r="J24" s="261"/>
      <c r="K24" s="261"/>
      <c r="L24" s="280"/>
      <c r="M24" s="281"/>
      <c r="N24" s="259"/>
      <c r="O24" s="264"/>
      <c r="P24" s="265"/>
      <c r="Q24" s="266"/>
      <c r="R24" s="266"/>
      <c r="S24" s="259"/>
      <c r="T24" s="267"/>
      <c r="U24" s="267"/>
      <c r="V24" s="267"/>
      <c r="W24" s="268"/>
      <c r="X24" s="266"/>
      <c r="Y24" s="262"/>
      <c r="Z24" s="262"/>
      <c r="AA24" s="262"/>
      <c r="AB24" s="262"/>
      <c r="AC24" s="262"/>
      <c r="AD24" s="262"/>
      <c r="AE24" s="262"/>
      <c r="AF24" s="262"/>
      <c r="AG24" s="262"/>
      <c r="AH24" s="262"/>
      <c r="AI24" s="262"/>
      <c r="AJ24" s="262"/>
      <c r="AK24" s="262"/>
      <c r="AL24" s="262"/>
      <c r="AM24" s="262"/>
      <c r="AN24" s="262"/>
      <c r="AO24" s="262"/>
      <c r="AP24" s="262"/>
      <c r="AQ24" s="262"/>
      <c r="AR24" s="262"/>
      <c r="AS24" s="262"/>
      <c r="AT24" s="262"/>
      <c r="AU24" s="262"/>
      <c r="AV24" s="262"/>
      <c r="AW24" s="262"/>
      <c r="AX24" s="262"/>
      <c r="AY24" s="262"/>
      <c r="AZ24" s="262"/>
      <c r="BA24" s="262"/>
      <c r="BB24" s="262"/>
      <c r="BC24" s="262"/>
      <c r="BD24" s="262"/>
      <c r="BE24" s="262"/>
      <c r="BF24" s="262"/>
      <c r="BG24" s="262"/>
      <c r="BH24" s="262"/>
      <c r="BI24" s="262"/>
      <c r="BJ24" s="262"/>
      <c r="BK24" s="269"/>
      <c r="BL24" s="269"/>
      <c r="BM24" s="269"/>
      <c r="BN24" s="269"/>
      <c r="BO24" s="282"/>
    </row>
    <row r="25" spans="1:85" s="4" customFormat="1" ht="128.25" customHeight="1" x14ac:dyDescent="0.2">
      <c r="A25" s="283"/>
      <c r="B25" s="91"/>
      <c r="C25" s="89"/>
      <c r="D25" s="1386"/>
      <c r="E25" s="1387"/>
      <c r="F25" s="1388"/>
      <c r="G25" s="315">
        <v>1709078</v>
      </c>
      <c r="H25" s="107" t="s">
        <v>206</v>
      </c>
      <c r="I25" s="45" t="s">
        <v>206</v>
      </c>
      <c r="J25" s="92">
        <v>1</v>
      </c>
      <c r="K25" s="364"/>
      <c r="L25" s="316" t="s">
        <v>207</v>
      </c>
      <c r="M25" s="31" t="s">
        <v>208</v>
      </c>
      <c r="N25" s="317" t="s">
        <v>209</v>
      </c>
      <c r="O25" s="295">
        <f>(T25)/(P25+P27+P33)</f>
        <v>0.5</v>
      </c>
      <c r="P25" s="274">
        <f>+T25</f>
        <v>2000000</v>
      </c>
      <c r="Q25" s="318" t="s">
        <v>210</v>
      </c>
      <c r="R25" s="318" t="s">
        <v>211</v>
      </c>
      <c r="S25" s="107" t="s">
        <v>206</v>
      </c>
      <c r="T25" s="275">
        <f>1000000+1000000</f>
        <v>2000000</v>
      </c>
      <c r="U25" s="365"/>
      <c r="V25" s="365"/>
      <c r="W25" s="319">
        <v>88</v>
      </c>
      <c r="X25" s="201" t="s">
        <v>165</v>
      </c>
      <c r="Y25" s="320">
        <v>295972</v>
      </c>
      <c r="Z25" s="320"/>
      <c r="AA25" s="320">
        <v>294321</v>
      </c>
      <c r="AB25" s="320"/>
      <c r="AC25" s="320">
        <v>132302</v>
      </c>
      <c r="AD25" s="320"/>
      <c r="AE25" s="320">
        <v>43426</v>
      </c>
      <c r="AF25" s="320"/>
      <c r="AG25" s="320">
        <v>313940</v>
      </c>
      <c r="AH25" s="320"/>
      <c r="AI25" s="320">
        <v>100625</v>
      </c>
      <c r="AJ25" s="320"/>
      <c r="AK25" s="320">
        <v>2145</v>
      </c>
      <c r="AL25" s="320"/>
      <c r="AM25" s="320">
        <v>12718</v>
      </c>
      <c r="AN25" s="320"/>
      <c r="AO25" s="320">
        <v>36</v>
      </c>
      <c r="AP25" s="320"/>
      <c r="AQ25" s="320">
        <v>0</v>
      </c>
      <c r="AR25" s="320"/>
      <c r="AS25" s="320">
        <v>0</v>
      </c>
      <c r="AT25" s="320"/>
      <c r="AU25" s="320">
        <v>0</v>
      </c>
      <c r="AV25" s="320"/>
      <c r="AW25" s="320">
        <v>70</v>
      </c>
      <c r="AX25" s="320"/>
      <c r="AY25" s="320">
        <v>21944</v>
      </c>
      <c r="AZ25" s="320"/>
      <c r="BA25" s="320">
        <v>285</v>
      </c>
      <c r="BB25" s="320"/>
      <c r="BC25" s="320">
        <v>590292</v>
      </c>
      <c r="BD25" s="320"/>
      <c r="BE25" s="320"/>
      <c r="BF25" s="320"/>
      <c r="BG25" s="320"/>
      <c r="BH25" s="320"/>
      <c r="BI25" s="320"/>
      <c r="BJ25" s="320"/>
      <c r="BK25" s="277">
        <v>44033</v>
      </c>
      <c r="BL25" s="277"/>
      <c r="BM25" s="277">
        <v>44195</v>
      </c>
      <c r="BN25" s="277"/>
      <c r="BO25" s="317" t="s">
        <v>166</v>
      </c>
    </row>
    <row r="26" spans="1:85" s="3" customFormat="1" ht="24" customHeight="1" x14ac:dyDescent="0.2">
      <c r="A26" s="14"/>
      <c r="B26" s="192"/>
      <c r="C26" s="279"/>
      <c r="D26" s="255">
        <v>27</v>
      </c>
      <c r="E26" s="256" t="s">
        <v>212</v>
      </c>
      <c r="F26" s="257"/>
      <c r="G26" s="258"/>
      <c r="H26" s="259"/>
      <c r="I26" s="259"/>
      <c r="J26" s="261"/>
      <c r="K26" s="261"/>
      <c r="L26" s="280"/>
      <c r="M26" s="281"/>
      <c r="N26" s="259"/>
      <c r="O26" s="264"/>
      <c r="P26" s="265"/>
      <c r="Q26" s="266"/>
      <c r="R26" s="266"/>
      <c r="S26" s="259"/>
      <c r="T26" s="267"/>
      <c r="U26" s="267"/>
      <c r="V26" s="267"/>
      <c r="W26" s="268"/>
      <c r="X26" s="266"/>
      <c r="Y26" s="262"/>
      <c r="Z26" s="262"/>
      <c r="AA26" s="262"/>
      <c r="AB26" s="262"/>
      <c r="AC26" s="262"/>
      <c r="AD26" s="262"/>
      <c r="AE26" s="262"/>
      <c r="AF26" s="262"/>
      <c r="AG26" s="262"/>
      <c r="AH26" s="262"/>
      <c r="AI26" s="262"/>
      <c r="AJ26" s="262"/>
      <c r="AK26" s="262"/>
      <c r="AL26" s="262"/>
      <c r="AM26" s="262"/>
      <c r="AN26" s="262"/>
      <c r="AO26" s="262"/>
      <c r="AP26" s="262"/>
      <c r="AQ26" s="262"/>
      <c r="AR26" s="262"/>
      <c r="AS26" s="262"/>
      <c r="AT26" s="262"/>
      <c r="AU26" s="262"/>
      <c r="AV26" s="262"/>
      <c r="AW26" s="262"/>
      <c r="AX26" s="262"/>
      <c r="AY26" s="262"/>
      <c r="AZ26" s="262"/>
      <c r="BA26" s="262"/>
      <c r="BB26" s="262"/>
      <c r="BC26" s="262"/>
      <c r="BD26" s="262"/>
      <c r="BE26" s="262"/>
      <c r="BF26" s="262"/>
      <c r="BG26" s="262"/>
      <c r="BH26" s="262"/>
      <c r="BI26" s="262"/>
      <c r="BJ26" s="262"/>
      <c r="BK26" s="269"/>
      <c r="BL26" s="269"/>
      <c r="BM26" s="269"/>
      <c r="BN26" s="269"/>
      <c r="BO26" s="282"/>
    </row>
    <row r="27" spans="1:85" s="4" customFormat="1" ht="123.75" customHeight="1" x14ac:dyDescent="0.2">
      <c r="A27" s="321"/>
      <c r="B27" s="103"/>
      <c r="C27" s="104"/>
      <c r="D27" s="1383"/>
      <c r="E27" s="1384"/>
      <c r="F27" s="1385"/>
      <c r="G27" s="315">
        <v>3502084</v>
      </c>
      <c r="H27" s="107" t="s">
        <v>213</v>
      </c>
      <c r="I27" s="45" t="s">
        <v>213</v>
      </c>
      <c r="J27" s="92">
        <v>0.5</v>
      </c>
      <c r="K27" s="218"/>
      <c r="L27" s="284" t="s">
        <v>214</v>
      </c>
      <c r="M27" s="37" t="s">
        <v>208</v>
      </c>
      <c r="N27" s="33" t="s">
        <v>209</v>
      </c>
      <c r="O27" s="295">
        <f>(T27)/(P25+P27+P33)</f>
        <v>0.25</v>
      </c>
      <c r="P27" s="274">
        <f>+T27</f>
        <v>1000000</v>
      </c>
      <c r="Q27" s="213" t="s">
        <v>210</v>
      </c>
      <c r="R27" s="213" t="s">
        <v>215</v>
      </c>
      <c r="S27" s="107" t="s">
        <v>213</v>
      </c>
      <c r="T27" s="275">
        <v>1000000</v>
      </c>
      <c r="U27" s="275"/>
      <c r="V27" s="275"/>
      <c r="W27" s="110">
        <v>88</v>
      </c>
      <c r="X27" s="40" t="s">
        <v>165</v>
      </c>
      <c r="Y27" s="276">
        <v>295972</v>
      </c>
      <c r="Z27" s="276"/>
      <c r="AA27" s="276">
        <v>294321</v>
      </c>
      <c r="AB27" s="276"/>
      <c r="AC27" s="276">
        <v>132302</v>
      </c>
      <c r="AD27" s="276"/>
      <c r="AE27" s="276">
        <v>43426</v>
      </c>
      <c r="AF27" s="276"/>
      <c r="AG27" s="276">
        <v>313940</v>
      </c>
      <c r="AH27" s="276"/>
      <c r="AI27" s="276">
        <v>100625</v>
      </c>
      <c r="AJ27" s="276"/>
      <c r="AK27" s="276">
        <v>2145</v>
      </c>
      <c r="AL27" s="276"/>
      <c r="AM27" s="276">
        <v>12718</v>
      </c>
      <c r="AN27" s="276"/>
      <c r="AO27" s="276">
        <v>36</v>
      </c>
      <c r="AP27" s="276"/>
      <c r="AQ27" s="276">
        <v>0</v>
      </c>
      <c r="AR27" s="276"/>
      <c r="AS27" s="276">
        <v>0</v>
      </c>
      <c r="AT27" s="276"/>
      <c r="AU27" s="276">
        <v>0</v>
      </c>
      <c r="AV27" s="276"/>
      <c r="AW27" s="276">
        <v>70</v>
      </c>
      <c r="AX27" s="276"/>
      <c r="AY27" s="276">
        <v>21944</v>
      </c>
      <c r="AZ27" s="276"/>
      <c r="BA27" s="276">
        <v>285</v>
      </c>
      <c r="BB27" s="276"/>
      <c r="BC27" s="276">
        <v>590292</v>
      </c>
      <c r="BD27" s="320"/>
      <c r="BE27" s="320"/>
      <c r="BF27" s="320"/>
      <c r="BG27" s="320"/>
      <c r="BH27" s="320"/>
      <c r="BI27" s="320"/>
      <c r="BJ27" s="320"/>
      <c r="BK27" s="277">
        <v>44033</v>
      </c>
      <c r="BL27" s="277"/>
      <c r="BM27" s="277">
        <v>44195</v>
      </c>
      <c r="BN27" s="277"/>
      <c r="BO27" s="33" t="s">
        <v>166</v>
      </c>
    </row>
    <row r="28" spans="1:85" s="91" customFormat="1" ht="21.75" customHeight="1" x14ac:dyDescent="0.2">
      <c r="A28" s="300">
        <v>3</v>
      </c>
      <c r="B28" s="301" t="s">
        <v>216</v>
      </c>
      <c r="C28" s="302"/>
      <c r="D28" s="242"/>
      <c r="E28" s="303"/>
      <c r="F28" s="303"/>
      <c r="G28" s="303"/>
      <c r="H28" s="242"/>
      <c r="I28" s="242"/>
      <c r="J28" s="304"/>
      <c r="K28" s="304"/>
      <c r="L28" s="305"/>
      <c r="M28" s="306"/>
      <c r="N28" s="307"/>
      <c r="O28" s="308"/>
      <c r="P28" s="309"/>
      <c r="Q28" s="310"/>
      <c r="R28" s="310"/>
      <c r="S28" s="242"/>
      <c r="T28" s="311"/>
      <c r="U28" s="311"/>
      <c r="V28" s="311"/>
      <c r="W28" s="312"/>
      <c r="X28" s="310"/>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c r="BF28" s="304"/>
      <c r="BG28" s="304"/>
      <c r="BH28" s="304"/>
      <c r="BI28" s="304"/>
      <c r="BJ28" s="304"/>
      <c r="BK28" s="313"/>
      <c r="BL28" s="313"/>
      <c r="BM28" s="313"/>
      <c r="BN28" s="313"/>
      <c r="BO28" s="314"/>
      <c r="BP28" s="3"/>
      <c r="BQ28" s="3"/>
      <c r="BR28" s="3"/>
      <c r="BS28" s="3"/>
      <c r="BT28" s="3"/>
      <c r="BU28" s="3"/>
      <c r="BV28" s="3"/>
      <c r="BW28" s="3"/>
      <c r="BX28" s="3"/>
      <c r="BY28" s="3"/>
      <c r="BZ28" s="3"/>
      <c r="CA28" s="3"/>
      <c r="CB28" s="3"/>
      <c r="CC28" s="3"/>
      <c r="CD28" s="3"/>
      <c r="CE28" s="3"/>
      <c r="CF28" s="3"/>
      <c r="CG28" s="3"/>
    </row>
    <row r="29" spans="1:85" s="3" customFormat="1" ht="20.25" customHeight="1" x14ac:dyDescent="0.2">
      <c r="A29" s="167"/>
      <c r="B29" s="253"/>
      <c r="C29" s="254"/>
      <c r="D29" s="255">
        <v>18</v>
      </c>
      <c r="E29" s="256" t="s">
        <v>217</v>
      </c>
      <c r="F29" s="257"/>
      <c r="G29" s="258"/>
      <c r="H29" s="259"/>
      <c r="I29" s="259"/>
      <c r="J29" s="261"/>
      <c r="K29" s="261"/>
      <c r="L29" s="280"/>
      <c r="M29" s="281"/>
      <c r="N29" s="259"/>
      <c r="O29" s="264"/>
      <c r="P29" s="265"/>
      <c r="Q29" s="266"/>
      <c r="R29" s="266"/>
      <c r="S29" s="259"/>
      <c r="T29" s="267"/>
      <c r="U29" s="267"/>
      <c r="V29" s="267"/>
      <c r="W29" s="268"/>
      <c r="X29" s="266"/>
      <c r="Y29" s="262"/>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2"/>
      <c r="AZ29" s="262"/>
      <c r="BA29" s="262"/>
      <c r="BB29" s="262"/>
      <c r="BC29" s="262"/>
      <c r="BD29" s="262"/>
      <c r="BE29" s="262"/>
      <c r="BF29" s="262"/>
      <c r="BG29" s="262"/>
      <c r="BH29" s="262"/>
      <c r="BI29" s="262"/>
      <c r="BJ29" s="262"/>
      <c r="BK29" s="269"/>
      <c r="BL29" s="269"/>
      <c r="BM29" s="269"/>
      <c r="BN29" s="269"/>
      <c r="BO29" s="282"/>
    </row>
    <row r="30" spans="1:85" s="221" customFormat="1" ht="58.5" customHeight="1" x14ac:dyDescent="0.2">
      <c r="A30" s="286"/>
      <c r="B30" s="287"/>
      <c r="C30" s="288"/>
      <c r="D30" s="1389"/>
      <c r="E30" s="1390"/>
      <c r="F30" s="1391"/>
      <c r="G30" s="1392" t="s">
        <v>62</v>
      </c>
      <c r="H30" s="1394" t="s">
        <v>218</v>
      </c>
      <c r="I30" s="1408" t="s">
        <v>219</v>
      </c>
      <c r="J30" s="1410">
        <v>130</v>
      </c>
      <c r="K30" s="1410">
        <v>14.6</v>
      </c>
      <c r="L30" s="1408" t="s">
        <v>220</v>
      </c>
      <c r="M30" s="1413" t="s">
        <v>221</v>
      </c>
      <c r="N30" s="1415" t="s">
        <v>222</v>
      </c>
      <c r="O30" s="1402">
        <f>(T30)/(P30+P31+P35+P36)</f>
        <v>0.20136520610992145</v>
      </c>
      <c r="P30" s="1404">
        <f>SUM(T30:T31)</f>
        <v>764157824.04999995</v>
      </c>
      <c r="Q30" s="1296" t="s">
        <v>223</v>
      </c>
      <c r="R30" s="1296" t="s">
        <v>224</v>
      </c>
      <c r="S30" s="1394" t="s">
        <v>218</v>
      </c>
      <c r="T30" s="275">
        <f>143360668+141360668</f>
        <v>284721336</v>
      </c>
      <c r="U30" s="275">
        <v>74190666</v>
      </c>
      <c r="V30" s="275">
        <v>53457666</v>
      </c>
      <c r="W30" s="1406" t="s">
        <v>225</v>
      </c>
      <c r="X30" s="1296" t="s">
        <v>226</v>
      </c>
      <c r="Y30" s="1417">
        <v>295972</v>
      </c>
      <c r="Z30" s="1417"/>
      <c r="AA30" s="1417">
        <v>285580</v>
      </c>
      <c r="AB30" s="1417">
        <v>7</v>
      </c>
      <c r="AC30" s="1417">
        <v>135545</v>
      </c>
      <c r="AD30" s="1417"/>
      <c r="AE30" s="1417">
        <v>44254</v>
      </c>
      <c r="AF30" s="1417"/>
      <c r="AG30" s="1417">
        <v>309146</v>
      </c>
      <c r="AH30" s="1417">
        <v>7</v>
      </c>
      <c r="AI30" s="1417">
        <v>92607</v>
      </c>
      <c r="AJ30" s="1417"/>
      <c r="AK30" s="1417">
        <v>2145</v>
      </c>
      <c r="AL30" s="1417"/>
      <c r="AM30" s="1417">
        <v>12718</v>
      </c>
      <c r="AN30" s="1417"/>
      <c r="AO30" s="1417">
        <v>26</v>
      </c>
      <c r="AP30" s="1417"/>
      <c r="AQ30" s="1417">
        <v>37</v>
      </c>
      <c r="AR30" s="1417"/>
      <c r="AS30" s="1417">
        <v>0</v>
      </c>
      <c r="AT30" s="1417"/>
      <c r="AU30" s="1417">
        <v>0</v>
      </c>
      <c r="AV30" s="1417"/>
      <c r="AW30" s="1417">
        <v>44350</v>
      </c>
      <c r="AX30" s="1417"/>
      <c r="AY30" s="1417">
        <v>21944</v>
      </c>
      <c r="AZ30" s="1417"/>
      <c r="BA30" s="1417">
        <v>75687</v>
      </c>
      <c r="BB30" s="1417"/>
      <c r="BC30" s="1417">
        <f>+Y30+AA30</f>
        <v>581552</v>
      </c>
      <c r="BD30" s="1417">
        <f>Z30+AB30</f>
        <v>7</v>
      </c>
      <c r="BE30" s="1417">
        <v>28</v>
      </c>
      <c r="BF30" s="1419">
        <f>SUM(U30:U31)</f>
        <v>246469332</v>
      </c>
      <c r="BG30" s="1419">
        <f>SUM(V30:V31)</f>
        <v>125900683</v>
      </c>
      <c r="BH30" s="1433">
        <f>BG30/BF30</f>
        <v>0.51081683054993632</v>
      </c>
      <c r="BI30" s="1435" t="s">
        <v>272</v>
      </c>
      <c r="BJ30" s="1417"/>
      <c r="BK30" s="1315">
        <v>43860</v>
      </c>
      <c r="BL30" s="1315"/>
      <c r="BM30" s="1423">
        <v>44042</v>
      </c>
      <c r="BN30" s="1423"/>
      <c r="BO30" s="1296" t="s">
        <v>227</v>
      </c>
    </row>
    <row r="31" spans="1:85" s="221" customFormat="1" ht="58.5" customHeight="1" x14ac:dyDescent="0.2">
      <c r="A31" s="286"/>
      <c r="B31" s="287"/>
      <c r="C31" s="288"/>
      <c r="D31" s="1425"/>
      <c r="E31" s="1426"/>
      <c r="F31" s="1427"/>
      <c r="G31" s="1393"/>
      <c r="H31" s="1395"/>
      <c r="I31" s="1409"/>
      <c r="J31" s="1411"/>
      <c r="K31" s="1411"/>
      <c r="L31" s="1412"/>
      <c r="M31" s="1414"/>
      <c r="N31" s="1416"/>
      <c r="O31" s="1403"/>
      <c r="P31" s="1405"/>
      <c r="Q31" s="1297"/>
      <c r="R31" s="1297"/>
      <c r="S31" s="1395"/>
      <c r="T31" s="275">
        <v>479436488.05000001</v>
      </c>
      <c r="U31" s="275">
        <v>172278666</v>
      </c>
      <c r="V31" s="275">
        <v>72443017</v>
      </c>
      <c r="W31" s="1407"/>
      <c r="X31" s="1297"/>
      <c r="Y31" s="1418"/>
      <c r="Z31" s="1418"/>
      <c r="AA31" s="1418">
        <v>285580</v>
      </c>
      <c r="AB31" s="1418"/>
      <c r="AC31" s="1418">
        <v>135545</v>
      </c>
      <c r="AD31" s="1418"/>
      <c r="AE31" s="1418">
        <v>44254</v>
      </c>
      <c r="AF31" s="1418"/>
      <c r="AG31" s="1418">
        <v>309146</v>
      </c>
      <c r="AH31" s="1418"/>
      <c r="AI31" s="1418">
        <v>92607</v>
      </c>
      <c r="AJ31" s="1418"/>
      <c r="AK31" s="1418">
        <v>2145</v>
      </c>
      <c r="AL31" s="1418"/>
      <c r="AM31" s="1418">
        <v>12718</v>
      </c>
      <c r="AN31" s="1418"/>
      <c r="AO31" s="1418">
        <v>26</v>
      </c>
      <c r="AP31" s="1418"/>
      <c r="AQ31" s="1418">
        <v>37</v>
      </c>
      <c r="AR31" s="1418"/>
      <c r="AS31" s="1418">
        <v>0</v>
      </c>
      <c r="AT31" s="1418"/>
      <c r="AU31" s="1418">
        <v>0</v>
      </c>
      <c r="AV31" s="1418"/>
      <c r="AW31" s="1418">
        <v>44350</v>
      </c>
      <c r="AX31" s="1418"/>
      <c r="AY31" s="1418">
        <v>21944</v>
      </c>
      <c r="AZ31" s="1418"/>
      <c r="BA31" s="1418">
        <v>75687</v>
      </c>
      <c r="BB31" s="1418"/>
      <c r="BC31" s="1418">
        <f>SUM(AC31:AI31)</f>
        <v>581552</v>
      </c>
      <c r="BD31" s="1418"/>
      <c r="BE31" s="1418"/>
      <c r="BF31" s="1418"/>
      <c r="BG31" s="1418"/>
      <c r="BH31" s="1434"/>
      <c r="BI31" s="1418"/>
      <c r="BJ31" s="1418"/>
      <c r="BK31" s="1316"/>
      <c r="BL31" s="1316"/>
      <c r="BM31" s="1424"/>
      <c r="BN31" s="1424"/>
      <c r="BO31" s="1297"/>
    </row>
    <row r="32" spans="1:85" s="369" customFormat="1" ht="15.75" x14ac:dyDescent="0.2">
      <c r="A32" s="366"/>
      <c r="B32" s="367"/>
      <c r="C32" s="368"/>
      <c r="D32" s="255">
        <v>21</v>
      </c>
      <c r="E32" s="256" t="s">
        <v>228</v>
      </c>
      <c r="F32" s="257"/>
      <c r="G32" s="258"/>
      <c r="H32" s="259"/>
      <c r="I32" s="259"/>
      <c r="J32" s="261"/>
      <c r="K32" s="261"/>
      <c r="L32" s="280"/>
      <c r="M32" s="281"/>
      <c r="N32" s="259"/>
      <c r="O32" s="264"/>
      <c r="P32" s="265"/>
      <c r="Q32" s="266"/>
      <c r="R32" s="266"/>
      <c r="S32" s="259"/>
      <c r="T32" s="267"/>
      <c r="U32" s="267"/>
      <c r="V32" s="267"/>
      <c r="W32" s="268"/>
      <c r="X32" s="266"/>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2"/>
      <c r="BG32" s="262"/>
      <c r="BH32" s="262"/>
      <c r="BI32" s="262"/>
      <c r="BJ32" s="262"/>
      <c r="BK32" s="269"/>
      <c r="BL32" s="269"/>
      <c r="BM32" s="269"/>
      <c r="BN32" s="269"/>
      <c r="BO32" s="282"/>
    </row>
    <row r="33" spans="1:85" s="4" customFormat="1" ht="120" x14ac:dyDescent="0.2">
      <c r="A33" s="283"/>
      <c r="B33" s="91"/>
      <c r="C33" s="89"/>
      <c r="D33" s="328"/>
      <c r="E33" s="328"/>
      <c r="F33" s="329"/>
      <c r="G33" s="315">
        <v>3202033</v>
      </c>
      <c r="H33" s="181" t="s">
        <v>229</v>
      </c>
      <c r="I33" s="45" t="s">
        <v>229</v>
      </c>
      <c r="J33" s="92">
        <v>0.1</v>
      </c>
      <c r="K33" s="218"/>
      <c r="L33" s="272" t="s">
        <v>230</v>
      </c>
      <c r="M33" s="37" t="s">
        <v>208</v>
      </c>
      <c r="N33" s="33" t="s">
        <v>209</v>
      </c>
      <c r="O33" s="295">
        <f>(T33)/(P25+P27+P33)</f>
        <v>0.25</v>
      </c>
      <c r="P33" s="274">
        <f>+T33</f>
        <v>1000000</v>
      </c>
      <c r="Q33" s="213" t="s">
        <v>210</v>
      </c>
      <c r="R33" s="213" t="s">
        <v>215</v>
      </c>
      <c r="S33" s="181" t="s">
        <v>229</v>
      </c>
      <c r="T33" s="275">
        <v>1000000</v>
      </c>
      <c r="U33" s="275"/>
      <c r="V33" s="275"/>
      <c r="W33" s="110">
        <v>88</v>
      </c>
      <c r="X33" s="40" t="s">
        <v>165</v>
      </c>
      <c r="Y33" s="276">
        <v>295972</v>
      </c>
      <c r="Z33" s="276"/>
      <c r="AA33" s="276">
        <v>294321</v>
      </c>
      <c r="AB33" s="276"/>
      <c r="AC33" s="276">
        <v>132302</v>
      </c>
      <c r="AD33" s="276"/>
      <c r="AE33" s="276">
        <v>43426</v>
      </c>
      <c r="AF33" s="276"/>
      <c r="AG33" s="276">
        <v>313940</v>
      </c>
      <c r="AH33" s="276"/>
      <c r="AI33" s="276">
        <v>100625</v>
      </c>
      <c r="AJ33" s="276"/>
      <c r="AK33" s="276">
        <v>2145</v>
      </c>
      <c r="AL33" s="276"/>
      <c r="AM33" s="276">
        <v>12718</v>
      </c>
      <c r="AN33" s="276"/>
      <c r="AO33" s="276">
        <v>36</v>
      </c>
      <c r="AP33" s="276"/>
      <c r="AQ33" s="276">
        <v>0</v>
      </c>
      <c r="AR33" s="276"/>
      <c r="AS33" s="276">
        <v>0</v>
      </c>
      <c r="AT33" s="276"/>
      <c r="AU33" s="276">
        <v>0</v>
      </c>
      <c r="AV33" s="276"/>
      <c r="AW33" s="276">
        <v>70</v>
      </c>
      <c r="AX33" s="276"/>
      <c r="AY33" s="276">
        <v>21944</v>
      </c>
      <c r="AZ33" s="276"/>
      <c r="BA33" s="276">
        <v>285</v>
      </c>
      <c r="BB33" s="276"/>
      <c r="BC33" s="276">
        <v>590292</v>
      </c>
      <c r="BD33" s="320"/>
      <c r="BE33" s="320"/>
      <c r="BF33" s="320"/>
      <c r="BG33" s="320"/>
      <c r="BH33" s="320"/>
      <c r="BI33" s="320"/>
      <c r="BJ33" s="320"/>
      <c r="BK33" s="277">
        <v>44033</v>
      </c>
      <c r="BL33" s="277"/>
      <c r="BM33" s="277">
        <v>44195</v>
      </c>
      <c r="BN33" s="277"/>
      <c r="BO33" s="33" t="s">
        <v>166</v>
      </c>
    </row>
    <row r="34" spans="1:85" s="3" customFormat="1" ht="15.75" x14ac:dyDescent="0.2">
      <c r="A34" s="14"/>
      <c r="B34" s="192"/>
      <c r="C34" s="279"/>
      <c r="D34" s="255">
        <v>23</v>
      </c>
      <c r="E34" s="256" t="s">
        <v>231</v>
      </c>
      <c r="F34" s="257"/>
      <c r="G34" s="258"/>
      <c r="H34" s="259"/>
      <c r="I34" s="259"/>
      <c r="J34" s="261"/>
      <c r="K34" s="261"/>
      <c r="L34" s="280"/>
      <c r="M34" s="281"/>
      <c r="N34" s="259"/>
      <c r="O34" s="264"/>
      <c r="P34" s="265"/>
      <c r="Q34" s="266"/>
      <c r="R34" s="266"/>
      <c r="S34" s="259"/>
      <c r="T34" s="267"/>
      <c r="U34" s="267"/>
      <c r="V34" s="267"/>
      <c r="W34" s="268"/>
      <c r="X34" s="266"/>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2"/>
      <c r="AZ34" s="262"/>
      <c r="BA34" s="262"/>
      <c r="BB34" s="262"/>
      <c r="BC34" s="262"/>
      <c r="BD34" s="262"/>
      <c r="BE34" s="262"/>
      <c r="BF34" s="262"/>
      <c r="BG34" s="262"/>
      <c r="BH34" s="262"/>
      <c r="BI34" s="262"/>
      <c r="BJ34" s="262"/>
      <c r="BK34" s="269"/>
      <c r="BL34" s="269"/>
      <c r="BM34" s="269"/>
      <c r="BN34" s="269"/>
      <c r="BO34" s="282"/>
    </row>
    <row r="35" spans="1:85" s="4" customFormat="1" ht="35.25" customHeight="1" x14ac:dyDescent="0.2">
      <c r="A35" s="283"/>
      <c r="B35" s="91"/>
      <c r="C35" s="89"/>
      <c r="D35" s="330"/>
      <c r="E35" s="330"/>
      <c r="F35" s="331"/>
      <c r="G35" s="1428">
        <v>3205021</v>
      </c>
      <c r="H35" s="1415" t="s">
        <v>232</v>
      </c>
      <c r="I35" s="1293" t="s">
        <v>233</v>
      </c>
      <c r="J35" s="1430">
        <v>1</v>
      </c>
      <c r="K35" s="1410"/>
      <c r="L35" s="1281" t="s">
        <v>234</v>
      </c>
      <c r="M35" s="1413" t="s">
        <v>221</v>
      </c>
      <c r="N35" s="1415" t="s">
        <v>222</v>
      </c>
      <c r="O35" s="1421">
        <f>(T35)/(P30+P31+P35+P36)</f>
        <v>0.12048521374191605</v>
      </c>
      <c r="P35" s="1404">
        <f>SUM(T35:T36)</f>
        <v>649797156.05999994</v>
      </c>
      <c r="Q35" s="1293" t="s">
        <v>223</v>
      </c>
      <c r="R35" s="1293" t="s">
        <v>224</v>
      </c>
      <c r="S35" s="1415" t="s">
        <v>232</v>
      </c>
      <c r="T35" s="275">
        <v>170360668</v>
      </c>
      <c r="U35" s="365"/>
      <c r="V35" s="365"/>
      <c r="W35" s="1438" t="s">
        <v>235</v>
      </c>
      <c r="X35" s="1293" t="s">
        <v>236</v>
      </c>
      <c r="Y35" s="1436">
        <v>295972</v>
      </c>
      <c r="Z35" s="1436"/>
      <c r="AA35" s="1436">
        <v>285580</v>
      </c>
      <c r="AB35" s="1436"/>
      <c r="AC35" s="1436">
        <v>135545</v>
      </c>
      <c r="AD35" s="1436"/>
      <c r="AE35" s="1436">
        <v>44254</v>
      </c>
      <c r="AF35" s="1436"/>
      <c r="AG35" s="1436">
        <v>309146</v>
      </c>
      <c r="AH35" s="1436"/>
      <c r="AI35" s="1436">
        <v>92607</v>
      </c>
      <c r="AJ35" s="1436"/>
      <c r="AK35" s="1436">
        <v>2145</v>
      </c>
      <c r="AL35" s="1436"/>
      <c r="AM35" s="1436">
        <v>12718</v>
      </c>
      <c r="AN35" s="1436"/>
      <c r="AO35" s="1436">
        <v>26</v>
      </c>
      <c r="AP35" s="1436"/>
      <c r="AQ35" s="1436">
        <v>37</v>
      </c>
      <c r="AR35" s="1436"/>
      <c r="AS35" s="1436">
        <v>0</v>
      </c>
      <c r="AT35" s="1436"/>
      <c r="AU35" s="1436">
        <v>0</v>
      </c>
      <c r="AV35" s="1436"/>
      <c r="AW35" s="1436">
        <v>44350</v>
      </c>
      <c r="AX35" s="1436"/>
      <c r="AY35" s="1436">
        <v>21944</v>
      </c>
      <c r="AZ35" s="1436"/>
      <c r="BA35" s="1436">
        <v>75687</v>
      </c>
      <c r="BB35" s="1436"/>
      <c r="BC35" s="1436">
        <f>+Y35+AA35</f>
        <v>581552</v>
      </c>
      <c r="BD35" s="1436"/>
      <c r="BE35" s="1436"/>
      <c r="BF35" s="1436"/>
      <c r="BG35" s="1436"/>
      <c r="BH35" s="1436"/>
      <c r="BI35" s="1436"/>
      <c r="BJ35" s="1436"/>
      <c r="BK35" s="1315">
        <v>43832</v>
      </c>
      <c r="BL35" s="1315"/>
      <c r="BM35" s="1306">
        <v>44195</v>
      </c>
      <c r="BN35" s="277"/>
      <c r="BO35" s="1287" t="s">
        <v>166</v>
      </c>
    </row>
    <row r="36" spans="1:85" s="4" customFormat="1" ht="35.25" customHeight="1" x14ac:dyDescent="0.2">
      <c r="A36" s="283"/>
      <c r="B36" s="91"/>
      <c r="C36" s="89"/>
      <c r="D36" s="103"/>
      <c r="E36" s="103"/>
      <c r="F36" s="104"/>
      <c r="G36" s="1429"/>
      <c r="H36" s="1420"/>
      <c r="I36" s="1295"/>
      <c r="J36" s="1431"/>
      <c r="K36" s="1411"/>
      <c r="L36" s="1283"/>
      <c r="M36" s="1432"/>
      <c r="N36" s="1420"/>
      <c r="O36" s="1422"/>
      <c r="P36" s="1405"/>
      <c r="Q36" s="1295"/>
      <c r="R36" s="1295"/>
      <c r="S36" s="1420"/>
      <c r="T36" s="275">
        <v>479436488.06</v>
      </c>
      <c r="U36" s="354"/>
      <c r="V36" s="354"/>
      <c r="W36" s="1439"/>
      <c r="X36" s="1295"/>
      <c r="Y36" s="1437"/>
      <c r="Z36" s="1437"/>
      <c r="AA36" s="1437"/>
      <c r="AB36" s="1437"/>
      <c r="AC36" s="1437"/>
      <c r="AD36" s="1437"/>
      <c r="AE36" s="1437"/>
      <c r="AF36" s="1437"/>
      <c r="AG36" s="1437"/>
      <c r="AH36" s="1437"/>
      <c r="AI36" s="1437"/>
      <c r="AJ36" s="1437"/>
      <c r="AK36" s="1437"/>
      <c r="AL36" s="1437"/>
      <c r="AM36" s="1437">
        <v>12718</v>
      </c>
      <c r="AN36" s="1437"/>
      <c r="AO36" s="1437">
        <v>26</v>
      </c>
      <c r="AP36" s="1437"/>
      <c r="AQ36" s="1437">
        <v>37</v>
      </c>
      <c r="AR36" s="1437"/>
      <c r="AS36" s="1437"/>
      <c r="AT36" s="1437"/>
      <c r="AU36" s="1437"/>
      <c r="AV36" s="1437"/>
      <c r="AW36" s="1437"/>
      <c r="AX36" s="1437"/>
      <c r="AY36" s="1437"/>
      <c r="AZ36" s="1437"/>
      <c r="BA36" s="1437"/>
      <c r="BB36" s="1437"/>
      <c r="BC36" s="1437"/>
      <c r="BD36" s="1437"/>
      <c r="BE36" s="1437"/>
      <c r="BF36" s="1437"/>
      <c r="BG36" s="1437"/>
      <c r="BH36" s="1437"/>
      <c r="BI36" s="1437"/>
      <c r="BJ36" s="1437"/>
      <c r="BK36" s="1317"/>
      <c r="BL36" s="1317"/>
      <c r="BM36" s="1308"/>
      <c r="BN36" s="370"/>
      <c r="BO36" s="1289"/>
    </row>
    <row r="37" spans="1:85" s="3" customFormat="1" ht="15.75" x14ac:dyDescent="0.2">
      <c r="A37" s="14"/>
      <c r="B37" s="192"/>
      <c r="C37" s="279"/>
      <c r="D37" s="255">
        <v>33</v>
      </c>
      <c r="E37" s="256" t="s">
        <v>237</v>
      </c>
      <c r="F37" s="257"/>
      <c r="G37" s="258"/>
      <c r="H37" s="259"/>
      <c r="I37" s="259"/>
      <c r="J37" s="261"/>
      <c r="K37" s="261"/>
      <c r="L37" s="280"/>
      <c r="M37" s="281"/>
      <c r="N37" s="259"/>
      <c r="O37" s="264"/>
      <c r="P37" s="265"/>
      <c r="Q37" s="266"/>
      <c r="R37" s="266"/>
      <c r="S37" s="259"/>
      <c r="T37" s="267"/>
      <c r="U37" s="267"/>
      <c r="V37" s="267"/>
      <c r="W37" s="268"/>
      <c r="X37" s="266"/>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262"/>
      <c r="BF37" s="262"/>
      <c r="BG37" s="262"/>
      <c r="BH37" s="262"/>
      <c r="BI37" s="262"/>
      <c r="BJ37" s="262"/>
      <c r="BK37" s="269"/>
      <c r="BL37" s="269"/>
      <c r="BM37" s="269"/>
      <c r="BN37" s="269"/>
      <c r="BO37" s="282"/>
    </row>
    <row r="38" spans="1:85" s="4" customFormat="1" ht="60" x14ac:dyDescent="0.2">
      <c r="A38" s="283"/>
      <c r="B38" s="91"/>
      <c r="C38" s="89"/>
      <c r="D38" s="328"/>
      <c r="E38" s="328"/>
      <c r="F38" s="329"/>
      <c r="G38" s="337">
        <v>4001015</v>
      </c>
      <c r="H38" s="181" t="s">
        <v>238</v>
      </c>
      <c r="I38" s="181" t="s">
        <v>238</v>
      </c>
      <c r="J38" s="92">
        <v>10</v>
      </c>
      <c r="K38" s="218"/>
      <c r="L38" s="34" t="s">
        <v>239</v>
      </c>
      <c r="M38" s="290" t="s">
        <v>179</v>
      </c>
      <c r="N38" s="181" t="s">
        <v>180</v>
      </c>
      <c r="O38" s="295">
        <f>(T38)/(P16+P18+P20+P22+P38+P47+P49)</f>
        <v>0.10390143798548349</v>
      </c>
      <c r="P38" s="274">
        <f>+T38</f>
        <v>702546165</v>
      </c>
      <c r="Q38" s="40" t="s">
        <v>181</v>
      </c>
      <c r="R38" s="40" t="s">
        <v>182</v>
      </c>
      <c r="S38" s="181" t="s">
        <v>238</v>
      </c>
      <c r="T38" s="275">
        <v>702546165</v>
      </c>
      <c r="U38" s="275"/>
      <c r="V38" s="275"/>
      <c r="W38" s="299" t="s">
        <v>202</v>
      </c>
      <c r="X38" s="40" t="s">
        <v>203</v>
      </c>
      <c r="Y38" s="292">
        <v>295972</v>
      </c>
      <c r="Z38" s="292"/>
      <c r="AA38" s="292">
        <v>285580</v>
      </c>
      <c r="AB38" s="292"/>
      <c r="AC38" s="292">
        <v>135545</v>
      </c>
      <c r="AD38" s="292"/>
      <c r="AE38" s="292">
        <v>44254</v>
      </c>
      <c r="AF38" s="292"/>
      <c r="AG38" s="292">
        <v>309146</v>
      </c>
      <c r="AH38" s="292"/>
      <c r="AI38" s="292">
        <v>92607</v>
      </c>
      <c r="AJ38" s="292"/>
      <c r="AK38" s="292">
        <v>2145</v>
      </c>
      <c r="AL38" s="292"/>
      <c r="AM38" s="292">
        <v>12718</v>
      </c>
      <c r="AN38" s="292"/>
      <c r="AO38" s="292">
        <v>26</v>
      </c>
      <c r="AP38" s="292"/>
      <c r="AQ38" s="292">
        <v>37</v>
      </c>
      <c r="AR38" s="292"/>
      <c r="AS38" s="292">
        <v>0</v>
      </c>
      <c r="AT38" s="292"/>
      <c r="AU38" s="292">
        <v>0</v>
      </c>
      <c r="AV38" s="292"/>
      <c r="AW38" s="292">
        <v>44350</v>
      </c>
      <c r="AX38" s="292"/>
      <c r="AY38" s="292">
        <v>21944</v>
      </c>
      <c r="AZ38" s="292"/>
      <c r="BA38" s="292">
        <v>75687</v>
      </c>
      <c r="BB38" s="292"/>
      <c r="BC38" s="292">
        <f>+Y38+AA38</f>
        <v>581552</v>
      </c>
      <c r="BD38" s="292"/>
      <c r="BE38" s="292"/>
      <c r="BF38" s="292"/>
      <c r="BG38" s="292"/>
      <c r="BH38" s="292"/>
      <c r="BI38" s="292"/>
      <c r="BJ38" s="292"/>
      <c r="BK38" s="48">
        <v>43832</v>
      </c>
      <c r="BL38" s="360"/>
      <c r="BM38" s="277">
        <v>44195</v>
      </c>
      <c r="BN38" s="277"/>
      <c r="BO38" s="33" t="s">
        <v>166</v>
      </c>
    </row>
    <row r="39" spans="1:85" s="3" customFormat="1" ht="15.75" x14ac:dyDescent="0.2">
      <c r="A39" s="14"/>
      <c r="B39" s="192"/>
      <c r="C39" s="279"/>
      <c r="D39" s="255">
        <v>34</v>
      </c>
      <c r="E39" s="256" t="s">
        <v>240</v>
      </c>
      <c r="F39" s="257"/>
      <c r="G39" s="258"/>
      <c r="H39" s="259"/>
      <c r="I39" s="259"/>
      <c r="J39" s="261"/>
      <c r="K39" s="261"/>
      <c r="L39" s="280"/>
      <c r="M39" s="281"/>
      <c r="N39" s="259"/>
      <c r="O39" s="264"/>
      <c r="P39" s="265"/>
      <c r="Q39" s="266"/>
      <c r="R39" s="266"/>
      <c r="S39" s="259"/>
      <c r="T39" s="267"/>
      <c r="U39" s="267"/>
      <c r="V39" s="267"/>
      <c r="W39" s="268"/>
      <c r="X39" s="266"/>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c r="BE39" s="262"/>
      <c r="BF39" s="262"/>
      <c r="BG39" s="262"/>
      <c r="BH39" s="262"/>
      <c r="BI39" s="262"/>
      <c r="BJ39" s="262"/>
      <c r="BK39" s="269"/>
      <c r="BL39" s="269"/>
      <c r="BM39" s="269"/>
      <c r="BN39" s="269"/>
      <c r="BO39" s="282"/>
    </row>
    <row r="40" spans="1:85" s="4" customFormat="1" ht="54.75" customHeight="1" x14ac:dyDescent="0.2">
      <c r="A40" s="283"/>
      <c r="B40" s="91"/>
      <c r="C40" s="89"/>
      <c r="D40" s="330"/>
      <c r="E40" s="330"/>
      <c r="F40" s="331"/>
      <c r="G40" s="337" t="s">
        <v>62</v>
      </c>
      <c r="H40" s="69" t="s">
        <v>241</v>
      </c>
      <c r="I40" s="181" t="s">
        <v>242</v>
      </c>
      <c r="J40" s="218">
        <v>1</v>
      </c>
      <c r="K40" s="218"/>
      <c r="L40" s="1281" t="s">
        <v>243</v>
      </c>
      <c r="M40" s="1413" t="s">
        <v>244</v>
      </c>
      <c r="N40" s="1415" t="s">
        <v>245</v>
      </c>
      <c r="O40" s="295">
        <f>(T40)/(P40+P41+P42+P43+P44)</f>
        <v>9.3964271511108206E-3</v>
      </c>
      <c r="P40" s="275">
        <f>+T40</f>
        <v>30000000</v>
      </c>
      <c r="Q40" s="1296" t="s">
        <v>246</v>
      </c>
      <c r="R40" s="1296" t="s">
        <v>247</v>
      </c>
      <c r="S40" s="69" t="s">
        <v>241</v>
      </c>
      <c r="T40" s="275">
        <v>30000000</v>
      </c>
      <c r="U40" s="365"/>
      <c r="V40" s="365"/>
      <c r="W40" s="1303" t="s">
        <v>248</v>
      </c>
      <c r="X40" s="1442" t="s">
        <v>249</v>
      </c>
      <c r="Y40" s="1417">
        <v>295972</v>
      </c>
      <c r="Z40" s="1417"/>
      <c r="AA40" s="1410">
        <v>294321</v>
      </c>
      <c r="AB40" s="1410"/>
      <c r="AC40" s="1410">
        <v>132302</v>
      </c>
      <c r="AD40" s="1410"/>
      <c r="AE40" s="1410">
        <v>43426</v>
      </c>
      <c r="AF40" s="1410"/>
      <c r="AG40" s="1410">
        <v>313940</v>
      </c>
      <c r="AH40" s="1410"/>
      <c r="AI40" s="1410">
        <v>100625</v>
      </c>
      <c r="AJ40" s="1410"/>
      <c r="AK40" s="1410">
        <v>2145</v>
      </c>
      <c r="AL40" s="1410"/>
      <c r="AM40" s="1410">
        <v>12718</v>
      </c>
      <c r="AN40" s="1410"/>
      <c r="AO40" s="1410">
        <v>36</v>
      </c>
      <c r="AP40" s="1410"/>
      <c r="AQ40" s="1410">
        <v>0</v>
      </c>
      <c r="AR40" s="1410"/>
      <c r="AS40" s="1410">
        <v>0</v>
      </c>
      <c r="AT40" s="1410"/>
      <c r="AU40" s="1410">
        <v>0</v>
      </c>
      <c r="AV40" s="1410"/>
      <c r="AW40" s="1410">
        <v>70</v>
      </c>
      <c r="AX40" s="1410"/>
      <c r="AY40" s="1410">
        <v>21944</v>
      </c>
      <c r="AZ40" s="1410"/>
      <c r="BA40" s="1410">
        <v>75687</v>
      </c>
      <c r="BB40" s="1410"/>
      <c r="BC40" s="1410">
        <v>581552</v>
      </c>
      <c r="BD40" s="1410"/>
      <c r="BE40" s="1410"/>
      <c r="BF40" s="1419">
        <f>SUM(U40:U44)</f>
        <v>0</v>
      </c>
      <c r="BG40" s="1419">
        <f>SUM(V40:V44)</f>
        <v>0</v>
      </c>
      <c r="BH40" s="1410"/>
      <c r="BI40" s="1410"/>
      <c r="BJ40" s="1410"/>
      <c r="BK40" s="1306">
        <v>44033</v>
      </c>
      <c r="BL40" s="1410"/>
      <c r="BM40" s="1306">
        <v>44195</v>
      </c>
      <c r="BN40" s="1410"/>
      <c r="BO40" s="1287" t="s">
        <v>166</v>
      </c>
    </row>
    <row r="41" spans="1:85" s="4" customFormat="1" ht="30" x14ac:dyDescent="0.2">
      <c r="A41" s="283"/>
      <c r="B41" s="91"/>
      <c r="C41" s="89"/>
      <c r="D41" s="91"/>
      <c r="E41" s="91"/>
      <c r="F41" s="89"/>
      <c r="G41" s="315" t="s">
        <v>250</v>
      </c>
      <c r="H41" s="338" t="s">
        <v>251</v>
      </c>
      <c r="I41" s="181" t="s">
        <v>252</v>
      </c>
      <c r="J41" s="218">
        <v>1</v>
      </c>
      <c r="K41" s="218"/>
      <c r="L41" s="1282"/>
      <c r="M41" s="1414"/>
      <c r="N41" s="1416"/>
      <c r="O41" s="295">
        <f>(T41)/(P40+P41+P42+P43+P44)</f>
        <v>0.18420661822766141</v>
      </c>
      <c r="P41" s="275">
        <f t="shared" ref="P41:P44" si="0">+T41</f>
        <v>588117000</v>
      </c>
      <c r="Q41" s="1297"/>
      <c r="R41" s="1297"/>
      <c r="S41" s="338" t="s">
        <v>251</v>
      </c>
      <c r="T41" s="275">
        <v>588117000</v>
      </c>
      <c r="U41" s="371"/>
      <c r="V41" s="371"/>
      <c r="W41" s="1304"/>
      <c r="X41" s="1443"/>
      <c r="Y41" s="1418"/>
      <c r="Z41" s="1418"/>
      <c r="AA41" s="1441"/>
      <c r="AB41" s="1441"/>
      <c r="AC41" s="1441"/>
      <c r="AD41" s="1441"/>
      <c r="AE41" s="1441"/>
      <c r="AF41" s="1441"/>
      <c r="AG41" s="1441"/>
      <c r="AH41" s="1441"/>
      <c r="AI41" s="1441"/>
      <c r="AJ41" s="1441"/>
      <c r="AK41" s="1441"/>
      <c r="AL41" s="1441"/>
      <c r="AM41" s="1441"/>
      <c r="AN41" s="1441"/>
      <c r="AO41" s="1441"/>
      <c r="AP41" s="1441"/>
      <c r="AQ41" s="1441"/>
      <c r="AR41" s="1441"/>
      <c r="AS41" s="1441"/>
      <c r="AT41" s="1441"/>
      <c r="AU41" s="1441"/>
      <c r="AV41" s="1441"/>
      <c r="AW41" s="1441"/>
      <c r="AX41" s="1441"/>
      <c r="AY41" s="1441"/>
      <c r="AZ41" s="1441"/>
      <c r="BA41" s="1441"/>
      <c r="BB41" s="1441"/>
      <c r="BC41" s="1441"/>
      <c r="BD41" s="1441"/>
      <c r="BE41" s="1441"/>
      <c r="BF41" s="1441"/>
      <c r="BG41" s="1441"/>
      <c r="BH41" s="1441"/>
      <c r="BI41" s="1441"/>
      <c r="BJ41" s="1441"/>
      <c r="BK41" s="1307"/>
      <c r="BL41" s="1441"/>
      <c r="BM41" s="1307"/>
      <c r="BN41" s="1441"/>
      <c r="BO41" s="1288"/>
    </row>
    <row r="42" spans="1:85" s="4" customFormat="1" ht="45" x14ac:dyDescent="0.2">
      <c r="A42" s="283"/>
      <c r="B42" s="91"/>
      <c r="C42" s="89"/>
      <c r="D42" s="91"/>
      <c r="E42" s="91"/>
      <c r="F42" s="89"/>
      <c r="G42" s="315" t="s">
        <v>253</v>
      </c>
      <c r="H42" s="338" t="s">
        <v>254</v>
      </c>
      <c r="I42" s="181" t="s">
        <v>255</v>
      </c>
      <c r="J42" s="218">
        <v>1</v>
      </c>
      <c r="K42" s="218"/>
      <c r="L42" s="1282"/>
      <c r="M42" s="1414"/>
      <c r="N42" s="1416"/>
      <c r="O42" s="295">
        <f>(T42)/(P40+P41+P43+P44+P42)</f>
        <v>0.55269342154123557</v>
      </c>
      <c r="P42" s="275">
        <f t="shared" si="0"/>
        <v>1764585877.1199999</v>
      </c>
      <c r="Q42" s="1297"/>
      <c r="R42" s="1297"/>
      <c r="S42" s="338" t="s">
        <v>254</v>
      </c>
      <c r="T42" s="275">
        <v>1764585877.1199999</v>
      </c>
      <c r="U42" s="371"/>
      <c r="V42" s="371"/>
      <c r="W42" s="1304"/>
      <c r="X42" s="1443"/>
      <c r="Y42" s="1418"/>
      <c r="Z42" s="1418"/>
      <c r="AA42" s="1441"/>
      <c r="AB42" s="1441"/>
      <c r="AC42" s="1441"/>
      <c r="AD42" s="1441"/>
      <c r="AE42" s="1441"/>
      <c r="AF42" s="1441"/>
      <c r="AG42" s="1441"/>
      <c r="AH42" s="1441"/>
      <c r="AI42" s="1441"/>
      <c r="AJ42" s="1441"/>
      <c r="AK42" s="1441"/>
      <c r="AL42" s="1441"/>
      <c r="AM42" s="1441"/>
      <c r="AN42" s="1441"/>
      <c r="AO42" s="1441"/>
      <c r="AP42" s="1441"/>
      <c r="AQ42" s="1441"/>
      <c r="AR42" s="1441"/>
      <c r="AS42" s="1441"/>
      <c r="AT42" s="1441"/>
      <c r="AU42" s="1441"/>
      <c r="AV42" s="1441"/>
      <c r="AW42" s="1441"/>
      <c r="AX42" s="1441"/>
      <c r="AY42" s="1441"/>
      <c r="AZ42" s="1441"/>
      <c r="BA42" s="1441"/>
      <c r="BB42" s="1441"/>
      <c r="BC42" s="1441"/>
      <c r="BD42" s="1441"/>
      <c r="BE42" s="1441"/>
      <c r="BF42" s="1441"/>
      <c r="BG42" s="1441"/>
      <c r="BH42" s="1441"/>
      <c r="BI42" s="1441"/>
      <c r="BJ42" s="1441"/>
      <c r="BK42" s="1307"/>
      <c r="BL42" s="1441"/>
      <c r="BM42" s="1307"/>
      <c r="BN42" s="1441"/>
      <c r="BO42" s="1288"/>
    </row>
    <row r="43" spans="1:85" s="4" customFormat="1" ht="45" x14ac:dyDescent="0.2">
      <c r="A43" s="283"/>
      <c r="B43" s="91"/>
      <c r="C43" s="89"/>
      <c r="D43" s="91"/>
      <c r="E43" s="91"/>
      <c r="F43" s="89"/>
      <c r="G43" s="315" t="s">
        <v>256</v>
      </c>
      <c r="H43" s="338" t="s">
        <v>257</v>
      </c>
      <c r="I43" s="181" t="s">
        <v>258</v>
      </c>
      <c r="J43" s="218">
        <v>4</v>
      </c>
      <c r="K43" s="218"/>
      <c r="L43" s="1282"/>
      <c r="M43" s="1414"/>
      <c r="N43" s="1416"/>
      <c r="O43" s="295">
        <f>(T43)/(P40+P41+P42+P44+P43)</f>
        <v>3.9151779796295083E-2</v>
      </c>
      <c r="P43" s="275">
        <f t="shared" si="0"/>
        <v>125000000</v>
      </c>
      <c r="Q43" s="1297"/>
      <c r="R43" s="1297"/>
      <c r="S43" s="338" t="s">
        <v>257</v>
      </c>
      <c r="T43" s="275">
        <v>125000000</v>
      </c>
      <c r="U43" s="371"/>
      <c r="V43" s="371"/>
      <c r="W43" s="1304"/>
      <c r="X43" s="1443"/>
      <c r="Y43" s="1418"/>
      <c r="Z43" s="1418"/>
      <c r="AA43" s="1441"/>
      <c r="AB43" s="1441"/>
      <c r="AC43" s="1441"/>
      <c r="AD43" s="1441"/>
      <c r="AE43" s="1441"/>
      <c r="AF43" s="1441"/>
      <c r="AG43" s="1441"/>
      <c r="AH43" s="1441"/>
      <c r="AI43" s="1441"/>
      <c r="AJ43" s="1441"/>
      <c r="AK43" s="1441"/>
      <c r="AL43" s="1441"/>
      <c r="AM43" s="1441"/>
      <c r="AN43" s="1441"/>
      <c r="AO43" s="1441"/>
      <c r="AP43" s="1441"/>
      <c r="AQ43" s="1441"/>
      <c r="AR43" s="1441"/>
      <c r="AS43" s="1441"/>
      <c r="AT43" s="1441"/>
      <c r="AU43" s="1441"/>
      <c r="AV43" s="1441"/>
      <c r="AW43" s="1441"/>
      <c r="AX43" s="1441"/>
      <c r="AY43" s="1441"/>
      <c r="AZ43" s="1441"/>
      <c r="BA43" s="1441"/>
      <c r="BB43" s="1441"/>
      <c r="BC43" s="1441"/>
      <c r="BD43" s="1441"/>
      <c r="BE43" s="1441"/>
      <c r="BF43" s="1441"/>
      <c r="BG43" s="1441"/>
      <c r="BH43" s="1441"/>
      <c r="BI43" s="1441"/>
      <c r="BJ43" s="1441"/>
      <c r="BK43" s="1307"/>
      <c r="BL43" s="1441"/>
      <c r="BM43" s="1307"/>
      <c r="BN43" s="1441"/>
      <c r="BO43" s="1288"/>
    </row>
    <row r="44" spans="1:85" s="4" customFormat="1" ht="33.75" customHeight="1" x14ac:dyDescent="0.2">
      <c r="A44" s="321"/>
      <c r="B44" s="103"/>
      <c r="C44" s="104"/>
      <c r="D44" s="103"/>
      <c r="E44" s="103"/>
      <c r="F44" s="104"/>
      <c r="G44" s="315">
        <v>4003042</v>
      </c>
      <c r="H44" s="338" t="s">
        <v>259</v>
      </c>
      <c r="I44" s="181" t="s">
        <v>260</v>
      </c>
      <c r="J44" s="218">
        <v>1</v>
      </c>
      <c r="K44" s="218"/>
      <c r="L44" s="1283"/>
      <c r="M44" s="1432"/>
      <c r="N44" s="1420"/>
      <c r="O44" s="295">
        <f>(T44)/(P40+P41+P42+P43+P44)</f>
        <v>0.21455175328369708</v>
      </c>
      <c r="P44" s="275">
        <f t="shared" si="0"/>
        <v>685000000</v>
      </c>
      <c r="Q44" s="1298"/>
      <c r="R44" s="1298"/>
      <c r="S44" s="338" t="s">
        <v>259</v>
      </c>
      <c r="T44" s="275">
        <v>685000000</v>
      </c>
      <c r="U44" s="354"/>
      <c r="V44" s="354"/>
      <c r="W44" s="1305"/>
      <c r="X44" s="1444"/>
      <c r="Y44" s="1440"/>
      <c r="Z44" s="1440"/>
      <c r="AA44" s="1411"/>
      <c r="AB44" s="1411"/>
      <c r="AC44" s="1411"/>
      <c r="AD44" s="1411"/>
      <c r="AE44" s="1411"/>
      <c r="AF44" s="1411"/>
      <c r="AG44" s="1411"/>
      <c r="AH44" s="1411"/>
      <c r="AI44" s="1411"/>
      <c r="AJ44" s="1411"/>
      <c r="AK44" s="1411"/>
      <c r="AL44" s="1411"/>
      <c r="AM44" s="1411"/>
      <c r="AN44" s="1411"/>
      <c r="AO44" s="1411"/>
      <c r="AP44" s="1411"/>
      <c r="AQ44" s="1411"/>
      <c r="AR44" s="1411"/>
      <c r="AS44" s="1411"/>
      <c r="AT44" s="1411"/>
      <c r="AU44" s="1411"/>
      <c r="AV44" s="1411"/>
      <c r="AW44" s="1411"/>
      <c r="AX44" s="1411"/>
      <c r="AY44" s="1411"/>
      <c r="AZ44" s="1411"/>
      <c r="BA44" s="1411"/>
      <c r="BB44" s="1411"/>
      <c r="BC44" s="1411"/>
      <c r="BD44" s="1411"/>
      <c r="BE44" s="1411"/>
      <c r="BF44" s="1411"/>
      <c r="BG44" s="1411"/>
      <c r="BH44" s="1411"/>
      <c r="BI44" s="1411"/>
      <c r="BJ44" s="1411"/>
      <c r="BK44" s="1308"/>
      <c r="BL44" s="1411"/>
      <c r="BM44" s="1308"/>
      <c r="BN44" s="1411"/>
      <c r="BO44" s="1289"/>
    </row>
    <row r="45" spans="1:85" s="91" customFormat="1" ht="21.75" customHeight="1" x14ac:dyDescent="0.2">
      <c r="A45" s="300">
        <v>4</v>
      </c>
      <c r="B45" s="301" t="s">
        <v>132</v>
      </c>
      <c r="C45" s="302"/>
      <c r="D45" s="242"/>
      <c r="E45" s="303"/>
      <c r="F45" s="303"/>
      <c r="G45" s="303"/>
      <c r="H45" s="242"/>
      <c r="I45" s="242"/>
      <c r="J45" s="304"/>
      <c r="K45" s="304"/>
      <c r="L45" s="304"/>
      <c r="M45" s="304"/>
      <c r="N45" s="307"/>
      <c r="O45" s="308"/>
      <c r="P45" s="309"/>
      <c r="Q45" s="310"/>
      <c r="R45" s="310"/>
      <c r="S45" s="242"/>
      <c r="T45" s="311"/>
      <c r="U45" s="311"/>
      <c r="V45" s="311"/>
      <c r="W45" s="312"/>
      <c r="X45" s="310"/>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c r="BF45" s="304"/>
      <c r="BG45" s="304"/>
      <c r="BH45" s="304"/>
      <c r="BI45" s="304"/>
      <c r="BJ45" s="304"/>
      <c r="BK45" s="313"/>
      <c r="BL45" s="313"/>
      <c r="BM45" s="313"/>
      <c r="BN45" s="313"/>
      <c r="BO45" s="314"/>
      <c r="BP45" s="3"/>
      <c r="BQ45" s="3"/>
      <c r="BR45" s="3"/>
      <c r="BS45" s="3"/>
      <c r="BT45" s="3"/>
      <c r="BU45" s="3"/>
      <c r="BV45" s="3"/>
      <c r="BW45" s="3"/>
      <c r="BX45" s="3"/>
      <c r="BY45" s="3"/>
      <c r="BZ45" s="3"/>
      <c r="CA45" s="3"/>
      <c r="CB45" s="3"/>
      <c r="CC45" s="3"/>
      <c r="CD45" s="3"/>
      <c r="CE45" s="3"/>
      <c r="CF45" s="3"/>
      <c r="CG45" s="3"/>
    </row>
    <row r="46" spans="1:85" s="3" customFormat="1" ht="20.25" customHeight="1" x14ac:dyDescent="0.2">
      <c r="A46" s="167"/>
      <c r="B46" s="253"/>
      <c r="C46" s="254"/>
      <c r="D46" s="255">
        <v>45</v>
      </c>
      <c r="E46" s="256" t="s">
        <v>75</v>
      </c>
      <c r="F46" s="257"/>
      <c r="G46" s="258"/>
      <c r="H46" s="259"/>
      <c r="I46" s="259"/>
      <c r="J46" s="261"/>
      <c r="K46" s="261"/>
      <c r="L46" s="261"/>
      <c r="M46" s="261"/>
      <c r="N46" s="297"/>
      <c r="O46" s="264"/>
      <c r="P46" s="265"/>
      <c r="Q46" s="266"/>
      <c r="R46" s="266"/>
      <c r="S46" s="259"/>
      <c r="T46" s="267"/>
      <c r="U46" s="267"/>
      <c r="V46" s="267"/>
      <c r="W46" s="268"/>
      <c r="X46" s="266"/>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9"/>
      <c r="BL46" s="269"/>
      <c r="BM46" s="269"/>
      <c r="BN46" s="269"/>
      <c r="BO46" s="282"/>
    </row>
    <row r="47" spans="1:85" s="4" customFormat="1" ht="130.5" customHeight="1" x14ac:dyDescent="0.2">
      <c r="A47" s="283"/>
      <c r="B47" s="91"/>
      <c r="C47" s="89"/>
      <c r="D47" s="328"/>
      <c r="E47" s="328"/>
      <c r="F47" s="329"/>
      <c r="G47" s="271" t="s">
        <v>62</v>
      </c>
      <c r="H47" s="213" t="s">
        <v>261</v>
      </c>
      <c r="I47" s="181" t="s">
        <v>262</v>
      </c>
      <c r="J47" s="92">
        <v>4</v>
      </c>
      <c r="K47" s="218"/>
      <c r="L47" s="34" t="s">
        <v>263</v>
      </c>
      <c r="M47" s="290" t="s">
        <v>179</v>
      </c>
      <c r="N47" s="181" t="s">
        <v>180</v>
      </c>
      <c r="O47" s="295">
        <f>(T47)/(P16+P18+P20+P22+P38+P47+P49)</f>
        <v>1.074802872485413E-2</v>
      </c>
      <c r="P47" s="275">
        <f>+T47</f>
        <v>72674512.579999998</v>
      </c>
      <c r="Q47" s="40" t="s">
        <v>181</v>
      </c>
      <c r="R47" s="40" t="s">
        <v>182</v>
      </c>
      <c r="S47" s="213" t="s">
        <v>261</v>
      </c>
      <c r="T47" s="275">
        <v>72674512.579999998</v>
      </c>
      <c r="U47" s="275"/>
      <c r="V47" s="275"/>
      <c r="W47" s="110" t="s">
        <v>264</v>
      </c>
      <c r="X47" s="40" t="s">
        <v>265</v>
      </c>
      <c r="Y47" s="292">
        <v>295972</v>
      </c>
      <c r="Z47" s="292"/>
      <c r="AA47" s="292">
        <v>285580</v>
      </c>
      <c r="AB47" s="292"/>
      <c r="AC47" s="292">
        <v>135545</v>
      </c>
      <c r="AD47" s="292"/>
      <c r="AE47" s="292">
        <v>44254</v>
      </c>
      <c r="AF47" s="292"/>
      <c r="AG47" s="292">
        <v>309146</v>
      </c>
      <c r="AH47" s="292"/>
      <c r="AI47" s="292">
        <v>92607</v>
      </c>
      <c r="AJ47" s="292"/>
      <c r="AK47" s="292">
        <v>2145</v>
      </c>
      <c r="AL47" s="292"/>
      <c r="AM47" s="292">
        <v>12718</v>
      </c>
      <c r="AN47" s="292"/>
      <c r="AO47" s="292">
        <v>26</v>
      </c>
      <c r="AP47" s="292"/>
      <c r="AQ47" s="292">
        <v>37</v>
      </c>
      <c r="AR47" s="292"/>
      <c r="AS47" s="292">
        <v>0</v>
      </c>
      <c r="AT47" s="292"/>
      <c r="AU47" s="292">
        <v>0</v>
      </c>
      <c r="AV47" s="292"/>
      <c r="AW47" s="292">
        <v>44350</v>
      </c>
      <c r="AX47" s="292"/>
      <c r="AY47" s="292">
        <v>21944</v>
      </c>
      <c r="AZ47" s="292"/>
      <c r="BA47" s="292">
        <v>75687</v>
      </c>
      <c r="BB47" s="292"/>
      <c r="BC47" s="292">
        <f>+Y47+AA47</f>
        <v>581552</v>
      </c>
      <c r="BD47" s="292"/>
      <c r="BE47" s="292"/>
      <c r="BF47" s="292"/>
      <c r="BG47" s="292"/>
      <c r="BH47" s="292"/>
      <c r="BI47" s="292"/>
      <c r="BJ47" s="292"/>
      <c r="BK47" s="48">
        <v>43832</v>
      </c>
      <c r="BL47" s="360"/>
      <c r="BM47" s="277">
        <v>44195</v>
      </c>
      <c r="BN47" s="277"/>
      <c r="BO47" s="33" t="s">
        <v>166</v>
      </c>
    </row>
    <row r="48" spans="1:85" s="3" customFormat="1" ht="27" customHeight="1" x14ac:dyDescent="0.2">
      <c r="A48" s="14"/>
      <c r="B48" s="192"/>
      <c r="C48" s="279"/>
      <c r="D48" s="168">
        <v>42</v>
      </c>
      <c r="E48" s="340" t="s">
        <v>61</v>
      </c>
      <c r="F48" s="341"/>
      <c r="G48" s="258"/>
      <c r="H48" s="259"/>
      <c r="I48" s="259"/>
      <c r="J48" s="261"/>
      <c r="K48" s="261"/>
      <c r="L48" s="280"/>
      <c r="M48" s="296"/>
      <c r="N48" s="297"/>
      <c r="O48" s="264"/>
      <c r="P48" s="265"/>
      <c r="Q48" s="266"/>
      <c r="R48" s="266"/>
      <c r="S48" s="259"/>
      <c r="T48" s="267"/>
      <c r="U48" s="267"/>
      <c r="V48" s="267"/>
      <c r="W48" s="268"/>
      <c r="X48" s="266"/>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9"/>
      <c r="BL48" s="269"/>
      <c r="BM48" s="269"/>
      <c r="BN48" s="269"/>
      <c r="BO48" s="282"/>
    </row>
    <row r="49" spans="1:67" s="4" customFormat="1" ht="92.25" customHeight="1" x14ac:dyDescent="0.2">
      <c r="A49" s="283"/>
      <c r="B49" s="91"/>
      <c r="C49" s="89"/>
      <c r="D49" s="330"/>
      <c r="E49" s="330"/>
      <c r="F49" s="331"/>
      <c r="G49" s="342">
        <v>4502003</v>
      </c>
      <c r="H49" s="107" t="s">
        <v>266</v>
      </c>
      <c r="I49" s="181" t="s">
        <v>266</v>
      </c>
      <c r="J49" s="92">
        <v>2</v>
      </c>
      <c r="K49" s="218"/>
      <c r="L49" s="34" t="s">
        <v>267</v>
      </c>
      <c r="M49" s="290" t="s">
        <v>179</v>
      </c>
      <c r="N49" s="181" t="s">
        <v>180</v>
      </c>
      <c r="O49" s="295">
        <f>(T49)/(P16+P18+P20+P22+P38+P47+P49)</f>
        <v>3.5535253562301249E-3</v>
      </c>
      <c r="P49" s="275">
        <f>+T49</f>
        <v>24027729.16</v>
      </c>
      <c r="Q49" s="40" t="s">
        <v>181</v>
      </c>
      <c r="R49" s="40" t="s">
        <v>182</v>
      </c>
      <c r="S49" s="107" t="s">
        <v>266</v>
      </c>
      <c r="T49" s="275">
        <v>24027729.16</v>
      </c>
      <c r="U49" s="275"/>
      <c r="V49" s="275"/>
      <c r="W49" s="110" t="s">
        <v>191</v>
      </c>
      <c r="X49" s="40" t="s">
        <v>192</v>
      </c>
      <c r="Y49" s="343">
        <v>295972</v>
      </c>
      <c r="Z49" s="343"/>
      <c r="AA49" s="343">
        <v>285580</v>
      </c>
      <c r="AB49" s="343"/>
      <c r="AC49" s="343">
        <v>135545</v>
      </c>
      <c r="AD49" s="343"/>
      <c r="AE49" s="343">
        <v>44254</v>
      </c>
      <c r="AF49" s="343"/>
      <c r="AG49" s="343">
        <v>309146</v>
      </c>
      <c r="AH49" s="343"/>
      <c r="AI49" s="343">
        <v>92607</v>
      </c>
      <c r="AJ49" s="343"/>
      <c r="AK49" s="343">
        <v>2145</v>
      </c>
      <c r="AL49" s="343"/>
      <c r="AM49" s="343">
        <v>12718</v>
      </c>
      <c r="AN49" s="343"/>
      <c r="AO49" s="343">
        <v>26</v>
      </c>
      <c r="AP49" s="343"/>
      <c r="AQ49" s="343">
        <v>37</v>
      </c>
      <c r="AR49" s="343"/>
      <c r="AS49" s="343">
        <v>0</v>
      </c>
      <c r="AT49" s="343"/>
      <c r="AU49" s="343">
        <v>0</v>
      </c>
      <c r="AV49" s="343"/>
      <c r="AW49" s="343">
        <v>44350</v>
      </c>
      <c r="AX49" s="343"/>
      <c r="AY49" s="343">
        <v>21944</v>
      </c>
      <c r="AZ49" s="343"/>
      <c r="BA49" s="343">
        <v>75687</v>
      </c>
      <c r="BB49" s="343"/>
      <c r="BC49" s="343">
        <f>+Y49+AA49</f>
        <v>581552</v>
      </c>
      <c r="BD49" s="343"/>
      <c r="BE49" s="343"/>
      <c r="BF49" s="343"/>
      <c r="BG49" s="343"/>
      <c r="BH49" s="343"/>
      <c r="BI49" s="343"/>
      <c r="BJ49" s="343"/>
      <c r="BK49" s="48">
        <v>43832</v>
      </c>
      <c r="BL49" s="48"/>
      <c r="BM49" s="49">
        <v>44195</v>
      </c>
      <c r="BN49" s="49"/>
      <c r="BO49" s="33" t="s">
        <v>166</v>
      </c>
    </row>
    <row r="50" spans="1:67" s="4" customFormat="1" ht="27" customHeight="1" x14ac:dyDescent="0.2">
      <c r="A50" s="321"/>
      <c r="B50" s="103"/>
      <c r="C50" s="104"/>
      <c r="D50" s="328"/>
      <c r="E50" s="328"/>
      <c r="F50" s="329"/>
      <c r="G50" s="329"/>
      <c r="H50" s="113"/>
      <c r="I50" s="114"/>
      <c r="J50" s="92"/>
      <c r="K50" s="218"/>
      <c r="L50" s="115"/>
      <c r="M50" s="115"/>
      <c r="N50" s="113"/>
      <c r="O50" s="116"/>
      <c r="P50" s="344">
        <f>SUM(P12:P49)</f>
        <v>11377317547.620001</v>
      </c>
      <c r="Q50" s="213"/>
      <c r="R50" s="213"/>
      <c r="S50" s="118"/>
      <c r="T50" s="344">
        <f>SUM(T12:T49)</f>
        <v>11377317547.620001</v>
      </c>
      <c r="U50" s="344">
        <f>SUM(U12:U49)</f>
        <v>495649665</v>
      </c>
      <c r="V50" s="344">
        <f>SUM(V12:V49)</f>
        <v>328786008</v>
      </c>
      <c r="W50" s="344"/>
      <c r="X50" s="344"/>
      <c r="Y50" s="344"/>
      <c r="Z50" s="344"/>
      <c r="AA50" s="344"/>
      <c r="AB50" s="344"/>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344"/>
      <c r="AY50" s="344"/>
      <c r="AZ50" s="344"/>
      <c r="BA50" s="344"/>
      <c r="BB50" s="344"/>
      <c r="BC50" s="344"/>
      <c r="BD50" s="344"/>
      <c r="BE50" s="344">
        <f t="shared" ref="BE50:BG50" si="1">SUM(BE12:BE49)</f>
        <v>61</v>
      </c>
      <c r="BF50" s="344">
        <f t="shared" si="1"/>
        <v>495649665</v>
      </c>
      <c r="BG50" s="344">
        <f t="shared" si="1"/>
        <v>328786008</v>
      </c>
      <c r="BH50" s="372">
        <f>BG50/BF50</f>
        <v>0.66334354931925554</v>
      </c>
      <c r="BI50" s="119"/>
      <c r="BJ50" s="119"/>
      <c r="BK50" s="48"/>
      <c r="BL50" s="48"/>
      <c r="BM50" s="123"/>
      <c r="BN50" s="123"/>
      <c r="BO50" s="124"/>
    </row>
    <row r="52" spans="1:67" ht="27" customHeight="1" x14ac:dyDescent="0.2">
      <c r="R52" s="345"/>
    </row>
    <row r="53" spans="1:67" ht="27" customHeight="1" x14ac:dyDescent="0.2">
      <c r="C53" s="347"/>
      <c r="D53" s="348"/>
      <c r="E53" s="103"/>
      <c r="F53" s="103"/>
      <c r="G53" s="103"/>
      <c r="H53" s="91"/>
      <c r="I53" s="349"/>
    </row>
    <row r="54" spans="1:67" ht="27" customHeight="1" x14ac:dyDescent="0.25">
      <c r="C54" s="350" t="s">
        <v>268</v>
      </c>
      <c r="D54" s="125"/>
      <c r="E54" s="4"/>
      <c r="F54" s="4"/>
      <c r="G54" s="4"/>
      <c r="H54" s="4"/>
    </row>
    <row r="55" spans="1:67" ht="27" customHeight="1" x14ac:dyDescent="0.25">
      <c r="C55" s="140" t="s">
        <v>269</v>
      </c>
      <c r="D55" s="125"/>
      <c r="E55" s="4"/>
      <c r="F55" s="4"/>
      <c r="G55" s="4"/>
      <c r="H55" s="4"/>
    </row>
  </sheetData>
  <sheetProtection password="A60F" sheet="1" objects="1" scenarios="1"/>
  <mergeCells count="230">
    <mergeCell ref="BJ40:BJ44"/>
    <mergeCell ref="BK40:BK44"/>
    <mergeCell ref="BL40:BL44"/>
    <mergeCell ref="BM40:BM44"/>
    <mergeCell ref="BN40:BN44"/>
    <mergeCell ref="BO40:BO44"/>
    <mergeCell ref="BD40:BD44"/>
    <mergeCell ref="BE40:BE44"/>
    <mergeCell ref="BF40:BF44"/>
    <mergeCell ref="BG40:BG44"/>
    <mergeCell ref="BH40:BH44"/>
    <mergeCell ref="BI40:BI44"/>
    <mergeCell ref="AX40:AX44"/>
    <mergeCell ref="AY40:AY44"/>
    <mergeCell ref="AZ40:AZ44"/>
    <mergeCell ref="BA40:BA44"/>
    <mergeCell ref="BB40:BB44"/>
    <mergeCell ref="BC40:BC44"/>
    <mergeCell ref="AR40:AR44"/>
    <mergeCell ref="AS40:AS44"/>
    <mergeCell ref="AT40:AT44"/>
    <mergeCell ref="AU40:AU44"/>
    <mergeCell ref="AV40:AV44"/>
    <mergeCell ref="AW40:AW44"/>
    <mergeCell ref="AL40:AL44"/>
    <mergeCell ref="AM40:AM44"/>
    <mergeCell ref="AN40:AN44"/>
    <mergeCell ref="AO40:AO44"/>
    <mergeCell ref="AP40:AP44"/>
    <mergeCell ref="AQ40:AQ44"/>
    <mergeCell ref="AF40:AF44"/>
    <mergeCell ref="AG40:AG44"/>
    <mergeCell ref="AH40:AH44"/>
    <mergeCell ref="AI40:AI44"/>
    <mergeCell ref="AJ40:AJ44"/>
    <mergeCell ref="AK40:AK44"/>
    <mergeCell ref="Z40:Z44"/>
    <mergeCell ref="AA40:AA44"/>
    <mergeCell ref="AB40:AB44"/>
    <mergeCell ref="AC40:AC44"/>
    <mergeCell ref="AD40:AD44"/>
    <mergeCell ref="AE40:AE44"/>
    <mergeCell ref="BM35:BM36"/>
    <mergeCell ref="BO35:BO36"/>
    <mergeCell ref="L40:L44"/>
    <mergeCell ref="M40:M44"/>
    <mergeCell ref="N40:N44"/>
    <mergeCell ref="Q40:Q44"/>
    <mergeCell ref="R40:R44"/>
    <mergeCell ref="W40:W44"/>
    <mergeCell ref="X40:X44"/>
    <mergeCell ref="Y40:Y44"/>
    <mergeCell ref="BG35:BG36"/>
    <mergeCell ref="BH35:BH36"/>
    <mergeCell ref="BI35:BI36"/>
    <mergeCell ref="BJ35:BJ36"/>
    <mergeCell ref="BK35:BK36"/>
    <mergeCell ref="BL35:BL36"/>
    <mergeCell ref="BA35:BA36"/>
    <mergeCell ref="BB35:BB36"/>
    <mergeCell ref="BC35:BC36"/>
    <mergeCell ref="BD35:BD36"/>
    <mergeCell ref="BE35:BE36"/>
    <mergeCell ref="BF35:BF36"/>
    <mergeCell ref="AU35:AU36"/>
    <mergeCell ref="AV35:AV36"/>
    <mergeCell ref="AW35:AW36"/>
    <mergeCell ref="AX35:AX36"/>
    <mergeCell ref="AY35:AY36"/>
    <mergeCell ref="AZ35:AZ36"/>
    <mergeCell ref="AO35:AO36"/>
    <mergeCell ref="AP35:AP36"/>
    <mergeCell ref="AQ35:AQ36"/>
    <mergeCell ref="AR35:AR36"/>
    <mergeCell ref="AS35:AS36"/>
    <mergeCell ref="AT35:AT36"/>
    <mergeCell ref="AI35:AI36"/>
    <mergeCell ref="AJ35:AJ36"/>
    <mergeCell ref="AK35:AK36"/>
    <mergeCell ref="AL35:AL36"/>
    <mergeCell ref="AM35:AM36"/>
    <mergeCell ref="AN35:AN36"/>
    <mergeCell ref="AC35:AC36"/>
    <mergeCell ref="AD35:AD36"/>
    <mergeCell ref="AE35:AE36"/>
    <mergeCell ref="AF35:AF36"/>
    <mergeCell ref="AG35:AG36"/>
    <mergeCell ref="AH35:AH36"/>
    <mergeCell ref="W35:W36"/>
    <mergeCell ref="X35:X36"/>
    <mergeCell ref="Y35:Y36"/>
    <mergeCell ref="Z35:Z36"/>
    <mergeCell ref="AA35:AA36"/>
    <mergeCell ref="AB35:AB36"/>
    <mergeCell ref="N35:N36"/>
    <mergeCell ref="O35:O36"/>
    <mergeCell ref="P35:P36"/>
    <mergeCell ref="Q35:Q36"/>
    <mergeCell ref="R35:R36"/>
    <mergeCell ref="S35:S36"/>
    <mergeCell ref="BN30:BN31"/>
    <mergeCell ref="BO30:BO31"/>
    <mergeCell ref="D31:F31"/>
    <mergeCell ref="G35:G36"/>
    <mergeCell ref="H35:H36"/>
    <mergeCell ref="I35:I36"/>
    <mergeCell ref="J35:J36"/>
    <mergeCell ref="K35:K36"/>
    <mergeCell ref="L35:L36"/>
    <mergeCell ref="M35:M36"/>
    <mergeCell ref="BH30:BH31"/>
    <mergeCell ref="BI30:BI31"/>
    <mergeCell ref="BJ30:BJ31"/>
    <mergeCell ref="BK30:BK31"/>
    <mergeCell ref="BL30:BL31"/>
    <mergeCell ref="BM30:BM31"/>
    <mergeCell ref="BB30:BB31"/>
    <mergeCell ref="BC30:BC31"/>
    <mergeCell ref="BD30:BD31"/>
    <mergeCell ref="BE30:BE31"/>
    <mergeCell ref="BF30:BF31"/>
    <mergeCell ref="BG30:BG31"/>
    <mergeCell ref="AV30:AV31"/>
    <mergeCell ref="AW30:AW31"/>
    <mergeCell ref="AX30:AX31"/>
    <mergeCell ref="AY30:AY31"/>
    <mergeCell ref="AZ30:AZ31"/>
    <mergeCell ref="BA30:BA31"/>
    <mergeCell ref="AP30:AP31"/>
    <mergeCell ref="AQ30:AQ31"/>
    <mergeCell ref="AR30:AR31"/>
    <mergeCell ref="AS30:AS31"/>
    <mergeCell ref="AT30:AT31"/>
    <mergeCell ref="AU30:AU31"/>
    <mergeCell ref="AJ30:AJ31"/>
    <mergeCell ref="AK30:AK31"/>
    <mergeCell ref="AL30:AL31"/>
    <mergeCell ref="AM30:AM31"/>
    <mergeCell ref="AN30:AN31"/>
    <mergeCell ref="AO30:AO31"/>
    <mergeCell ref="AD30:AD31"/>
    <mergeCell ref="AE30:AE31"/>
    <mergeCell ref="AF30:AF31"/>
    <mergeCell ref="AG30:AG31"/>
    <mergeCell ref="AH30:AH31"/>
    <mergeCell ref="AI30:AI31"/>
    <mergeCell ref="X30:X31"/>
    <mergeCell ref="Y30:Y31"/>
    <mergeCell ref="Z30:Z31"/>
    <mergeCell ref="AA30:AA31"/>
    <mergeCell ref="AB30:AB31"/>
    <mergeCell ref="AC30:AC31"/>
    <mergeCell ref="O30:O31"/>
    <mergeCell ref="P30:P31"/>
    <mergeCell ref="Q30:Q31"/>
    <mergeCell ref="R30:R31"/>
    <mergeCell ref="S30:S31"/>
    <mergeCell ref="W30:W31"/>
    <mergeCell ref="I30:I31"/>
    <mergeCell ref="J30:J31"/>
    <mergeCell ref="K30:K31"/>
    <mergeCell ref="L30:L31"/>
    <mergeCell ref="M30:M31"/>
    <mergeCell ref="N30:N31"/>
    <mergeCell ref="D22:F22"/>
    <mergeCell ref="D25:F25"/>
    <mergeCell ref="D27:F27"/>
    <mergeCell ref="D30:F30"/>
    <mergeCell ref="G30:G31"/>
    <mergeCell ref="H30:H31"/>
    <mergeCell ref="BJ8:BJ9"/>
    <mergeCell ref="D12:F12"/>
    <mergeCell ref="D14:F14"/>
    <mergeCell ref="D16:F16"/>
    <mergeCell ref="D18:F18"/>
    <mergeCell ref="D20:F20"/>
    <mergeCell ref="AS8:AT8"/>
    <mergeCell ref="AU8:AV8"/>
    <mergeCell ref="AW8:AX8"/>
    <mergeCell ref="AY8:AZ8"/>
    <mergeCell ref="BA8:BB8"/>
    <mergeCell ref="BE8:BE9"/>
    <mergeCell ref="AG8:AH8"/>
    <mergeCell ref="AI8:AJ8"/>
    <mergeCell ref="AK8:AL8"/>
    <mergeCell ref="AM8:AN8"/>
    <mergeCell ref="AO8:AP8"/>
    <mergeCell ref="AQ8:AR8"/>
    <mergeCell ref="BC7:BD8"/>
    <mergeCell ref="BE7:BJ7"/>
    <mergeCell ref="BK7:BL8"/>
    <mergeCell ref="BM7:BN8"/>
    <mergeCell ref="BO7:BO9"/>
    <mergeCell ref="BF8:BF9"/>
    <mergeCell ref="BG8:BG9"/>
    <mergeCell ref="BH8:BH9"/>
    <mergeCell ref="BI8:BI9"/>
    <mergeCell ref="X7:X9"/>
    <mergeCell ref="Y7:AB7"/>
    <mergeCell ref="AC7:AJ7"/>
    <mergeCell ref="AK7:AV7"/>
    <mergeCell ref="Y8:Z8"/>
    <mergeCell ref="AA8:AB8"/>
    <mergeCell ref="AC8:AD8"/>
    <mergeCell ref="AE8:AF8"/>
    <mergeCell ref="AW7:BB7"/>
    <mergeCell ref="A1:BM4"/>
    <mergeCell ref="A5:J6"/>
    <mergeCell ref="L5:BO5"/>
    <mergeCell ref="Y6:BD6"/>
    <mergeCell ref="A7:A9"/>
    <mergeCell ref="B7:C9"/>
    <mergeCell ref="D7:D9"/>
    <mergeCell ref="E7:F9"/>
    <mergeCell ref="G7:G9"/>
    <mergeCell ref="H7:H9"/>
    <mergeCell ref="P7:P9"/>
    <mergeCell ref="Q7:Q9"/>
    <mergeCell ref="R7:R9"/>
    <mergeCell ref="S7:S9"/>
    <mergeCell ref="T7:T9"/>
    <mergeCell ref="U7:U9"/>
    <mergeCell ref="I7:I9"/>
    <mergeCell ref="J7:K8"/>
    <mergeCell ref="L7:L9"/>
    <mergeCell ref="M7:M9"/>
    <mergeCell ref="N7:N9"/>
    <mergeCell ref="O7:O9"/>
    <mergeCell ref="V7:V9"/>
    <mergeCell ref="W7:W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002060"/>
  </sheetPr>
  <dimension ref="A1:CF53"/>
  <sheetViews>
    <sheetView showGridLines="0" zoomScale="60" zoomScaleNormal="60" workbookViewId="0">
      <selection activeCell="Q30" sqref="Q30"/>
    </sheetView>
  </sheetViews>
  <sheetFormatPr baseColWidth="10" defaultColWidth="11.42578125" defaultRowHeight="27" customHeight="1" x14ac:dyDescent="0.2"/>
  <cols>
    <col min="1" max="1" width="13.85546875" style="222" customWidth="1"/>
    <col min="2" max="2" width="5.7109375" style="146" customWidth="1"/>
    <col min="3" max="3" width="14.5703125" style="146" customWidth="1"/>
    <col min="4" max="4" width="14.7109375" style="146" customWidth="1"/>
    <col min="5" max="5" width="10" style="146" customWidth="1"/>
    <col min="6" max="6" width="7.42578125" style="146" customWidth="1"/>
    <col min="7" max="7" width="18" style="346" customWidth="1"/>
    <col min="8" max="8" width="35.28515625" style="223" customWidth="1"/>
    <col min="9" max="9" width="37.28515625" style="223" customWidth="1"/>
    <col min="10" max="11" width="17.85546875" style="145" customWidth="1"/>
    <col min="12" max="12" width="40.140625" style="224" customWidth="1"/>
    <col min="13" max="13" width="21.85546875" style="224" customWidth="1"/>
    <col min="14" max="14" width="28.42578125" style="223" customWidth="1"/>
    <col min="15" max="15" width="15.28515625" style="226" customWidth="1"/>
    <col min="16" max="16" width="28.85546875" style="227" customWidth="1"/>
    <col min="17" max="17" width="33" style="223" customWidth="1"/>
    <col min="18" max="18" width="52.42578125" style="223" customWidth="1"/>
    <col min="19" max="19" width="28" style="223" customWidth="1"/>
    <col min="20" max="22" width="26.5703125" style="235" customWidth="1"/>
    <col min="23" max="23" width="19.42578125" style="229" customWidth="1"/>
    <col min="24" max="24" width="25" style="230" customWidth="1"/>
    <col min="25" max="56" width="10.42578125" style="346" customWidth="1"/>
    <col min="57" max="57" width="18.140625" style="346" customWidth="1"/>
    <col min="58" max="58" width="22.42578125" style="346" customWidth="1"/>
    <col min="59" max="59" width="23" style="346" customWidth="1"/>
    <col min="60" max="60" width="15.28515625" style="346" customWidth="1"/>
    <col min="61" max="61" width="19.28515625" style="346" customWidth="1"/>
    <col min="62" max="62" width="29.140625" style="346" customWidth="1"/>
    <col min="63" max="64" width="13.140625" style="491" customWidth="1"/>
    <col min="65" max="65" width="13.140625" style="232" customWidth="1"/>
    <col min="66" max="66" width="18.7109375" style="232" customWidth="1"/>
    <col min="67" max="67" width="25.140625" style="233" customWidth="1"/>
    <col min="68" max="16384" width="11.42578125" style="146"/>
  </cols>
  <sheetData>
    <row r="1" spans="1:84" ht="21" customHeight="1" x14ac:dyDescent="0.25">
      <c r="A1" s="1445" t="s">
        <v>273</v>
      </c>
      <c r="B1" s="1445"/>
      <c r="C1" s="1445"/>
      <c r="D1" s="1445"/>
      <c r="E1" s="1445"/>
      <c r="F1" s="1445"/>
      <c r="G1" s="1445"/>
      <c r="H1" s="1445"/>
      <c r="I1" s="1445"/>
      <c r="J1" s="1445"/>
      <c r="K1" s="1445"/>
      <c r="L1" s="1445"/>
      <c r="M1" s="1445"/>
      <c r="N1" s="1445"/>
      <c r="O1" s="1445"/>
      <c r="P1" s="1445"/>
      <c r="Q1" s="1445"/>
      <c r="R1" s="1445"/>
      <c r="S1" s="1445"/>
      <c r="T1" s="1445"/>
      <c r="U1" s="1445"/>
      <c r="V1" s="1445"/>
      <c r="W1" s="1445"/>
      <c r="X1" s="1445"/>
      <c r="Y1" s="1445"/>
      <c r="Z1" s="1445"/>
      <c r="AA1" s="1445"/>
      <c r="AB1" s="1445"/>
      <c r="AC1" s="1445"/>
      <c r="AD1" s="1445"/>
      <c r="AE1" s="1445"/>
      <c r="AF1" s="1445"/>
      <c r="AG1" s="1445"/>
      <c r="AH1" s="1445"/>
      <c r="AI1" s="1445"/>
      <c r="AJ1" s="1445"/>
      <c r="AK1" s="1445"/>
      <c r="AL1" s="1445"/>
      <c r="AM1" s="1445"/>
      <c r="AN1" s="1445"/>
      <c r="AO1" s="1445"/>
      <c r="AP1" s="1445"/>
      <c r="AQ1" s="1445"/>
      <c r="AR1" s="1445"/>
      <c r="AS1" s="1445"/>
      <c r="AT1" s="1445"/>
      <c r="AU1" s="1445"/>
      <c r="AV1" s="1445"/>
      <c r="AW1" s="1445"/>
      <c r="AX1" s="1445"/>
      <c r="AY1" s="1445"/>
      <c r="AZ1" s="1445"/>
      <c r="BA1" s="1445"/>
      <c r="BB1" s="1445"/>
      <c r="BC1" s="1445"/>
      <c r="BD1" s="1445"/>
      <c r="BE1" s="1445"/>
      <c r="BF1" s="1445"/>
      <c r="BG1" s="1445"/>
      <c r="BH1" s="1445"/>
      <c r="BI1" s="1445"/>
      <c r="BJ1" s="1445"/>
      <c r="BK1" s="1445"/>
      <c r="BL1" s="1445"/>
      <c r="BM1" s="1319"/>
      <c r="BN1" s="374" t="s">
        <v>1</v>
      </c>
      <c r="BO1" s="375" t="s">
        <v>131</v>
      </c>
      <c r="BP1" s="145"/>
      <c r="BQ1" s="145"/>
      <c r="BR1" s="145"/>
      <c r="BS1" s="145"/>
      <c r="BT1" s="145"/>
      <c r="BU1" s="145"/>
      <c r="BV1" s="145"/>
      <c r="BW1" s="145"/>
      <c r="BX1" s="145"/>
      <c r="BY1" s="145"/>
      <c r="BZ1" s="145"/>
      <c r="CA1" s="145"/>
      <c r="CB1" s="145"/>
      <c r="CC1" s="145"/>
      <c r="CD1" s="145"/>
      <c r="CE1" s="145"/>
      <c r="CF1" s="145"/>
    </row>
    <row r="2" spans="1:84" ht="21" customHeight="1" x14ac:dyDescent="0.2">
      <c r="A2" s="1445"/>
      <c r="B2" s="1445"/>
      <c r="C2" s="1445"/>
      <c r="D2" s="1445"/>
      <c r="E2" s="1445"/>
      <c r="F2" s="1445"/>
      <c r="G2" s="1445"/>
      <c r="H2" s="1445"/>
      <c r="I2" s="1445"/>
      <c r="J2" s="1445"/>
      <c r="K2" s="1445"/>
      <c r="L2" s="1445"/>
      <c r="M2" s="1445"/>
      <c r="N2" s="1445"/>
      <c r="O2" s="1445"/>
      <c r="P2" s="1445"/>
      <c r="Q2" s="1445"/>
      <c r="R2" s="1445"/>
      <c r="S2" s="1445"/>
      <c r="T2" s="1445"/>
      <c r="U2" s="1445"/>
      <c r="V2" s="1445"/>
      <c r="W2" s="1445"/>
      <c r="X2" s="1445"/>
      <c r="Y2" s="1445"/>
      <c r="Z2" s="1445"/>
      <c r="AA2" s="1445"/>
      <c r="AB2" s="1445"/>
      <c r="AC2" s="1445"/>
      <c r="AD2" s="1445"/>
      <c r="AE2" s="1445"/>
      <c r="AF2" s="1445"/>
      <c r="AG2" s="1445"/>
      <c r="AH2" s="1445"/>
      <c r="AI2" s="1445"/>
      <c r="AJ2" s="1445"/>
      <c r="AK2" s="1445"/>
      <c r="AL2" s="1445"/>
      <c r="AM2" s="1445"/>
      <c r="AN2" s="1445"/>
      <c r="AO2" s="1445"/>
      <c r="AP2" s="1445"/>
      <c r="AQ2" s="1445"/>
      <c r="AR2" s="1445"/>
      <c r="AS2" s="1445"/>
      <c r="AT2" s="1445"/>
      <c r="AU2" s="1445"/>
      <c r="AV2" s="1445"/>
      <c r="AW2" s="1445"/>
      <c r="AX2" s="1445"/>
      <c r="AY2" s="1445"/>
      <c r="AZ2" s="1445"/>
      <c r="BA2" s="1445"/>
      <c r="BB2" s="1445"/>
      <c r="BC2" s="1445"/>
      <c r="BD2" s="1445"/>
      <c r="BE2" s="1445"/>
      <c r="BF2" s="1445"/>
      <c r="BG2" s="1445"/>
      <c r="BH2" s="1445"/>
      <c r="BI2" s="1445"/>
      <c r="BJ2" s="1445"/>
      <c r="BK2" s="1445"/>
      <c r="BL2" s="1445"/>
      <c r="BM2" s="1319"/>
      <c r="BN2" s="374" t="s">
        <v>3</v>
      </c>
      <c r="BO2" s="376" t="s">
        <v>4</v>
      </c>
      <c r="BP2" s="145"/>
      <c r="BQ2" s="145"/>
      <c r="BR2" s="145"/>
      <c r="BS2" s="145"/>
      <c r="BT2" s="145"/>
      <c r="BU2" s="145"/>
      <c r="BV2" s="145"/>
      <c r="BW2" s="145"/>
      <c r="BX2" s="145"/>
      <c r="BY2" s="145"/>
      <c r="BZ2" s="145"/>
      <c r="CA2" s="145"/>
      <c r="CB2" s="145"/>
      <c r="CC2" s="145"/>
      <c r="CD2" s="145"/>
      <c r="CE2" s="145"/>
      <c r="CF2" s="145"/>
    </row>
    <row r="3" spans="1:84" ht="21" customHeight="1" x14ac:dyDescent="0.2">
      <c r="A3" s="1445"/>
      <c r="B3" s="1445"/>
      <c r="C3" s="1445"/>
      <c r="D3" s="1445"/>
      <c r="E3" s="1445"/>
      <c r="F3" s="1445"/>
      <c r="G3" s="1445"/>
      <c r="H3" s="1445"/>
      <c r="I3" s="1445"/>
      <c r="J3" s="1445"/>
      <c r="K3" s="1445"/>
      <c r="L3" s="1445"/>
      <c r="M3" s="1445"/>
      <c r="N3" s="1445"/>
      <c r="O3" s="1445"/>
      <c r="P3" s="1445"/>
      <c r="Q3" s="1445"/>
      <c r="R3" s="1445"/>
      <c r="S3" s="1445"/>
      <c r="T3" s="1445"/>
      <c r="U3" s="1445"/>
      <c r="V3" s="1445"/>
      <c r="W3" s="1445"/>
      <c r="X3" s="1445"/>
      <c r="Y3" s="1445"/>
      <c r="Z3" s="1445"/>
      <c r="AA3" s="1445"/>
      <c r="AB3" s="1445"/>
      <c r="AC3" s="1445"/>
      <c r="AD3" s="1445"/>
      <c r="AE3" s="1445"/>
      <c r="AF3" s="1445"/>
      <c r="AG3" s="1445"/>
      <c r="AH3" s="1445"/>
      <c r="AI3" s="1445"/>
      <c r="AJ3" s="1445"/>
      <c r="AK3" s="1445"/>
      <c r="AL3" s="1445"/>
      <c r="AM3" s="1445"/>
      <c r="AN3" s="1445"/>
      <c r="AO3" s="1445"/>
      <c r="AP3" s="1445"/>
      <c r="AQ3" s="1445"/>
      <c r="AR3" s="1445"/>
      <c r="AS3" s="1445"/>
      <c r="AT3" s="1445"/>
      <c r="AU3" s="1445"/>
      <c r="AV3" s="1445"/>
      <c r="AW3" s="1445"/>
      <c r="AX3" s="1445"/>
      <c r="AY3" s="1445"/>
      <c r="AZ3" s="1445"/>
      <c r="BA3" s="1445"/>
      <c r="BB3" s="1445"/>
      <c r="BC3" s="1445"/>
      <c r="BD3" s="1445"/>
      <c r="BE3" s="1445"/>
      <c r="BF3" s="1445"/>
      <c r="BG3" s="1445"/>
      <c r="BH3" s="1445"/>
      <c r="BI3" s="1445"/>
      <c r="BJ3" s="1445"/>
      <c r="BK3" s="1445"/>
      <c r="BL3" s="1445"/>
      <c r="BM3" s="1319"/>
      <c r="BN3" s="374" t="s">
        <v>5</v>
      </c>
      <c r="BO3" s="377" t="s">
        <v>6</v>
      </c>
      <c r="BP3" s="145"/>
      <c r="BQ3" s="145"/>
      <c r="BR3" s="145"/>
      <c r="BS3" s="145"/>
      <c r="BT3" s="145"/>
      <c r="BU3" s="145"/>
      <c r="BV3" s="145"/>
      <c r="BW3" s="145"/>
      <c r="BX3" s="145"/>
      <c r="BY3" s="145"/>
      <c r="BZ3" s="145"/>
      <c r="CA3" s="145"/>
      <c r="CB3" s="145"/>
      <c r="CC3" s="145"/>
      <c r="CD3" s="145"/>
      <c r="CE3" s="145"/>
      <c r="CF3" s="145"/>
    </row>
    <row r="4" spans="1:84" ht="21" customHeight="1" x14ac:dyDescent="0.2">
      <c r="A4" s="1320"/>
      <c r="B4" s="1320"/>
      <c r="C4" s="1320"/>
      <c r="D4" s="1320"/>
      <c r="E4" s="1320"/>
      <c r="F4" s="1320"/>
      <c r="G4" s="1320"/>
      <c r="H4" s="1320"/>
      <c r="I4" s="1320"/>
      <c r="J4" s="1320"/>
      <c r="K4" s="1320"/>
      <c r="L4" s="1320"/>
      <c r="M4" s="1320"/>
      <c r="N4" s="1320"/>
      <c r="O4" s="1320"/>
      <c r="P4" s="1320"/>
      <c r="Q4" s="1320"/>
      <c r="R4" s="1320"/>
      <c r="S4" s="1320"/>
      <c r="T4" s="1320"/>
      <c r="U4" s="1320"/>
      <c r="V4" s="1320"/>
      <c r="W4" s="1320"/>
      <c r="X4" s="1320"/>
      <c r="Y4" s="1320"/>
      <c r="Z4" s="1320"/>
      <c r="AA4" s="1320"/>
      <c r="AB4" s="1320"/>
      <c r="AC4" s="1320"/>
      <c r="AD4" s="1320"/>
      <c r="AE4" s="1320"/>
      <c r="AF4" s="1320"/>
      <c r="AG4" s="1320"/>
      <c r="AH4" s="1320"/>
      <c r="AI4" s="1320"/>
      <c r="AJ4" s="1320"/>
      <c r="AK4" s="1320"/>
      <c r="AL4" s="1320"/>
      <c r="AM4" s="1320"/>
      <c r="AN4" s="1320"/>
      <c r="AO4" s="1320"/>
      <c r="AP4" s="1320"/>
      <c r="AQ4" s="1320"/>
      <c r="AR4" s="1320"/>
      <c r="AS4" s="1320"/>
      <c r="AT4" s="1320"/>
      <c r="AU4" s="1320"/>
      <c r="AV4" s="1320"/>
      <c r="AW4" s="1320"/>
      <c r="AX4" s="1320"/>
      <c r="AY4" s="1320"/>
      <c r="AZ4" s="1320"/>
      <c r="BA4" s="1320"/>
      <c r="BB4" s="1320"/>
      <c r="BC4" s="1320"/>
      <c r="BD4" s="1320"/>
      <c r="BE4" s="1320"/>
      <c r="BF4" s="1320"/>
      <c r="BG4" s="1320"/>
      <c r="BH4" s="1320"/>
      <c r="BI4" s="1320"/>
      <c r="BJ4" s="1320"/>
      <c r="BK4" s="1320"/>
      <c r="BL4" s="1320"/>
      <c r="BM4" s="1321"/>
      <c r="BN4" s="374" t="s">
        <v>7</v>
      </c>
      <c r="BO4" s="378" t="s">
        <v>8</v>
      </c>
      <c r="BP4" s="145"/>
      <c r="BQ4" s="145"/>
      <c r="BR4" s="145"/>
      <c r="BS4" s="145"/>
      <c r="BT4" s="145"/>
      <c r="BU4" s="145"/>
      <c r="BV4" s="145"/>
      <c r="BW4" s="145"/>
      <c r="BX4" s="145"/>
      <c r="BY4" s="145"/>
      <c r="BZ4" s="145"/>
      <c r="CA4" s="145"/>
      <c r="CB4" s="145"/>
      <c r="CC4" s="145"/>
      <c r="CD4" s="145"/>
      <c r="CE4" s="145"/>
      <c r="CF4" s="145"/>
    </row>
    <row r="5" spans="1:84" s="4" customFormat="1" ht="27" customHeight="1" x14ac:dyDescent="0.2">
      <c r="A5" s="1231" t="s">
        <v>9</v>
      </c>
      <c r="B5" s="1231"/>
      <c r="C5" s="1231"/>
      <c r="D5" s="1231"/>
      <c r="E5" s="1231"/>
      <c r="F5" s="1231"/>
      <c r="G5" s="1231"/>
      <c r="H5" s="1231"/>
      <c r="I5" s="1231"/>
      <c r="J5" s="1231"/>
      <c r="K5" s="7"/>
      <c r="L5" s="1233" t="s">
        <v>10</v>
      </c>
      <c r="M5" s="1233"/>
      <c r="N5" s="1233"/>
      <c r="O5" s="1233"/>
      <c r="P5" s="1233"/>
      <c r="Q5" s="1233"/>
      <c r="R5" s="1233"/>
      <c r="S5" s="1233"/>
      <c r="T5" s="1233"/>
      <c r="U5" s="1233"/>
      <c r="V5" s="1233"/>
      <c r="W5" s="1233"/>
      <c r="X5" s="1233"/>
      <c r="Y5" s="1233"/>
      <c r="Z5" s="1233"/>
      <c r="AA5" s="1233"/>
      <c r="AB5" s="1233"/>
      <c r="AC5" s="1233"/>
      <c r="AD5" s="1233"/>
      <c r="AE5" s="1233"/>
      <c r="AF5" s="1233"/>
      <c r="AG5" s="1233"/>
      <c r="AH5" s="1233"/>
      <c r="AI5" s="1233"/>
      <c r="AJ5" s="1233"/>
      <c r="AK5" s="1233"/>
      <c r="AL5" s="1233"/>
      <c r="AM5" s="1233"/>
      <c r="AN5" s="1233"/>
      <c r="AO5" s="1233"/>
      <c r="AP5" s="1233"/>
      <c r="AQ5" s="1233"/>
      <c r="AR5" s="1233"/>
      <c r="AS5" s="1233"/>
      <c r="AT5" s="1233"/>
      <c r="AU5" s="1233"/>
      <c r="AV5" s="1233"/>
      <c r="AW5" s="1233"/>
      <c r="AX5" s="1233"/>
      <c r="AY5" s="1233"/>
      <c r="AZ5" s="1233"/>
      <c r="BA5" s="1233"/>
      <c r="BB5" s="1233"/>
      <c r="BC5" s="1233"/>
      <c r="BD5" s="1233"/>
      <c r="BE5" s="1233"/>
      <c r="BF5" s="1233"/>
      <c r="BG5" s="1233"/>
      <c r="BH5" s="1233"/>
      <c r="BI5" s="1233"/>
      <c r="BJ5" s="1233"/>
      <c r="BK5" s="1233"/>
      <c r="BL5" s="1233"/>
      <c r="BM5" s="1233"/>
      <c r="BN5" s="1233"/>
      <c r="BO5" s="1233"/>
      <c r="BP5" s="3"/>
      <c r="BQ5" s="3"/>
      <c r="BR5" s="3"/>
      <c r="BS5" s="3"/>
      <c r="BT5" s="3"/>
      <c r="BU5" s="3"/>
      <c r="BV5" s="3"/>
      <c r="BW5" s="3"/>
      <c r="BX5" s="3"/>
      <c r="BY5" s="3"/>
      <c r="BZ5" s="3"/>
      <c r="CA5" s="3"/>
      <c r="CB5" s="3"/>
      <c r="CC5" s="3"/>
      <c r="CD5" s="3"/>
      <c r="CE5" s="3"/>
      <c r="CF5" s="3"/>
    </row>
    <row r="6" spans="1:84" s="4" customFormat="1" ht="27" customHeight="1" thickBot="1" x14ac:dyDescent="0.25">
      <c r="A6" s="1232"/>
      <c r="B6" s="1232"/>
      <c r="C6" s="1232"/>
      <c r="D6" s="1232"/>
      <c r="E6" s="1232"/>
      <c r="F6" s="1232"/>
      <c r="G6" s="1232"/>
      <c r="H6" s="1232"/>
      <c r="I6" s="1232"/>
      <c r="J6" s="1232"/>
      <c r="K6" s="8"/>
      <c r="L6" s="239"/>
      <c r="M6" s="10"/>
      <c r="N6" s="240"/>
      <c r="O6" s="8"/>
      <c r="P6" s="10"/>
      <c r="Q6" s="240"/>
      <c r="R6" s="240"/>
      <c r="S6" s="240"/>
      <c r="T6" s="10"/>
      <c r="U6" s="10"/>
      <c r="V6" s="10"/>
      <c r="W6" s="10"/>
      <c r="X6" s="10"/>
      <c r="Y6" s="1446" t="s">
        <v>11</v>
      </c>
      <c r="Z6" s="1447"/>
      <c r="AA6" s="1447"/>
      <c r="AB6" s="1447"/>
      <c r="AC6" s="1447"/>
      <c r="AD6" s="1447"/>
      <c r="AE6" s="1447"/>
      <c r="AF6" s="1447"/>
      <c r="AG6" s="1447"/>
      <c r="AH6" s="1447"/>
      <c r="AI6" s="1447"/>
      <c r="AJ6" s="1447"/>
      <c r="AK6" s="1447"/>
      <c r="AL6" s="1447"/>
      <c r="AM6" s="1447"/>
      <c r="AN6" s="1447"/>
      <c r="AO6" s="1447"/>
      <c r="AP6" s="1447"/>
      <c r="AQ6" s="1447"/>
      <c r="AR6" s="1447"/>
      <c r="AS6" s="1447"/>
      <c r="AT6" s="1447"/>
      <c r="AU6" s="1447"/>
      <c r="AV6" s="1447"/>
      <c r="AW6" s="1447"/>
      <c r="AX6" s="1447"/>
      <c r="AY6" s="1447"/>
      <c r="AZ6" s="1447"/>
      <c r="BA6" s="1447"/>
      <c r="BB6" s="1447"/>
      <c r="BC6" s="1447"/>
      <c r="BD6" s="1447"/>
      <c r="BE6" s="8"/>
      <c r="BF6" s="8"/>
      <c r="BG6" s="8"/>
      <c r="BH6" s="8"/>
      <c r="BI6" s="8"/>
      <c r="BJ6" s="8"/>
      <c r="BK6" s="8"/>
      <c r="BL6" s="8"/>
      <c r="BM6" s="8"/>
      <c r="BN6" s="8"/>
      <c r="BO6" s="11"/>
      <c r="BP6" s="3"/>
      <c r="BQ6" s="3"/>
      <c r="BR6" s="3"/>
      <c r="BS6" s="3"/>
      <c r="BT6" s="3"/>
      <c r="BU6" s="3"/>
      <c r="BV6" s="3"/>
      <c r="BW6" s="3"/>
      <c r="BX6" s="3"/>
      <c r="BY6" s="3"/>
      <c r="BZ6" s="3"/>
      <c r="CA6" s="3"/>
      <c r="CB6" s="3"/>
      <c r="CC6" s="3"/>
      <c r="CD6" s="3"/>
      <c r="CE6" s="3"/>
      <c r="CF6" s="3"/>
    </row>
    <row r="7" spans="1:84" s="4" customFormat="1" ht="43.5" customHeight="1" x14ac:dyDescent="0.2">
      <c r="A7" s="1234" t="s">
        <v>12</v>
      </c>
      <c r="B7" s="1221" t="s">
        <v>13</v>
      </c>
      <c r="C7" s="1221"/>
      <c r="D7" s="1221" t="s">
        <v>12</v>
      </c>
      <c r="E7" s="1221" t="s">
        <v>14</v>
      </c>
      <c r="F7" s="1221"/>
      <c r="G7" s="1237" t="s">
        <v>12</v>
      </c>
      <c r="H7" s="1221" t="s">
        <v>15</v>
      </c>
      <c r="I7" s="1221" t="s">
        <v>16</v>
      </c>
      <c r="J7" s="1222" t="s">
        <v>17</v>
      </c>
      <c r="K7" s="1223"/>
      <c r="L7" s="1221" t="s">
        <v>18</v>
      </c>
      <c r="M7" s="1221" t="s">
        <v>19</v>
      </c>
      <c r="N7" s="1221" t="s">
        <v>10</v>
      </c>
      <c r="O7" s="1226" t="s">
        <v>20</v>
      </c>
      <c r="P7" s="1253" t="s">
        <v>21</v>
      </c>
      <c r="Q7" s="1221" t="s">
        <v>22</v>
      </c>
      <c r="R7" s="1221" t="s">
        <v>23</v>
      </c>
      <c r="S7" s="1221" t="s">
        <v>24</v>
      </c>
      <c r="T7" s="1253" t="s">
        <v>21</v>
      </c>
      <c r="U7" s="1253" t="s">
        <v>25</v>
      </c>
      <c r="V7" s="1253" t="s">
        <v>26</v>
      </c>
      <c r="W7" s="1264" t="s">
        <v>12</v>
      </c>
      <c r="X7" s="1221" t="s">
        <v>27</v>
      </c>
      <c r="Y7" s="1240" t="s">
        <v>28</v>
      </c>
      <c r="Z7" s="1241"/>
      <c r="AA7" s="1241"/>
      <c r="AB7" s="1242"/>
      <c r="AC7" s="1243" t="s">
        <v>29</v>
      </c>
      <c r="AD7" s="1244"/>
      <c r="AE7" s="1244"/>
      <c r="AF7" s="1244"/>
      <c r="AG7" s="1244"/>
      <c r="AH7" s="1244"/>
      <c r="AI7" s="1244"/>
      <c r="AJ7" s="1245"/>
      <c r="AK7" s="1246" t="s">
        <v>30</v>
      </c>
      <c r="AL7" s="1247"/>
      <c r="AM7" s="1247"/>
      <c r="AN7" s="1247"/>
      <c r="AO7" s="1247"/>
      <c r="AP7" s="1247"/>
      <c r="AQ7" s="1247"/>
      <c r="AR7" s="1247"/>
      <c r="AS7" s="1247"/>
      <c r="AT7" s="1247"/>
      <c r="AU7" s="1247"/>
      <c r="AV7" s="1248"/>
      <c r="AW7" s="1254" t="s">
        <v>31</v>
      </c>
      <c r="AX7" s="1255"/>
      <c r="AY7" s="1255"/>
      <c r="AZ7" s="1255"/>
      <c r="BA7" s="1255"/>
      <c r="BB7" s="1256"/>
      <c r="BC7" s="1257" t="s">
        <v>32</v>
      </c>
      <c r="BD7" s="1258"/>
      <c r="BE7" s="1261" t="s">
        <v>33</v>
      </c>
      <c r="BF7" s="1262"/>
      <c r="BG7" s="1262"/>
      <c r="BH7" s="1262"/>
      <c r="BI7" s="1262"/>
      <c r="BJ7" s="1263"/>
      <c r="BK7" s="1265" t="s">
        <v>34</v>
      </c>
      <c r="BL7" s="1265"/>
      <c r="BM7" s="1266" t="s">
        <v>35</v>
      </c>
      <c r="BN7" s="1267"/>
      <c r="BO7" s="1270" t="s">
        <v>36</v>
      </c>
      <c r="BP7" s="3"/>
      <c r="BQ7" s="3"/>
      <c r="BR7" s="3"/>
      <c r="BS7" s="3"/>
      <c r="BT7" s="3"/>
      <c r="BU7" s="3"/>
      <c r="BV7" s="3"/>
      <c r="BW7" s="3"/>
      <c r="BX7" s="3"/>
      <c r="BY7" s="3"/>
      <c r="BZ7" s="3"/>
      <c r="CA7" s="3"/>
      <c r="CB7" s="3"/>
      <c r="CC7" s="3"/>
      <c r="CD7" s="3"/>
      <c r="CE7" s="3"/>
      <c r="CF7" s="3"/>
    </row>
    <row r="8" spans="1:84" s="4" customFormat="1" ht="120.75" customHeight="1" x14ac:dyDescent="0.2">
      <c r="A8" s="1235"/>
      <c r="B8" s="1221"/>
      <c r="C8" s="1221"/>
      <c r="D8" s="1221"/>
      <c r="E8" s="1221"/>
      <c r="F8" s="1221"/>
      <c r="G8" s="1238"/>
      <c r="H8" s="1221"/>
      <c r="I8" s="1221"/>
      <c r="J8" s="1224"/>
      <c r="K8" s="1225"/>
      <c r="L8" s="1221"/>
      <c r="M8" s="1221"/>
      <c r="N8" s="1221"/>
      <c r="O8" s="1226"/>
      <c r="P8" s="1253"/>
      <c r="Q8" s="1221"/>
      <c r="R8" s="1221"/>
      <c r="S8" s="1221"/>
      <c r="T8" s="1253"/>
      <c r="U8" s="1253"/>
      <c r="V8" s="1253"/>
      <c r="W8" s="1264"/>
      <c r="X8" s="1221"/>
      <c r="Y8" s="1249" t="s">
        <v>37</v>
      </c>
      <c r="Z8" s="1250"/>
      <c r="AA8" s="1251" t="s">
        <v>38</v>
      </c>
      <c r="AB8" s="1252"/>
      <c r="AC8" s="1249" t="s">
        <v>39</v>
      </c>
      <c r="AD8" s="1250"/>
      <c r="AE8" s="1249" t="s">
        <v>40</v>
      </c>
      <c r="AF8" s="1250"/>
      <c r="AG8" s="1249" t="s">
        <v>41</v>
      </c>
      <c r="AH8" s="1250"/>
      <c r="AI8" s="1249" t="s">
        <v>42</v>
      </c>
      <c r="AJ8" s="1250"/>
      <c r="AK8" s="1249" t="s">
        <v>43</v>
      </c>
      <c r="AL8" s="1250"/>
      <c r="AM8" s="1249" t="s">
        <v>44</v>
      </c>
      <c r="AN8" s="1250"/>
      <c r="AO8" s="1249" t="s">
        <v>45</v>
      </c>
      <c r="AP8" s="1250"/>
      <c r="AQ8" s="1249" t="s">
        <v>46</v>
      </c>
      <c r="AR8" s="1250"/>
      <c r="AS8" s="1249" t="s">
        <v>47</v>
      </c>
      <c r="AT8" s="1250"/>
      <c r="AU8" s="1249" t="s">
        <v>48</v>
      </c>
      <c r="AV8" s="1250"/>
      <c r="AW8" s="1249" t="s">
        <v>49</v>
      </c>
      <c r="AX8" s="1250"/>
      <c r="AY8" s="1249" t="s">
        <v>50</v>
      </c>
      <c r="AZ8" s="1250"/>
      <c r="BA8" s="1302" t="s">
        <v>51</v>
      </c>
      <c r="BB8" s="1302"/>
      <c r="BC8" s="1259"/>
      <c r="BD8" s="1260"/>
      <c r="BE8" s="1274" t="s">
        <v>52</v>
      </c>
      <c r="BF8" s="1273" t="s">
        <v>53</v>
      </c>
      <c r="BG8" s="1274" t="s">
        <v>54</v>
      </c>
      <c r="BH8" s="1275" t="s">
        <v>55</v>
      </c>
      <c r="BI8" s="1274" t="s">
        <v>56</v>
      </c>
      <c r="BJ8" s="1276" t="s">
        <v>57</v>
      </c>
      <c r="BK8" s="1265"/>
      <c r="BL8" s="1265"/>
      <c r="BM8" s="1268"/>
      <c r="BN8" s="1269"/>
      <c r="BO8" s="1271"/>
      <c r="BP8" s="3"/>
      <c r="BQ8" s="3"/>
      <c r="BR8" s="3"/>
      <c r="BS8" s="3"/>
      <c r="BT8" s="3"/>
      <c r="BU8" s="3"/>
      <c r="BV8" s="3"/>
      <c r="BW8" s="3"/>
      <c r="BX8" s="3"/>
      <c r="BY8" s="3"/>
      <c r="BZ8" s="3"/>
      <c r="CA8" s="3"/>
      <c r="CB8" s="3"/>
      <c r="CC8" s="3"/>
      <c r="CD8" s="3"/>
      <c r="CE8" s="3"/>
      <c r="CF8" s="3"/>
    </row>
    <row r="9" spans="1:84" s="4" customFormat="1" ht="21.75" customHeight="1" x14ac:dyDescent="0.2">
      <c r="A9" s="1236"/>
      <c r="B9" s="1221"/>
      <c r="C9" s="1221"/>
      <c r="D9" s="1221"/>
      <c r="E9" s="1221"/>
      <c r="F9" s="1221"/>
      <c r="G9" s="1239"/>
      <c r="H9" s="1221"/>
      <c r="I9" s="1221"/>
      <c r="J9" s="12" t="s">
        <v>58</v>
      </c>
      <c r="K9" s="12" t="s">
        <v>59</v>
      </c>
      <c r="L9" s="1221"/>
      <c r="M9" s="1221"/>
      <c r="N9" s="1221"/>
      <c r="O9" s="1226"/>
      <c r="P9" s="1253"/>
      <c r="Q9" s="1221"/>
      <c r="R9" s="1221"/>
      <c r="S9" s="1221"/>
      <c r="T9" s="1253"/>
      <c r="U9" s="1253"/>
      <c r="V9" s="1253"/>
      <c r="W9" s="1264"/>
      <c r="X9" s="1221"/>
      <c r="Y9" s="12" t="s">
        <v>58</v>
      </c>
      <c r="Z9" s="12" t="s">
        <v>60</v>
      </c>
      <c r="AA9" s="12" t="s">
        <v>58</v>
      </c>
      <c r="AB9" s="12" t="s">
        <v>60</v>
      </c>
      <c r="AC9" s="12" t="s">
        <v>58</v>
      </c>
      <c r="AD9" s="12" t="s">
        <v>60</v>
      </c>
      <c r="AE9" s="12" t="s">
        <v>58</v>
      </c>
      <c r="AF9" s="12" t="s">
        <v>60</v>
      </c>
      <c r="AG9" s="12" t="s">
        <v>58</v>
      </c>
      <c r="AH9" s="12" t="s">
        <v>60</v>
      </c>
      <c r="AI9" s="12" t="s">
        <v>58</v>
      </c>
      <c r="AJ9" s="12" t="s">
        <v>60</v>
      </c>
      <c r="AK9" s="12" t="s">
        <v>58</v>
      </c>
      <c r="AL9" s="12" t="s">
        <v>60</v>
      </c>
      <c r="AM9" s="12" t="s">
        <v>58</v>
      </c>
      <c r="AN9" s="12" t="s">
        <v>60</v>
      </c>
      <c r="AO9" s="12" t="s">
        <v>58</v>
      </c>
      <c r="AP9" s="12" t="s">
        <v>60</v>
      </c>
      <c r="AQ9" s="12" t="s">
        <v>58</v>
      </c>
      <c r="AR9" s="12" t="s">
        <v>60</v>
      </c>
      <c r="AS9" s="12" t="s">
        <v>58</v>
      </c>
      <c r="AT9" s="12" t="s">
        <v>60</v>
      </c>
      <c r="AU9" s="12" t="s">
        <v>58</v>
      </c>
      <c r="AV9" s="12" t="s">
        <v>60</v>
      </c>
      <c r="AW9" s="12" t="s">
        <v>58</v>
      </c>
      <c r="AX9" s="12" t="s">
        <v>60</v>
      </c>
      <c r="AY9" s="12" t="s">
        <v>58</v>
      </c>
      <c r="AZ9" s="12" t="s">
        <v>60</v>
      </c>
      <c r="BA9" s="12" t="s">
        <v>58</v>
      </c>
      <c r="BB9" s="12" t="s">
        <v>60</v>
      </c>
      <c r="BC9" s="12" t="s">
        <v>58</v>
      </c>
      <c r="BD9" s="12" t="s">
        <v>60</v>
      </c>
      <c r="BE9" s="1274"/>
      <c r="BF9" s="1273"/>
      <c r="BG9" s="1274"/>
      <c r="BH9" s="1275"/>
      <c r="BI9" s="1274"/>
      <c r="BJ9" s="1277"/>
      <c r="BK9" s="13" t="s">
        <v>58</v>
      </c>
      <c r="BL9" s="13" t="s">
        <v>60</v>
      </c>
      <c r="BM9" s="13" t="s">
        <v>58</v>
      </c>
      <c r="BN9" s="13" t="s">
        <v>60</v>
      </c>
      <c r="BO9" s="1272"/>
      <c r="BP9" s="3"/>
      <c r="BQ9" s="3"/>
      <c r="BR9" s="3"/>
      <c r="BS9" s="3"/>
      <c r="BT9" s="3"/>
      <c r="BU9" s="3"/>
      <c r="BV9" s="3"/>
      <c r="BW9" s="3"/>
      <c r="BX9" s="3"/>
      <c r="BY9" s="3"/>
      <c r="BZ9" s="3"/>
      <c r="CA9" s="3"/>
      <c r="CB9" s="3"/>
      <c r="CC9" s="3"/>
      <c r="CD9" s="3"/>
      <c r="CE9" s="3"/>
      <c r="CF9" s="3"/>
    </row>
    <row r="10" spans="1:84" s="4" customFormat="1" ht="27" customHeight="1" x14ac:dyDescent="0.2">
      <c r="A10" s="379">
        <v>1</v>
      </c>
      <c r="B10" s="380" t="s">
        <v>274</v>
      </c>
      <c r="C10" s="380"/>
      <c r="D10" s="381"/>
      <c r="E10" s="381"/>
      <c r="F10" s="381"/>
      <c r="G10" s="382"/>
      <c r="H10" s="307"/>
      <c r="I10" s="307"/>
      <c r="J10" s="383"/>
      <c r="K10" s="383"/>
      <c r="L10" s="304"/>
      <c r="M10" s="304"/>
      <c r="N10" s="310"/>
      <c r="O10" s="308"/>
      <c r="P10" s="309"/>
      <c r="Q10" s="310"/>
      <c r="R10" s="310"/>
      <c r="S10" s="310"/>
      <c r="T10" s="311"/>
      <c r="U10" s="311"/>
      <c r="V10" s="311"/>
      <c r="W10" s="312"/>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04"/>
      <c r="BE10" s="304"/>
      <c r="BF10" s="304"/>
      <c r="BG10" s="304"/>
      <c r="BH10" s="304"/>
      <c r="BI10" s="304"/>
      <c r="BJ10" s="304"/>
      <c r="BK10" s="313"/>
      <c r="BL10" s="313"/>
      <c r="BM10" s="313"/>
      <c r="BN10" s="313"/>
      <c r="BO10" s="384"/>
      <c r="BP10" s="3"/>
      <c r="BQ10" s="3"/>
      <c r="BR10" s="3"/>
      <c r="BS10" s="3"/>
      <c r="BT10" s="3"/>
      <c r="BU10" s="3"/>
      <c r="BV10" s="3"/>
      <c r="BW10" s="3"/>
      <c r="BX10" s="3"/>
      <c r="BY10" s="3"/>
      <c r="BZ10" s="3"/>
      <c r="CA10" s="3"/>
      <c r="CB10" s="3"/>
      <c r="CC10" s="3"/>
      <c r="CD10" s="3"/>
      <c r="CE10" s="3"/>
      <c r="CF10" s="3"/>
    </row>
    <row r="11" spans="1:84" s="3" customFormat="1" ht="27" customHeight="1" x14ac:dyDescent="0.2">
      <c r="A11" s="167"/>
      <c r="B11" s="253"/>
      <c r="C11" s="254"/>
      <c r="D11" s="385">
        <v>1</v>
      </c>
      <c r="E11" s="386" t="s">
        <v>157</v>
      </c>
      <c r="F11" s="387"/>
      <c r="G11" s="21"/>
      <c r="H11" s="388"/>
      <c r="I11" s="388"/>
      <c r="J11" s="18"/>
      <c r="K11" s="18"/>
      <c r="L11" s="21"/>
      <c r="M11" s="21"/>
      <c r="N11" s="388"/>
      <c r="O11" s="22"/>
      <c r="P11" s="23"/>
      <c r="Q11" s="388"/>
      <c r="R11" s="388"/>
      <c r="S11" s="388"/>
      <c r="T11" s="24"/>
      <c r="U11" s="24"/>
      <c r="V11" s="24"/>
      <c r="W11" s="25"/>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6"/>
      <c r="BL11" s="26"/>
      <c r="BM11" s="26"/>
      <c r="BN11" s="26"/>
      <c r="BO11" s="27"/>
    </row>
    <row r="12" spans="1:84" s="3" customFormat="1" ht="234" customHeight="1" x14ac:dyDescent="0.2">
      <c r="A12" s="28"/>
      <c r="B12" s="29"/>
      <c r="C12" s="66"/>
      <c r="D12" s="389"/>
      <c r="E12" s="389"/>
      <c r="F12" s="390"/>
      <c r="G12" s="316">
        <v>1202004</v>
      </c>
      <c r="H12" s="317" t="s">
        <v>275</v>
      </c>
      <c r="I12" s="201" t="s">
        <v>276</v>
      </c>
      <c r="J12" s="196">
        <v>12</v>
      </c>
      <c r="K12" s="196"/>
      <c r="L12" s="391" t="s">
        <v>277</v>
      </c>
      <c r="M12" s="392" t="s">
        <v>278</v>
      </c>
      <c r="N12" s="317" t="s">
        <v>279</v>
      </c>
      <c r="O12" s="199">
        <f>(T12)/P12</f>
        <v>1</v>
      </c>
      <c r="P12" s="393">
        <f>+T12</f>
        <v>112128400</v>
      </c>
      <c r="Q12" s="201" t="s">
        <v>280</v>
      </c>
      <c r="R12" s="202" t="s">
        <v>281</v>
      </c>
      <c r="S12" s="202" t="s">
        <v>275</v>
      </c>
      <c r="T12" s="394">
        <v>112128400</v>
      </c>
      <c r="U12" s="394">
        <v>14200000</v>
      </c>
      <c r="V12" s="394">
        <v>11200000</v>
      </c>
      <c r="W12" s="46" t="s">
        <v>70</v>
      </c>
      <c r="X12" s="40" t="s">
        <v>282</v>
      </c>
      <c r="Y12" s="204">
        <v>1018</v>
      </c>
      <c r="Z12" s="204"/>
      <c r="AA12" s="204">
        <v>982</v>
      </c>
      <c r="AB12" s="204"/>
      <c r="AC12" s="204">
        <v>466</v>
      </c>
      <c r="AD12" s="204"/>
      <c r="AE12" s="204">
        <v>152</v>
      </c>
      <c r="AF12" s="204"/>
      <c r="AG12" s="204">
        <v>1063</v>
      </c>
      <c r="AH12" s="204"/>
      <c r="AI12" s="204">
        <v>319</v>
      </c>
      <c r="AJ12" s="204"/>
      <c r="AK12" s="204">
        <v>0</v>
      </c>
      <c r="AL12" s="204"/>
      <c r="AM12" s="204">
        <v>0</v>
      </c>
      <c r="AN12" s="204"/>
      <c r="AO12" s="204">
        <v>0</v>
      </c>
      <c r="AP12" s="204"/>
      <c r="AQ12" s="204">
        <v>0</v>
      </c>
      <c r="AR12" s="204"/>
      <c r="AS12" s="204">
        <v>0</v>
      </c>
      <c r="AT12" s="204"/>
      <c r="AU12" s="204">
        <v>0</v>
      </c>
      <c r="AV12" s="204"/>
      <c r="AW12" s="204">
        <v>0</v>
      </c>
      <c r="AX12" s="204"/>
      <c r="AY12" s="204">
        <v>0</v>
      </c>
      <c r="AZ12" s="204"/>
      <c r="BA12" s="204">
        <v>0</v>
      </c>
      <c r="BB12" s="204"/>
      <c r="BC12" s="204">
        <f>+Y12+AA12</f>
        <v>2000</v>
      </c>
      <c r="BD12" s="204"/>
      <c r="BE12" s="204">
        <v>3</v>
      </c>
      <c r="BF12" s="395">
        <f>SUM(U12)</f>
        <v>14200000</v>
      </c>
      <c r="BG12" s="395">
        <f>SUM(V12)</f>
        <v>11200000</v>
      </c>
      <c r="BH12" s="199">
        <f>BG12/BF12</f>
        <v>0.78873239436619713</v>
      </c>
      <c r="BI12" s="204">
        <v>20</v>
      </c>
      <c r="BJ12" s="204" t="s">
        <v>283</v>
      </c>
      <c r="BK12" s="360">
        <v>43863</v>
      </c>
      <c r="BL12" s="360">
        <v>43899</v>
      </c>
      <c r="BM12" s="360">
        <v>44195</v>
      </c>
      <c r="BN12" s="360"/>
      <c r="BO12" s="396" t="s">
        <v>284</v>
      </c>
    </row>
    <row r="13" spans="1:84" s="3" customFormat="1" ht="27" customHeight="1" x14ac:dyDescent="0.2">
      <c r="A13" s="397"/>
      <c r="B13" s="398"/>
      <c r="C13" s="399"/>
      <c r="D13" s="400">
        <v>2</v>
      </c>
      <c r="E13" s="256" t="s">
        <v>285</v>
      </c>
      <c r="F13" s="259"/>
      <c r="G13" s="401"/>
      <c r="H13" s="259"/>
      <c r="I13" s="266"/>
      <c r="J13" s="402"/>
      <c r="K13" s="402"/>
      <c r="L13" s="280"/>
      <c r="M13" s="262"/>
      <c r="N13" s="266"/>
      <c r="O13" s="403"/>
      <c r="P13" s="265"/>
      <c r="Q13" s="266"/>
      <c r="R13" s="266"/>
      <c r="S13" s="266"/>
      <c r="T13" s="24"/>
      <c r="U13" s="24"/>
      <c r="V13" s="24"/>
      <c r="W13" s="25"/>
      <c r="X13" s="388"/>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262"/>
      <c r="BK13" s="269"/>
      <c r="BL13" s="269"/>
      <c r="BM13" s="269"/>
      <c r="BN13" s="269"/>
      <c r="BO13" s="282"/>
    </row>
    <row r="14" spans="1:84" s="3" customFormat="1" ht="231" customHeight="1" x14ac:dyDescent="0.2">
      <c r="A14" s="404"/>
      <c r="B14" s="405"/>
      <c r="C14" s="406"/>
      <c r="D14" s="389"/>
      <c r="E14" s="389"/>
      <c r="F14" s="390"/>
      <c r="G14" s="407">
        <v>1203002</v>
      </c>
      <c r="H14" s="33" t="s">
        <v>286</v>
      </c>
      <c r="I14" s="40" t="s">
        <v>287</v>
      </c>
      <c r="J14" s="196">
        <v>10</v>
      </c>
      <c r="K14" s="35"/>
      <c r="L14" s="36" t="s">
        <v>288</v>
      </c>
      <c r="M14" s="408" t="s">
        <v>289</v>
      </c>
      <c r="N14" s="32" t="s">
        <v>290</v>
      </c>
      <c r="O14" s="409">
        <f>(T14)/(P14+P16+P28)</f>
        <v>2.7479503306198387E-3</v>
      </c>
      <c r="P14" s="410">
        <f>+T14</f>
        <v>15000000</v>
      </c>
      <c r="Q14" s="40" t="s">
        <v>291</v>
      </c>
      <c r="R14" s="41" t="s">
        <v>292</v>
      </c>
      <c r="S14" s="33" t="s">
        <v>286</v>
      </c>
      <c r="T14" s="410">
        <v>15000000</v>
      </c>
      <c r="U14" s="410">
        <v>620000</v>
      </c>
      <c r="V14" s="410">
        <v>620000</v>
      </c>
      <c r="W14" s="411" t="s">
        <v>293</v>
      </c>
      <c r="X14" s="40" t="s">
        <v>294</v>
      </c>
      <c r="Y14" s="412">
        <v>295972</v>
      </c>
      <c r="Z14" s="412"/>
      <c r="AA14" s="412">
        <v>285580</v>
      </c>
      <c r="AB14" s="412"/>
      <c r="AC14" s="412">
        <v>135545</v>
      </c>
      <c r="AD14" s="412"/>
      <c r="AE14" s="412">
        <v>44254</v>
      </c>
      <c r="AF14" s="412"/>
      <c r="AG14" s="412">
        <v>309146</v>
      </c>
      <c r="AH14" s="412"/>
      <c r="AI14" s="412">
        <v>92607</v>
      </c>
      <c r="AJ14" s="412"/>
      <c r="AK14" s="412">
        <v>2145</v>
      </c>
      <c r="AL14" s="412"/>
      <c r="AM14" s="412">
        <v>12718</v>
      </c>
      <c r="AN14" s="412"/>
      <c r="AO14" s="412">
        <v>26</v>
      </c>
      <c r="AP14" s="412"/>
      <c r="AQ14" s="412">
        <v>12</v>
      </c>
      <c r="AR14" s="412"/>
      <c r="AS14" s="412">
        <v>0</v>
      </c>
      <c r="AT14" s="412"/>
      <c r="AU14" s="412">
        <v>0</v>
      </c>
      <c r="AV14" s="412"/>
      <c r="AW14" s="412">
        <v>44697</v>
      </c>
      <c r="AX14" s="412"/>
      <c r="AY14" s="412">
        <v>21944</v>
      </c>
      <c r="AZ14" s="412"/>
      <c r="BA14" s="412">
        <v>72128</v>
      </c>
      <c r="BB14" s="413"/>
      <c r="BC14" s="413">
        <f>+Y14+AA14</f>
        <v>581552</v>
      </c>
      <c r="BD14" s="413"/>
      <c r="BE14" s="413">
        <v>2</v>
      </c>
      <c r="BF14" s="395">
        <f>SUM(U14)</f>
        <v>620000</v>
      </c>
      <c r="BG14" s="395">
        <f>SUM(V14)</f>
        <v>620000</v>
      </c>
      <c r="BH14" s="199">
        <f>BG14/BF14</f>
        <v>1</v>
      </c>
      <c r="BI14" s="204">
        <v>20</v>
      </c>
      <c r="BJ14" s="204" t="s">
        <v>295</v>
      </c>
      <c r="BK14" s="360">
        <v>43863</v>
      </c>
      <c r="BL14" s="360">
        <v>43892</v>
      </c>
      <c r="BM14" s="360">
        <v>44195</v>
      </c>
      <c r="BN14" s="360"/>
      <c r="BO14" s="414" t="s">
        <v>284</v>
      </c>
    </row>
    <row r="15" spans="1:84" s="3" customFormat="1" ht="27" customHeight="1" x14ac:dyDescent="0.2">
      <c r="A15" s="404"/>
      <c r="B15" s="405"/>
      <c r="C15" s="406"/>
      <c r="D15" s="385">
        <v>3</v>
      </c>
      <c r="E15" s="386" t="s">
        <v>296</v>
      </c>
      <c r="F15" s="387"/>
      <c r="G15" s="401"/>
      <c r="H15" s="259"/>
      <c r="I15" s="259"/>
      <c r="J15" s="261"/>
      <c r="K15" s="261"/>
      <c r="L15" s="281"/>
      <c r="M15" s="21"/>
      <c r="N15" s="388"/>
      <c r="O15" s="415"/>
      <c r="P15" s="23"/>
      <c r="Q15" s="388"/>
      <c r="R15" s="388"/>
      <c r="S15" s="388"/>
      <c r="T15" s="24"/>
      <c r="U15" s="24"/>
      <c r="V15" s="24"/>
      <c r="W15" s="25"/>
      <c r="X15" s="388"/>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62"/>
      <c r="BD15" s="262"/>
      <c r="BE15" s="262"/>
      <c r="BF15" s="262"/>
      <c r="BG15" s="262"/>
      <c r="BH15" s="262"/>
      <c r="BI15" s="262"/>
      <c r="BJ15" s="262"/>
      <c r="BK15" s="269"/>
      <c r="BL15" s="269"/>
      <c r="BM15" s="269"/>
      <c r="BN15" s="26"/>
      <c r="BO15" s="416"/>
    </row>
    <row r="16" spans="1:84" s="3" customFormat="1" ht="211.5" customHeight="1" x14ac:dyDescent="0.2">
      <c r="A16" s="404"/>
      <c r="B16" s="405"/>
      <c r="C16" s="405"/>
      <c r="D16" s="417"/>
      <c r="E16" s="389"/>
      <c r="F16" s="390"/>
      <c r="G16" s="407">
        <v>1206005</v>
      </c>
      <c r="H16" s="33" t="s">
        <v>297</v>
      </c>
      <c r="I16" s="40" t="s">
        <v>298</v>
      </c>
      <c r="J16" s="34">
        <v>15</v>
      </c>
      <c r="K16" s="34"/>
      <c r="L16" s="36" t="s">
        <v>299</v>
      </c>
      <c r="M16" s="408" t="s">
        <v>289</v>
      </c>
      <c r="N16" s="32" t="s">
        <v>290</v>
      </c>
      <c r="O16" s="409">
        <f>(T16)/(P14+P16+P28)</f>
        <v>2.7479503306198387E-3</v>
      </c>
      <c r="P16" s="410">
        <f>+T16</f>
        <v>15000000</v>
      </c>
      <c r="Q16" s="40" t="s">
        <v>300</v>
      </c>
      <c r="R16" s="41" t="s">
        <v>292</v>
      </c>
      <c r="S16" s="33" t="s">
        <v>297</v>
      </c>
      <c r="T16" s="410">
        <v>15000000</v>
      </c>
      <c r="U16" s="410">
        <v>620000</v>
      </c>
      <c r="V16" s="410">
        <v>620000</v>
      </c>
      <c r="W16" s="411" t="s">
        <v>70</v>
      </c>
      <c r="X16" s="40" t="s">
        <v>294</v>
      </c>
      <c r="Y16" s="412">
        <v>295972</v>
      </c>
      <c r="Z16" s="412"/>
      <c r="AA16" s="412">
        <v>285580</v>
      </c>
      <c r="AB16" s="412"/>
      <c r="AC16" s="412">
        <v>135545</v>
      </c>
      <c r="AD16" s="412"/>
      <c r="AE16" s="412">
        <v>44254</v>
      </c>
      <c r="AF16" s="412"/>
      <c r="AG16" s="412">
        <v>309146</v>
      </c>
      <c r="AH16" s="412"/>
      <c r="AI16" s="412">
        <v>92607</v>
      </c>
      <c r="AJ16" s="412"/>
      <c r="AK16" s="412">
        <v>2145</v>
      </c>
      <c r="AL16" s="412"/>
      <c r="AM16" s="412">
        <v>12718</v>
      </c>
      <c r="AN16" s="412"/>
      <c r="AO16" s="412">
        <v>26</v>
      </c>
      <c r="AP16" s="412"/>
      <c r="AQ16" s="412">
        <v>12</v>
      </c>
      <c r="AR16" s="412"/>
      <c r="AS16" s="412">
        <v>0</v>
      </c>
      <c r="AT16" s="412"/>
      <c r="AU16" s="412">
        <v>0</v>
      </c>
      <c r="AV16" s="412"/>
      <c r="AW16" s="412">
        <v>44697</v>
      </c>
      <c r="AX16" s="412"/>
      <c r="AY16" s="412">
        <v>21944</v>
      </c>
      <c r="AZ16" s="412"/>
      <c r="BA16" s="412">
        <v>72128</v>
      </c>
      <c r="BB16" s="412"/>
      <c r="BC16" s="412">
        <f>+Y16+AA16</f>
        <v>581552</v>
      </c>
      <c r="BD16" s="413"/>
      <c r="BE16" s="413">
        <v>1</v>
      </c>
      <c r="BF16" s="395">
        <f>SUM(U16)</f>
        <v>620000</v>
      </c>
      <c r="BG16" s="395">
        <f>SUM(V16)</f>
        <v>620000</v>
      </c>
      <c r="BH16" s="199">
        <f>BG16/BF16</f>
        <v>1</v>
      </c>
      <c r="BI16" s="204">
        <v>20</v>
      </c>
      <c r="BJ16" s="204" t="s">
        <v>295</v>
      </c>
      <c r="BK16" s="360">
        <v>43863</v>
      </c>
      <c r="BL16" s="360">
        <v>43955</v>
      </c>
      <c r="BM16" s="360">
        <v>44195</v>
      </c>
      <c r="BN16" s="418"/>
      <c r="BO16" s="419" t="s">
        <v>284</v>
      </c>
    </row>
    <row r="17" spans="1:84" s="3" customFormat="1" ht="27" customHeight="1" x14ac:dyDescent="0.2">
      <c r="A17" s="404"/>
      <c r="B17" s="405"/>
      <c r="C17" s="406"/>
      <c r="D17" s="420">
        <v>15</v>
      </c>
      <c r="E17" s="421" t="s">
        <v>175</v>
      </c>
      <c r="F17" s="297"/>
      <c r="G17" s="401"/>
      <c r="H17" s="259"/>
      <c r="I17" s="259"/>
      <c r="J17" s="261"/>
      <c r="K17" s="261"/>
      <c r="L17" s="281"/>
      <c r="M17" s="21"/>
      <c r="N17" s="388"/>
      <c r="O17" s="415"/>
      <c r="P17" s="23"/>
      <c r="Q17" s="388"/>
      <c r="R17" s="388"/>
      <c r="S17" s="388"/>
      <c r="T17" s="24"/>
      <c r="U17" s="24"/>
      <c r="V17" s="24"/>
      <c r="W17" s="25"/>
      <c r="X17" s="388"/>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6"/>
      <c r="BL17" s="26"/>
      <c r="BM17" s="26"/>
      <c r="BN17" s="26"/>
      <c r="BO17" s="416"/>
    </row>
    <row r="18" spans="1:84" s="221" customFormat="1" ht="169.5" customHeight="1" x14ac:dyDescent="0.2">
      <c r="A18" s="422"/>
      <c r="B18" s="423"/>
      <c r="C18" s="424"/>
      <c r="D18" s="425"/>
      <c r="E18" s="426"/>
      <c r="F18" s="427"/>
      <c r="G18" s="337">
        <v>2201068</v>
      </c>
      <c r="H18" s="181" t="s">
        <v>301</v>
      </c>
      <c r="I18" s="213" t="s">
        <v>302</v>
      </c>
      <c r="J18" s="34">
        <v>40</v>
      </c>
      <c r="K18" s="428"/>
      <c r="L18" s="36" t="s">
        <v>303</v>
      </c>
      <c r="M18" s="290" t="s">
        <v>304</v>
      </c>
      <c r="N18" s="181" t="s">
        <v>305</v>
      </c>
      <c r="O18" s="429">
        <f>(T18)/(P18+P33+P34+P36+P37)</f>
        <v>0.14146834002032924</v>
      </c>
      <c r="P18" s="430">
        <f>+T18</f>
        <v>21866667</v>
      </c>
      <c r="Q18" s="213" t="s">
        <v>306</v>
      </c>
      <c r="R18" s="431" t="s">
        <v>307</v>
      </c>
      <c r="S18" s="181" t="s">
        <v>301</v>
      </c>
      <c r="T18" s="430">
        <v>21866667</v>
      </c>
      <c r="U18" s="430"/>
      <c r="V18" s="430"/>
      <c r="W18" s="411">
        <v>88</v>
      </c>
      <c r="X18" s="213" t="s">
        <v>308</v>
      </c>
      <c r="Y18" s="432">
        <v>5089</v>
      </c>
      <c r="Z18" s="432"/>
      <c r="AA18" s="432">
        <v>4911</v>
      </c>
      <c r="AB18" s="432"/>
      <c r="AC18" s="432">
        <v>2331</v>
      </c>
      <c r="AD18" s="432"/>
      <c r="AE18" s="432">
        <v>761</v>
      </c>
      <c r="AF18" s="432"/>
      <c r="AG18" s="432">
        <v>5316</v>
      </c>
      <c r="AH18" s="432"/>
      <c r="AI18" s="432">
        <v>1592</v>
      </c>
      <c r="AJ18" s="432"/>
      <c r="AK18" s="432">
        <v>0</v>
      </c>
      <c r="AL18" s="432"/>
      <c r="AM18" s="432">
        <v>0</v>
      </c>
      <c r="AN18" s="432"/>
      <c r="AO18" s="432">
        <v>0</v>
      </c>
      <c r="AP18" s="432"/>
      <c r="AQ18" s="432">
        <v>0</v>
      </c>
      <c r="AR18" s="432"/>
      <c r="AS18" s="432">
        <v>0</v>
      </c>
      <c r="AT18" s="432"/>
      <c r="AU18" s="432">
        <v>0</v>
      </c>
      <c r="AV18" s="432"/>
      <c r="AW18" s="432">
        <v>0</v>
      </c>
      <c r="AX18" s="432"/>
      <c r="AY18" s="432">
        <v>0</v>
      </c>
      <c r="AZ18" s="432"/>
      <c r="BA18" s="432">
        <v>0</v>
      </c>
      <c r="BB18" s="433"/>
      <c r="BC18" s="433">
        <f>+Y18+AA18</f>
        <v>10000</v>
      </c>
      <c r="BD18" s="433"/>
      <c r="BE18" s="433">
        <v>1</v>
      </c>
      <c r="BF18" s="395">
        <f>SUM(U18)</f>
        <v>0</v>
      </c>
      <c r="BG18" s="395">
        <f>SUM(V18)</f>
        <v>0</v>
      </c>
      <c r="BH18" s="199"/>
      <c r="BI18" s="204"/>
      <c r="BJ18" s="44" t="s">
        <v>309</v>
      </c>
      <c r="BK18" s="360">
        <v>43863</v>
      </c>
      <c r="BL18" s="360"/>
      <c r="BM18" s="360">
        <v>44195</v>
      </c>
      <c r="BN18" s="360"/>
      <c r="BO18" s="434" t="s">
        <v>284</v>
      </c>
    </row>
    <row r="19" spans="1:84" s="3" customFormat="1" ht="27" customHeight="1" x14ac:dyDescent="0.2">
      <c r="A19" s="398"/>
      <c r="B19" s="398"/>
      <c r="C19" s="398"/>
      <c r="D19" s="400">
        <v>35</v>
      </c>
      <c r="E19" s="256" t="s">
        <v>310</v>
      </c>
      <c r="F19" s="435"/>
      <c r="G19" s="401"/>
      <c r="H19" s="259"/>
      <c r="I19" s="259"/>
      <c r="J19" s="261"/>
      <c r="K19" s="261"/>
      <c r="L19" s="281"/>
      <c r="M19" s="21"/>
      <c r="N19" s="388"/>
      <c r="O19" s="415"/>
      <c r="P19" s="23"/>
      <c r="Q19" s="388"/>
      <c r="R19" s="388"/>
      <c r="S19" s="388"/>
      <c r="T19" s="24"/>
      <c r="U19" s="24"/>
      <c r="V19" s="24"/>
      <c r="W19" s="25"/>
      <c r="X19" s="388"/>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62"/>
      <c r="BD19" s="262"/>
      <c r="BE19" s="262"/>
      <c r="BF19" s="262"/>
      <c r="BG19" s="262"/>
      <c r="BH19" s="262"/>
      <c r="BI19" s="262"/>
      <c r="BJ19" s="262"/>
      <c r="BK19" s="269"/>
      <c r="BL19" s="269"/>
      <c r="BM19" s="269"/>
      <c r="BN19" s="26"/>
      <c r="BO19" s="416"/>
    </row>
    <row r="20" spans="1:84" s="3" customFormat="1" ht="80.25" customHeight="1" x14ac:dyDescent="0.2">
      <c r="A20" s="405"/>
      <c r="B20" s="405"/>
      <c r="C20" s="405"/>
      <c r="D20" s="1448"/>
      <c r="E20" s="1278"/>
      <c r="F20" s="1280"/>
      <c r="G20" s="437">
        <v>4101023</v>
      </c>
      <c r="H20" s="70" t="s">
        <v>311</v>
      </c>
      <c r="I20" s="201" t="s">
        <v>312</v>
      </c>
      <c r="J20" s="34">
        <v>200</v>
      </c>
      <c r="K20" s="196"/>
      <c r="L20" s="1408" t="s">
        <v>313</v>
      </c>
      <c r="M20" s="1449" t="s">
        <v>314</v>
      </c>
      <c r="N20" s="1299" t="s">
        <v>315</v>
      </c>
      <c r="O20" s="38">
        <f>+T20/$P$20</f>
        <v>0.5944374890154972</v>
      </c>
      <c r="P20" s="1452">
        <f>SUM(T20:T24)</f>
        <v>522730761</v>
      </c>
      <c r="Q20" s="1293" t="s">
        <v>316</v>
      </c>
      <c r="R20" s="1455" t="s">
        <v>317</v>
      </c>
      <c r="S20" s="70" t="s">
        <v>311</v>
      </c>
      <c r="T20" s="410">
        <v>310730761</v>
      </c>
      <c r="U20" s="410">
        <v>12970000</v>
      </c>
      <c r="V20" s="430">
        <v>11895000</v>
      </c>
      <c r="W20" s="1303" t="s">
        <v>70</v>
      </c>
      <c r="X20" s="1293" t="s">
        <v>282</v>
      </c>
      <c r="Y20" s="1303">
        <v>1018</v>
      </c>
      <c r="Z20" s="204"/>
      <c r="AA20" s="1303">
        <v>982</v>
      </c>
      <c r="AB20" s="204"/>
      <c r="AC20" s="1303">
        <v>466</v>
      </c>
      <c r="AD20" s="204"/>
      <c r="AE20" s="1303">
        <v>152</v>
      </c>
      <c r="AF20" s="204"/>
      <c r="AG20" s="1303">
        <v>1063</v>
      </c>
      <c r="AH20" s="204"/>
      <c r="AI20" s="1303">
        <v>319</v>
      </c>
      <c r="AJ20" s="204"/>
      <c r="AK20" s="1303">
        <v>0</v>
      </c>
      <c r="AL20" s="204"/>
      <c r="AM20" s="1303">
        <v>0</v>
      </c>
      <c r="AN20" s="204"/>
      <c r="AO20" s="1303">
        <v>0</v>
      </c>
      <c r="AP20" s="204"/>
      <c r="AQ20" s="1303">
        <v>0</v>
      </c>
      <c r="AR20" s="204"/>
      <c r="AS20" s="1303">
        <v>0</v>
      </c>
      <c r="AT20" s="204"/>
      <c r="AU20" s="1303">
        <v>0</v>
      </c>
      <c r="AV20" s="204"/>
      <c r="AW20" s="1303">
        <v>0</v>
      </c>
      <c r="AX20" s="204"/>
      <c r="AY20" s="1303">
        <v>0</v>
      </c>
      <c r="AZ20" s="204"/>
      <c r="BA20" s="1303">
        <v>0</v>
      </c>
      <c r="BB20" s="204"/>
      <c r="BC20" s="1303">
        <f>+Y20+AA20</f>
        <v>2000</v>
      </c>
      <c r="BD20" s="204"/>
      <c r="BE20" s="1303">
        <v>5</v>
      </c>
      <c r="BF20" s="1309">
        <f>SUM(U20:U24)</f>
        <v>36458390</v>
      </c>
      <c r="BG20" s="1309">
        <f>SUM(V20:V24)</f>
        <v>35383390</v>
      </c>
      <c r="BH20" s="1312">
        <f>BG20/BF20</f>
        <v>0.97051433154343902</v>
      </c>
      <c r="BI20" s="1303">
        <v>20</v>
      </c>
      <c r="BJ20" s="1303" t="s">
        <v>318</v>
      </c>
      <c r="BK20" s="1315">
        <v>43863</v>
      </c>
      <c r="BL20" s="1315">
        <v>43872</v>
      </c>
      <c r="BM20" s="1315">
        <v>44195</v>
      </c>
      <c r="BN20" s="360"/>
      <c r="BO20" s="1458" t="s">
        <v>284</v>
      </c>
    </row>
    <row r="21" spans="1:84" s="4" customFormat="1" ht="65.25" customHeight="1" x14ac:dyDescent="0.2">
      <c r="A21" s="88"/>
      <c r="D21" s="1461"/>
      <c r="E21" s="1462"/>
      <c r="F21" s="1463"/>
      <c r="G21" s="437">
        <v>4101025</v>
      </c>
      <c r="H21" s="70" t="s">
        <v>319</v>
      </c>
      <c r="I21" s="201" t="s">
        <v>320</v>
      </c>
      <c r="J21" s="34">
        <v>250</v>
      </c>
      <c r="K21" s="439"/>
      <c r="L21" s="1412"/>
      <c r="M21" s="1450"/>
      <c r="N21" s="1300"/>
      <c r="O21" s="38">
        <f t="shared" ref="O21:O24" si="0">+T21/$P$20</f>
        <v>9.5651535609552543E-2</v>
      </c>
      <c r="P21" s="1453"/>
      <c r="Q21" s="1294"/>
      <c r="R21" s="1456"/>
      <c r="S21" s="70" t="s">
        <v>319</v>
      </c>
      <c r="T21" s="410">
        <v>50000000</v>
      </c>
      <c r="U21" s="410">
        <v>4000000</v>
      </c>
      <c r="V21" s="430">
        <v>4000000</v>
      </c>
      <c r="W21" s="1304"/>
      <c r="X21" s="1294"/>
      <c r="Y21" s="1304"/>
      <c r="Z21" s="440"/>
      <c r="AA21" s="1304"/>
      <c r="AB21" s="440"/>
      <c r="AC21" s="1304"/>
      <c r="AD21" s="440"/>
      <c r="AE21" s="1304"/>
      <c r="AF21" s="440"/>
      <c r="AG21" s="1304"/>
      <c r="AH21" s="440"/>
      <c r="AI21" s="1304"/>
      <c r="AJ21" s="440"/>
      <c r="AK21" s="1304"/>
      <c r="AL21" s="440"/>
      <c r="AM21" s="1304"/>
      <c r="AN21" s="440"/>
      <c r="AO21" s="1304"/>
      <c r="AP21" s="440"/>
      <c r="AQ21" s="1304"/>
      <c r="AR21" s="440"/>
      <c r="AS21" s="1304"/>
      <c r="AT21" s="440"/>
      <c r="AU21" s="1304"/>
      <c r="AV21" s="440"/>
      <c r="AW21" s="1304"/>
      <c r="AX21" s="440"/>
      <c r="AY21" s="1304"/>
      <c r="AZ21" s="440"/>
      <c r="BA21" s="1304"/>
      <c r="BB21" s="440"/>
      <c r="BC21" s="1304"/>
      <c r="BD21" s="440"/>
      <c r="BE21" s="1304"/>
      <c r="BF21" s="1310"/>
      <c r="BG21" s="1310"/>
      <c r="BH21" s="1313"/>
      <c r="BI21" s="1304"/>
      <c r="BJ21" s="1304"/>
      <c r="BK21" s="1316"/>
      <c r="BL21" s="1316"/>
      <c r="BM21" s="1316"/>
      <c r="BN21" s="441"/>
      <c r="BO21" s="1459"/>
    </row>
    <row r="22" spans="1:84" s="4" customFormat="1" ht="62.25" customHeight="1" x14ac:dyDescent="0.2">
      <c r="A22" s="88"/>
      <c r="D22" s="90"/>
      <c r="F22" s="89"/>
      <c r="G22" s="437">
        <v>4101038</v>
      </c>
      <c r="H22" s="70" t="s">
        <v>321</v>
      </c>
      <c r="I22" s="201" t="s">
        <v>322</v>
      </c>
      <c r="J22" s="34">
        <v>12</v>
      </c>
      <c r="K22" s="439"/>
      <c r="L22" s="1412"/>
      <c r="M22" s="1450"/>
      <c r="N22" s="1300"/>
      <c r="O22" s="38">
        <f t="shared" si="0"/>
        <v>8.0347289912024139E-2</v>
      </c>
      <c r="P22" s="1453"/>
      <c r="Q22" s="1294"/>
      <c r="R22" s="1456"/>
      <c r="S22" s="70" t="s">
        <v>321</v>
      </c>
      <c r="T22" s="410">
        <v>42000000</v>
      </c>
      <c r="U22" s="410">
        <v>4663390</v>
      </c>
      <c r="V22" s="430">
        <v>4663390</v>
      </c>
      <c r="W22" s="1304"/>
      <c r="X22" s="1294"/>
      <c r="Y22" s="1304"/>
      <c r="Z22" s="440"/>
      <c r="AA22" s="1304"/>
      <c r="AB22" s="440"/>
      <c r="AC22" s="1304"/>
      <c r="AD22" s="440"/>
      <c r="AE22" s="1304"/>
      <c r="AF22" s="440"/>
      <c r="AG22" s="1304"/>
      <c r="AH22" s="440"/>
      <c r="AI22" s="1304"/>
      <c r="AJ22" s="440"/>
      <c r="AK22" s="1304"/>
      <c r="AL22" s="440"/>
      <c r="AM22" s="1304"/>
      <c r="AN22" s="440"/>
      <c r="AO22" s="1304"/>
      <c r="AP22" s="440"/>
      <c r="AQ22" s="1304"/>
      <c r="AR22" s="440"/>
      <c r="AS22" s="1304"/>
      <c r="AT22" s="440"/>
      <c r="AU22" s="1304"/>
      <c r="AV22" s="440"/>
      <c r="AW22" s="1304"/>
      <c r="AX22" s="440"/>
      <c r="AY22" s="1304"/>
      <c r="AZ22" s="440"/>
      <c r="BA22" s="1304"/>
      <c r="BB22" s="440"/>
      <c r="BC22" s="1304"/>
      <c r="BD22" s="440"/>
      <c r="BE22" s="1304"/>
      <c r="BF22" s="1310"/>
      <c r="BG22" s="1310"/>
      <c r="BH22" s="1313"/>
      <c r="BI22" s="1304"/>
      <c r="BJ22" s="1304"/>
      <c r="BK22" s="1316"/>
      <c r="BL22" s="1316"/>
      <c r="BM22" s="1316"/>
      <c r="BN22" s="441"/>
      <c r="BO22" s="1459"/>
    </row>
    <row r="23" spans="1:84" s="4" customFormat="1" ht="64.5" customHeight="1" x14ac:dyDescent="0.2">
      <c r="A23" s="88"/>
      <c r="D23" s="90"/>
      <c r="F23" s="89"/>
      <c r="G23" s="442">
        <v>4101073</v>
      </c>
      <c r="H23" s="32" t="s">
        <v>323</v>
      </c>
      <c r="I23" s="40" t="s">
        <v>324</v>
      </c>
      <c r="J23" s="34">
        <v>20</v>
      </c>
      <c r="K23" s="439"/>
      <c r="L23" s="1412"/>
      <c r="M23" s="1450"/>
      <c r="N23" s="1300"/>
      <c r="O23" s="38">
        <f t="shared" si="0"/>
        <v>0.12434699629241831</v>
      </c>
      <c r="P23" s="1453"/>
      <c r="Q23" s="1294"/>
      <c r="R23" s="1456"/>
      <c r="S23" s="32" t="s">
        <v>323</v>
      </c>
      <c r="T23" s="410">
        <v>65000000</v>
      </c>
      <c r="U23" s="410">
        <v>9400000</v>
      </c>
      <c r="V23" s="430">
        <v>9400000</v>
      </c>
      <c r="W23" s="1304"/>
      <c r="X23" s="1294"/>
      <c r="Y23" s="1304"/>
      <c r="Z23" s="440"/>
      <c r="AA23" s="1304"/>
      <c r="AB23" s="440"/>
      <c r="AC23" s="1304"/>
      <c r="AD23" s="440"/>
      <c r="AE23" s="1304"/>
      <c r="AF23" s="440"/>
      <c r="AG23" s="1304"/>
      <c r="AH23" s="440"/>
      <c r="AI23" s="1304"/>
      <c r="AJ23" s="440"/>
      <c r="AK23" s="1304"/>
      <c r="AL23" s="440"/>
      <c r="AM23" s="1304"/>
      <c r="AN23" s="440"/>
      <c r="AO23" s="1304"/>
      <c r="AP23" s="440"/>
      <c r="AQ23" s="1304"/>
      <c r="AR23" s="440"/>
      <c r="AS23" s="1304"/>
      <c r="AT23" s="440"/>
      <c r="AU23" s="1304"/>
      <c r="AV23" s="440"/>
      <c r="AW23" s="1304"/>
      <c r="AX23" s="440"/>
      <c r="AY23" s="1304"/>
      <c r="AZ23" s="440"/>
      <c r="BA23" s="1304"/>
      <c r="BB23" s="440"/>
      <c r="BC23" s="1304"/>
      <c r="BD23" s="440"/>
      <c r="BE23" s="1304"/>
      <c r="BF23" s="1310"/>
      <c r="BG23" s="1310"/>
      <c r="BH23" s="1313"/>
      <c r="BI23" s="1304"/>
      <c r="BJ23" s="1304"/>
      <c r="BK23" s="1316"/>
      <c r="BL23" s="1316"/>
      <c r="BM23" s="1316"/>
      <c r="BN23" s="441"/>
      <c r="BO23" s="1459"/>
    </row>
    <row r="24" spans="1:84" s="4" customFormat="1" ht="72" customHeight="1" x14ac:dyDescent="0.2">
      <c r="A24" s="112"/>
      <c r="B24" s="103"/>
      <c r="C24" s="103"/>
      <c r="D24" s="102"/>
      <c r="E24" s="103"/>
      <c r="F24" s="104"/>
      <c r="G24" s="442">
        <v>4101011</v>
      </c>
      <c r="H24" s="32" t="s">
        <v>325</v>
      </c>
      <c r="I24" s="40" t="s">
        <v>326</v>
      </c>
      <c r="J24" s="34">
        <v>2</v>
      </c>
      <c r="K24" s="106"/>
      <c r="L24" s="1409"/>
      <c r="M24" s="1451"/>
      <c r="N24" s="1301"/>
      <c r="O24" s="38">
        <f t="shared" si="0"/>
        <v>0.1052166891705078</v>
      </c>
      <c r="P24" s="1454"/>
      <c r="Q24" s="1295"/>
      <c r="R24" s="1457"/>
      <c r="S24" s="32" t="s">
        <v>325</v>
      </c>
      <c r="T24" s="410">
        <v>55000000</v>
      </c>
      <c r="U24" s="410">
        <v>5425000</v>
      </c>
      <c r="V24" s="430">
        <v>5425000</v>
      </c>
      <c r="W24" s="1305"/>
      <c r="X24" s="1295"/>
      <c r="Y24" s="1305"/>
      <c r="Z24" s="44"/>
      <c r="AA24" s="1305"/>
      <c r="AB24" s="44"/>
      <c r="AC24" s="1305"/>
      <c r="AD24" s="44"/>
      <c r="AE24" s="1305"/>
      <c r="AF24" s="44"/>
      <c r="AG24" s="1305"/>
      <c r="AH24" s="44"/>
      <c r="AI24" s="1305"/>
      <c r="AJ24" s="44"/>
      <c r="AK24" s="1305"/>
      <c r="AL24" s="44"/>
      <c r="AM24" s="1305"/>
      <c r="AN24" s="44"/>
      <c r="AO24" s="1305"/>
      <c r="AP24" s="44"/>
      <c r="AQ24" s="1305"/>
      <c r="AR24" s="44"/>
      <c r="AS24" s="1305"/>
      <c r="AT24" s="44"/>
      <c r="AU24" s="1305"/>
      <c r="AV24" s="44"/>
      <c r="AW24" s="1305"/>
      <c r="AX24" s="44"/>
      <c r="AY24" s="1305"/>
      <c r="AZ24" s="44"/>
      <c r="BA24" s="1305"/>
      <c r="BB24" s="44"/>
      <c r="BC24" s="1305"/>
      <c r="BD24" s="44"/>
      <c r="BE24" s="1305"/>
      <c r="BF24" s="1311"/>
      <c r="BG24" s="1311"/>
      <c r="BH24" s="1314"/>
      <c r="BI24" s="1305"/>
      <c r="BJ24" s="1305"/>
      <c r="BK24" s="1317"/>
      <c r="BL24" s="1317"/>
      <c r="BM24" s="1317"/>
      <c r="BN24" s="443"/>
      <c r="BO24" s="1460"/>
    </row>
    <row r="25" spans="1:84" s="3" customFormat="1" ht="27" customHeight="1" x14ac:dyDescent="0.2">
      <c r="A25" s="398"/>
      <c r="B25" s="398"/>
      <c r="C25" s="399"/>
      <c r="D25" s="400">
        <v>37</v>
      </c>
      <c r="E25" s="256" t="s">
        <v>327</v>
      </c>
      <c r="F25" s="259"/>
      <c r="G25" s="401"/>
      <c r="H25" s="259"/>
      <c r="I25" s="259"/>
      <c r="J25" s="261"/>
      <c r="K25" s="261"/>
      <c r="L25" s="281"/>
      <c r="M25" s="21"/>
      <c r="N25" s="388"/>
      <c r="O25" s="415"/>
      <c r="P25" s="23"/>
      <c r="Q25" s="388"/>
      <c r="R25" s="388"/>
      <c r="S25" s="388"/>
      <c r="T25" s="24"/>
      <c r="U25" s="24"/>
      <c r="V25" s="24"/>
      <c r="W25" s="25"/>
      <c r="X25" s="388"/>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6"/>
      <c r="BL25" s="26"/>
      <c r="BM25" s="26"/>
      <c r="BN25" s="26"/>
      <c r="BO25" s="416"/>
    </row>
    <row r="26" spans="1:84" s="3" customFormat="1" ht="172.5" customHeight="1" x14ac:dyDescent="0.2">
      <c r="A26" s="444"/>
      <c r="B26" s="444"/>
      <c r="C26" s="445"/>
      <c r="D26" s="446"/>
      <c r="E26" s="447"/>
      <c r="F26" s="448"/>
      <c r="G26" s="37" t="s">
        <v>328</v>
      </c>
      <c r="H26" s="32" t="s">
        <v>329</v>
      </c>
      <c r="I26" s="40" t="s">
        <v>330</v>
      </c>
      <c r="J26" s="34">
        <v>50</v>
      </c>
      <c r="K26" s="34"/>
      <c r="L26" s="36" t="s">
        <v>331</v>
      </c>
      <c r="M26" s="37" t="s">
        <v>332</v>
      </c>
      <c r="N26" s="32" t="s">
        <v>333</v>
      </c>
      <c r="O26" s="409">
        <f>(T26)/(P26+P29)</f>
        <v>0.14341952048679432</v>
      </c>
      <c r="P26" s="410">
        <f>+T26</f>
        <v>15738667</v>
      </c>
      <c r="Q26" s="40" t="s">
        <v>334</v>
      </c>
      <c r="R26" s="41" t="s">
        <v>335</v>
      </c>
      <c r="S26" s="32" t="s">
        <v>329</v>
      </c>
      <c r="T26" s="410">
        <v>15738667</v>
      </c>
      <c r="U26" s="410"/>
      <c r="V26" s="410"/>
      <c r="W26" s="411">
        <v>88</v>
      </c>
      <c r="X26" s="213" t="s">
        <v>308</v>
      </c>
      <c r="Y26" s="46">
        <v>1018</v>
      </c>
      <c r="Z26" s="46"/>
      <c r="AA26" s="46">
        <v>982</v>
      </c>
      <c r="AB26" s="46"/>
      <c r="AC26" s="46">
        <v>466</v>
      </c>
      <c r="AD26" s="46"/>
      <c r="AE26" s="46">
        <v>152</v>
      </c>
      <c r="AF26" s="46"/>
      <c r="AG26" s="46">
        <v>1063</v>
      </c>
      <c r="AH26" s="46"/>
      <c r="AI26" s="46">
        <v>319</v>
      </c>
      <c r="AJ26" s="46"/>
      <c r="AK26" s="46">
        <v>0</v>
      </c>
      <c r="AL26" s="46"/>
      <c r="AM26" s="46">
        <v>0</v>
      </c>
      <c r="AN26" s="46"/>
      <c r="AO26" s="46">
        <v>0</v>
      </c>
      <c r="AP26" s="46"/>
      <c r="AQ26" s="46">
        <v>0</v>
      </c>
      <c r="AR26" s="46"/>
      <c r="AS26" s="46">
        <v>0</v>
      </c>
      <c r="AT26" s="46"/>
      <c r="AU26" s="46">
        <v>0</v>
      </c>
      <c r="AV26" s="46"/>
      <c r="AW26" s="46">
        <v>0</v>
      </c>
      <c r="AX26" s="46"/>
      <c r="AY26" s="46">
        <v>0</v>
      </c>
      <c r="AZ26" s="46"/>
      <c r="BA26" s="46">
        <v>0</v>
      </c>
      <c r="BB26" s="204"/>
      <c r="BC26" s="204">
        <f>+Y26+AA26</f>
        <v>2000</v>
      </c>
      <c r="BD26" s="204"/>
      <c r="BE26" s="204"/>
      <c r="BF26" s="395">
        <f>SUM(U26)</f>
        <v>0</v>
      </c>
      <c r="BG26" s="395">
        <f>SUM(V26)</f>
        <v>0</v>
      </c>
      <c r="BH26" s="199"/>
      <c r="BI26" s="204"/>
      <c r="BJ26" s="204" t="s">
        <v>318</v>
      </c>
      <c r="BK26" s="360">
        <v>43863</v>
      </c>
      <c r="BL26" s="360">
        <v>0</v>
      </c>
      <c r="BM26" s="360">
        <v>44195</v>
      </c>
      <c r="BN26" s="360"/>
      <c r="BO26" s="396" t="s">
        <v>284</v>
      </c>
    </row>
    <row r="27" spans="1:84" s="3" customFormat="1" ht="27" customHeight="1" x14ac:dyDescent="0.2">
      <c r="A27" s="398"/>
      <c r="B27" s="398"/>
      <c r="C27" s="399"/>
      <c r="D27" s="449">
        <v>41</v>
      </c>
      <c r="E27" s="340" t="s">
        <v>336</v>
      </c>
      <c r="F27" s="450"/>
      <c r="G27" s="401"/>
      <c r="H27" s="259"/>
      <c r="I27" s="259"/>
      <c r="J27" s="261"/>
      <c r="K27" s="261"/>
      <c r="L27" s="281"/>
      <c r="M27" s="21"/>
      <c r="N27" s="388"/>
      <c r="O27" s="415"/>
      <c r="P27" s="23"/>
      <c r="Q27" s="388"/>
      <c r="R27" s="388"/>
      <c r="S27" s="388"/>
      <c r="T27" s="24"/>
      <c r="U27" s="24"/>
      <c r="V27" s="24"/>
      <c r="W27" s="25"/>
      <c r="X27" s="388"/>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62"/>
      <c r="BD27" s="262"/>
      <c r="BE27" s="262"/>
      <c r="BF27" s="262"/>
      <c r="BG27" s="262"/>
      <c r="BH27" s="262"/>
      <c r="BI27" s="262"/>
      <c r="BJ27" s="262"/>
      <c r="BK27" s="269"/>
      <c r="BL27" s="269"/>
      <c r="BM27" s="269"/>
      <c r="BN27" s="269"/>
      <c r="BO27" s="282"/>
    </row>
    <row r="28" spans="1:84" s="3" customFormat="1" ht="230.25" customHeight="1" x14ac:dyDescent="0.2">
      <c r="A28" s="405"/>
      <c r="B28" s="405"/>
      <c r="C28" s="406"/>
      <c r="D28" s="417"/>
      <c r="E28" s="389"/>
      <c r="F28" s="390"/>
      <c r="G28" s="31" t="s">
        <v>328</v>
      </c>
      <c r="H28" s="70" t="s">
        <v>337</v>
      </c>
      <c r="I28" s="201" t="s">
        <v>338</v>
      </c>
      <c r="J28" s="196">
        <v>5</v>
      </c>
      <c r="K28" s="196"/>
      <c r="L28" s="391" t="s">
        <v>339</v>
      </c>
      <c r="M28" s="392" t="s">
        <v>289</v>
      </c>
      <c r="N28" s="70" t="s">
        <v>290</v>
      </c>
      <c r="O28" s="451">
        <f>(T28)/(P14+P16+P28)</f>
        <v>0.99450409933876027</v>
      </c>
      <c r="P28" s="459">
        <f>+T28</f>
        <v>5428613946.8600006</v>
      </c>
      <c r="Q28" s="201" t="s">
        <v>300</v>
      </c>
      <c r="R28" s="202" t="s">
        <v>292</v>
      </c>
      <c r="S28" s="70" t="s">
        <v>337</v>
      </c>
      <c r="T28" s="430">
        <v>5428613946.8600006</v>
      </c>
      <c r="U28" s="410">
        <v>118600000</v>
      </c>
      <c r="V28" s="410">
        <v>3100000</v>
      </c>
      <c r="W28" s="411" t="s">
        <v>340</v>
      </c>
      <c r="X28" s="213" t="s">
        <v>341</v>
      </c>
      <c r="Y28" s="413">
        <v>295972</v>
      </c>
      <c r="Z28" s="413"/>
      <c r="AA28" s="413">
        <v>285580</v>
      </c>
      <c r="AB28" s="413"/>
      <c r="AC28" s="413">
        <v>135545</v>
      </c>
      <c r="AD28" s="413"/>
      <c r="AE28" s="413">
        <v>44254</v>
      </c>
      <c r="AF28" s="413"/>
      <c r="AG28" s="413">
        <v>309146</v>
      </c>
      <c r="AH28" s="413"/>
      <c r="AI28" s="413">
        <v>92607</v>
      </c>
      <c r="AJ28" s="413"/>
      <c r="AK28" s="413">
        <v>2145</v>
      </c>
      <c r="AL28" s="413"/>
      <c r="AM28" s="413">
        <v>12718</v>
      </c>
      <c r="AN28" s="413"/>
      <c r="AO28" s="413">
        <v>26</v>
      </c>
      <c r="AP28" s="413"/>
      <c r="AQ28" s="413">
        <v>12</v>
      </c>
      <c r="AR28" s="413"/>
      <c r="AS28" s="413">
        <v>0</v>
      </c>
      <c r="AT28" s="413"/>
      <c r="AU28" s="413">
        <v>0</v>
      </c>
      <c r="AV28" s="413"/>
      <c r="AW28" s="413">
        <v>44697</v>
      </c>
      <c r="AX28" s="413"/>
      <c r="AY28" s="413">
        <v>21944</v>
      </c>
      <c r="AZ28" s="413"/>
      <c r="BA28" s="413">
        <v>72128</v>
      </c>
      <c r="BB28" s="413"/>
      <c r="BC28" s="413">
        <f>+Y28+AA28</f>
        <v>581552</v>
      </c>
      <c r="BD28" s="413"/>
      <c r="BE28" s="413">
        <v>1</v>
      </c>
      <c r="BF28" s="395">
        <f t="shared" ref="BF28:BG30" si="1">SUM(U28)</f>
        <v>118600000</v>
      </c>
      <c r="BG28" s="395">
        <f t="shared" si="1"/>
        <v>3100000</v>
      </c>
      <c r="BH28" s="199">
        <f>BG28/BF28</f>
        <v>2.6138279932546374E-2</v>
      </c>
      <c r="BI28" s="413"/>
      <c r="BJ28" s="407" t="s">
        <v>342</v>
      </c>
      <c r="BK28" s="360">
        <v>43863</v>
      </c>
      <c r="BL28" s="360">
        <v>43981</v>
      </c>
      <c r="BM28" s="360">
        <v>44195</v>
      </c>
      <c r="BN28" s="48"/>
      <c r="BO28" s="1458" t="s">
        <v>284</v>
      </c>
    </row>
    <row r="29" spans="1:84" s="4" customFormat="1" ht="192" customHeight="1" x14ac:dyDescent="0.2">
      <c r="A29" s="88"/>
      <c r="C29" s="89"/>
      <c r="D29" s="90"/>
      <c r="F29" s="89"/>
      <c r="G29" s="31">
        <v>4501024</v>
      </c>
      <c r="H29" s="70" t="s">
        <v>343</v>
      </c>
      <c r="I29" s="201" t="s">
        <v>344</v>
      </c>
      <c r="J29" s="452">
        <v>10</v>
      </c>
      <c r="K29" s="453"/>
      <c r="L29" s="391" t="s">
        <v>345</v>
      </c>
      <c r="M29" s="408" t="s">
        <v>332</v>
      </c>
      <c r="N29" s="70" t="s">
        <v>333</v>
      </c>
      <c r="O29" s="451">
        <f>(T29)/(P26+P29)</f>
        <v>0.85658047951320571</v>
      </c>
      <c r="P29" s="393">
        <f>+T29</f>
        <v>94000000</v>
      </c>
      <c r="Q29" s="201" t="s">
        <v>334</v>
      </c>
      <c r="R29" s="201" t="s">
        <v>335</v>
      </c>
      <c r="S29" s="70" t="s">
        <v>343</v>
      </c>
      <c r="T29" s="410">
        <v>94000000</v>
      </c>
      <c r="U29" s="410">
        <v>19392334</v>
      </c>
      <c r="V29" s="410">
        <v>18317334</v>
      </c>
      <c r="W29" s="411" t="s">
        <v>191</v>
      </c>
      <c r="X29" s="213" t="s">
        <v>282</v>
      </c>
      <c r="Y29" s="204">
        <v>1018</v>
      </c>
      <c r="Z29" s="204"/>
      <c r="AA29" s="204">
        <v>982</v>
      </c>
      <c r="AB29" s="204"/>
      <c r="AC29" s="204">
        <v>466</v>
      </c>
      <c r="AD29" s="204"/>
      <c r="AE29" s="204">
        <v>152</v>
      </c>
      <c r="AF29" s="204"/>
      <c r="AG29" s="204">
        <v>1063</v>
      </c>
      <c r="AH29" s="204"/>
      <c r="AI29" s="204">
        <v>319</v>
      </c>
      <c r="AJ29" s="204"/>
      <c r="AK29" s="204">
        <v>0</v>
      </c>
      <c r="AL29" s="204"/>
      <c r="AM29" s="204">
        <v>0</v>
      </c>
      <c r="AN29" s="204"/>
      <c r="AO29" s="204">
        <v>0</v>
      </c>
      <c r="AP29" s="204"/>
      <c r="AQ29" s="204">
        <v>0</v>
      </c>
      <c r="AR29" s="204"/>
      <c r="AS29" s="204">
        <v>0</v>
      </c>
      <c r="AT29" s="204"/>
      <c r="AU29" s="204">
        <v>0</v>
      </c>
      <c r="AV29" s="204"/>
      <c r="AW29" s="204">
        <v>0</v>
      </c>
      <c r="AX29" s="204"/>
      <c r="AY29" s="204">
        <v>0</v>
      </c>
      <c r="AZ29" s="204"/>
      <c r="BA29" s="204">
        <v>0</v>
      </c>
      <c r="BB29" s="204"/>
      <c r="BC29" s="204">
        <f>+Y29+AA29</f>
        <v>2000</v>
      </c>
      <c r="BD29" s="204"/>
      <c r="BE29" s="204">
        <v>4</v>
      </c>
      <c r="BF29" s="395">
        <f t="shared" si="1"/>
        <v>19392334</v>
      </c>
      <c r="BG29" s="395">
        <f t="shared" si="1"/>
        <v>18317334</v>
      </c>
      <c r="BH29" s="199">
        <f>BG29/BF29</f>
        <v>0.94456572375455172</v>
      </c>
      <c r="BI29" s="204"/>
      <c r="BJ29" s="204" t="s">
        <v>318</v>
      </c>
      <c r="BK29" s="360">
        <v>43832</v>
      </c>
      <c r="BL29" s="360">
        <v>43873</v>
      </c>
      <c r="BM29" s="360">
        <v>44195</v>
      </c>
      <c r="BN29" s="48"/>
      <c r="BO29" s="1459"/>
    </row>
    <row r="30" spans="1:84" s="4" customFormat="1" ht="219" customHeight="1" x14ac:dyDescent="0.2">
      <c r="A30" s="112"/>
      <c r="B30" s="103"/>
      <c r="C30" s="104"/>
      <c r="D30" s="102"/>
      <c r="E30" s="103"/>
      <c r="F30" s="104"/>
      <c r="G30" s="454">
        <v>4501001</v>
      </c>
      <c r="H30" s="32" t="s">
        <v>346</v>
      </c>
      <c r="I30" s="40" t="s">
        <v>347</v>
      </c>
      <c r="J30" s="92">
        <v>12</v>
      </c>
      <c r="K30" s="114"/>
      <c r="L30" s="36" t="s">
        <v>348</v>
      </c>
      <c r="M30" s="290" t="s">
        <v>349</v>
      </c>
      <c r="N30" s="181" t="s">
        <v>350</v>
      </c>
      <c r="O30" s="429">
        <f>(T30)/(P30+P41+P42)</f>
        <v>0.25865471325340422</v>
      </c>
      <c r="P30" s="430">
        <f t="shared" ref="P30" si="2">+T30</f>
        <v>96923000</v>
      </c>
      <c r="Q30" s="40" t="s">
        <v>351</v>
      </c>
      <c r="R30" s="40" t="s">
        <v>352</v>
      </c>
      <c r="S30" s="32" t="s">
        <v>346</v>
      </c>
      <c r="T30" s="430">
        <v>96923000</v>
      </c>
      <c r="U30" s="430">
        <v>0</v>
      </c>
      <c r="V30" s="430">
        <v>0</v>
      </c>
      <c r="W30" s="411" t="s">
        <v>70</v>
      </c>
      <c r="X30" s="40" t="s">
        <v>282</v>
      </c>
      <c r="Y30" s="94">
        <v>4835</v>
      </c>
      <c r="Z30" s="94"/>
      <c r="AA30" s="94">
        <v>4665</v>
      </c>
      <c r="AB30" s="94"/>
      <c r="AC30" s="94">
        <v>2214</v>
      </c>
      <c r="AD30" s="94"/>
      <c r="AE30" s="94">
        <v>723</v>
      </c>
      <c r="AF30" s="94"/>
      <c r="AG30" s="94">
        <v>5050</v>
      </c>
      <c r="AH30" s="94"/>
      <c r="AI30" s="94">
        <v>1513</v>
      </c>
      <c r="AJ30" s="94"/>
      <c r="AK30" s="46">
        <v>0</v>
      </c>
      <c r="AL30" s="46"/>
      <c r="AM30" s="46">
        <v>0</v>
      </c>
      <c r="AN30" s="46"/>
      <c r="AO30" s="46">
        <v>0</v>
      </c>
      <c r="AP30" s="46"/>
      <c r="AQ30" s="46">
        <v>0</v>
      </c>
      <c r="AR30" s="46"/>
      <c r="AS30" s="46">
        <v>0</v>
      </c>
      <c r="AT30" s="46"/>
      <c r="AU30" s="46">
        <v>0</v>
      </c>
      <c r="AV30" s="46"/>
      <c r="AW30" s="46">
        <v>0</v>
      </c>
      <c r="AX30" s="46"/>
      <c r="AY30" s="46">
        <v>0</v>
      </c>
      <c r="AZ30" s="46"/>
      <c r="BA30" s="46">
        <v>0</v>
      </c>
      <c r="BB30" s="46"/>
      <c r="BC30" s="94">
        <f>+Y30+AA30</f>
        <v>9500</v>
      </c>
      <c r="BD30" s="455"/>
      <c r="BE30" s="455"/>
      <c r="BF30" s="395">
        <f t="shared" si="1"/>
        <v>0</v>
      </c>
      <c r="BG30" s="395">
        <f t="shared" si="1"/>
        <v>0</v>
      </c>
      <c r="BH30" s="455"/>
      <c r="BI30" s="455"/>
      <c r="BJ30" s="407" t="s">
        <v>342</v>
      </c>
      <c r="BK30" s="360">
        <v>43832</v>
      </c>
      <c r="BL30" s="360"/>
      <c r="BM30" s="360">
        <v>44195</v>
      </c>
      <c r="BN30" s="48"/>
      <c r="BO30" s="1460"/>
    </row>
    <row r="31" spans="1:84" s="4" customFormat="1" ht="27" customHeight="1" x14ac:dyDescent="0.2">
      <c r="A31" s="379">
        <v>3</v>
      </c>
      <c r="B31" s="456" t="s">
        <v>216</v>
      </c>
      <c r="C31" s="241"/>
      <c r="D31" s="307"/>
      <c r="E31" s="381"/>
      <c r="F31" s="381"/>
      <c r="G31" s="382"/>
      <c r="H31" s="307"/>
      <c r="I31" s="307"/>
      <c r="J31" s="383"/>
      <c r="K31" s="383"/>
      <c r="L31" s="305"/>
      <c r="M31" s="304"/>
      <c r="N31" s="310"/>
      <c r="O31" s="308"/>
      <c r="P31" s="309"/>
      <c r="Q31" s="310"/>
      <c r="R31" s="310"/>
      <c r="S31" s="310"/>
      <c r="T31" s="311"/>
      <c r="U31" s="311"/>
      <c r="V31" s="311"/>
      <c r="W31" s="312"/>
      <c r="X31" s="310"/>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4"/>
      <c r="AY31" s="304"/>
      <c r="AZ31" s="304"/>
      <c r="BA31" s="304"/>
      <c r="BB31" s="304"/>
      <c r="BC31" s="304"/>
      <c r="BD31" s="304"/>
      <c r="BE31" s="304"/>
      <c r="BF31" s="304"/>
      <c r="BG31" s="304"/>
      <c r="BH31" s="304"/>
      <c r="BI31" s="304"/>
      <c r="BJ31" s="304"/>
      <c r="BK31" s="313"/>
      <c r="BL31" s="313"/>
      <c r="BM31" s="313"/>
      <c r="BN31" s="313"/>
      <c r="BO31" s="314"/>
      <c r="BP31" s="3"/>
      <c r="BQ31" s="3"/>
      <c r="BR31" s="3"/>
      <c r="BS31" s="3"/>
      <c r="BT31" s="3"/>
      <c r="BU31" s="3"/>
      <c r="BV31" s="3"/>
      <c r="BW31" s="3"/>
      <c r="BX31" s="3"/>
      <c r="BY31" s="3"/>
      <c r="BZ31" s="3"/>
      <c r="CA31" s="3"/>
      <c r="CB31" s="3"/>
      <c r="CC31" s="3"/>
      <c r="CD31" s="3"/>
      <c r="CE31" s="3"/>
      <c r="CF31" s="3"/>
    </row>
    <row r="32" spans="1:84" s="3" customFormat="1" ht="27" customHeight="1" x14ac:dyDescent="0.2">
      <c r="A32" s="167"/>
      <c r="B32" s="253"/>
      <c r="C32" s="254"/>
      <c r="D32" s="457">
        <v>23</v>
      </c>
      <c r="E32" s="256" t="s">
        <v>231</v>
      </c>
      <c r="F32" s="259"/>
      <c r="G32" s="401"/>
      <c r="H32" s="259"/>
      <c r="I32" s="388"/>
      <c r="J32" s="18"/>
      <c r="K32" s="18"/>
      <c r="L32" s="20"/>
      <c r="M32" s="21"/>
      <c r="N32" s="388"/>
      <c r="O32" s="22"/>
      <c r="P32" s="23"/>
      <c r="Q32" s="388"/>
      <c r="R32" s="388"/>
      <c r="S32" s="388"/>
      <c r="T32" s="24"/>
      <c r="U32" s="24"/>
      <c r="V32" s="24"/>
      <c r="W32" s="25"/>
      <c r="X32" s="388"/>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6"/>
      <c r="BL32" s="26"/>
      <c r="BM32" s="26"/>
      <c r="BN32" s="26"/>
      <c r="BO32" s="416"/>
    </row>
    <row r="33" spans="1:84" s="221" customFormat="1" ht="83.25" customHeight="1" x14ac:dyDescent="0.2">
      <c r="A33" s="286"/>
      <c r="C33" s="288"/>
      <c r="D33" s="1390"/>
      <c r="E33" s="1390"/>
      <c r="F33" s="1391"/>
      <c r="G33" s="290">
        <v>3205002</v>
      </c>
      <c r="H33" s="181" t="s">
        <v>353</v>
      </c>
      <c r="I33" s="213" t="s">
        <v>354</v>
      </c>
      <c r="J33" s="92">
        <v>1</v>
      </c>
      <c r="K33" s="458"/>
      <c r="L33" s="1408" t="s">
        <v>355</v>
      </c>
      <c r="M33" s="1413" t="s">
        <v>304</v>
      </c>
      <c r="N33" s="1415" t="s">
        <v>305</v>
      </c>
      <c r="O33" s="429">
        <f>T33/(P36+P33+P18)</f>
        <v>8.3242048893536882E-2</v>
      </c>
      <c r="P33" s="1404">
        <f>+T33+T34</f>
        <v>17702666.300000001</v>
      </c>
      <c r="Q33" s="1296" t="s">
        <v>306</v>
      </c>
      <c r="R33" s="1468" t="s">
        <v>307</v>
      </c>
      <c r="S33" s="181" t="s">
        <v>353</v>
      </c>
      <c r="T33" s="430">
        <v>12866668</v>
      </c>
      <c r="U33" s="459"/>
      <c r="V33" s="459"/>
      <c r="W33" s="1406">
        <v>88</v>
      </c>
      <c r="X33" s="1296" t="s">
        <v>308</v>
      </c>
      <c r="Y33" s="1466">
        <v>5089</v>
      </c>
      <c r="Z33" s="433"/>
      <c r="AA33" s="1466">
        <v>4911</v>
      </c>
      <c r="AB33" s="433"/>
      <c r="AC33" s="1466">
        <v>2331</v>
      </c>
      <c r="AD33" s="433"/>
      <c r="AE33" s="1466">
        <v>761</v>
      </c>
      <c r="AF33" s="433"/>
      <c r="AG33" s="1466">
        <v>5316</v>
      </c>
      <c r="AH33" s="433"/>
      <c r="AI33" s="1466">
        <v>1592</v>
      </c>
      <c r="AJ33" s="433"/>
      <c r="AK33" s="1466">
        <v>0</v>
      </c>
      <c r="AL33" s="433"/>
      <c r="AM33" s="1466">
        <v>0</v>
      </c>
      <c r="AN33" s="433"/>
      <c r="AO33" s="1466">
        <v>0</v>
      </c>
      <c r="AP33" s="433"/>
      <c r="AQ33" s="1466">
        <v>0</v>
      </c>
      <c r="AR33" s="433"/>
      <c r="AS33" s="1466">
        <v>0</v>
      </c>
      <c r="AT33" s="433"/>
      <c r="AU33" s="1466">
        <v>0</v>
      </c>
      <c r="AV33" s="433"/>
      <c r="AW33" s="1466">
        <v>0</v>
      </c>
      <c r="AX33" s="433"/>
      <c r="AY33" s="1466">
        <v>0</v>
      </c>
      <c r="AZ33" s="433"/>
      <c r="BA33" s="1466">
        <v>0</v>
      </c>
      <c r="BB33" s="433"/>
      <c r="BC33" s="1466">
        <f>+Y33+AA33</f>
        <v>10000</v>
      </c>
      <c r="BD33" s="433"/>
      <c r="BE33" s="433"/>
      <c r="BF33" s="1309">
        <f>SUM(U33:U34)</f>
        <v>0</v>
      </c>
      <c r="BG33" s="1309">
        <f>SUM(V33:V34)</f>
        <v>0</v>
      </c>
      <c r="BH33" s="433"/>
      <c r="BI33" s="433"/>
      <c r="BJ33" s="1466" t="s">
        <v>309</v>
      </c>
      <c r="BK33" s="1315">
        <v>43863</v>
      </c>
      <c r="BL33" s="1315"/>
      <c r="BM33" s="1315">
        <v>44195</v>
      </c>
      <c r="BN33" s="360"/>
      <c r="BO33" s="1296" t="s">
        <v>284</v>
      </c>
    </row>
    <row r="34" spans="1:84" s="221" customFormat="1" ht="98.25" customHeight="1" x14ac:dyDescent="0.2">
      <c r="A34" s="286"/>
      <c r="C34" s="288"/>
      <c r="D34" s="1464"/>
      <c r="E34" s="1464"/>
      <c r="F34" s="1465"/>
      <c r="G34" s="290">
        <v>3205021</v>
      </c>
      <c r="H34" s="181" t="s">
        <v>232</v>
      </c>
      <c r="I34" s="213" t="s">
        <v>233</v>
      </c>
      <c r="J34" s="92">
        <v>1</v>
      </c>
      <c r="K34" s="460"/>
      <c r="L34" s="1409"/>
      <c r="M34" s="1432"/>
      <c r="N34" s="1420"/>
      <c r="O34" s="429">
        <f>T34/(P33+P18+P36)</f>
        <v>3.1286919576821386E-2</v>
      </c>
      <c r="P34" s="1405"/>
      <c r="Q34" s="1298"/>
      <c r="R34" s="1469"/>
      <c r="S34" s="181" t="s">
        <v>232</v>
      </c>
      <c r="T34" s="430">
        <v>4835998.3</v>
      </c>
      <c r="U34" s="274"/>
      <c r="V34" s="274"/>
      <c r="W34" s="1470"/>
      <c r="X34" s="1298"/>
      <c r="Y34" s="1467"/>
      <c r="Z34" s="461"/>
      <c r="AA34" s="1467"/>
      <c r="AB34" s="461"/>
      <c r="AC34" s="1467"/>
      <c r="AD34" s="461"/>
      <c r="AE34" s="1467"/>
      <c r="AF34" s="461"/>
      <c r="AG34" s="1467"/>
      <c r="AH34" s="461"/>
      <c r="AI34" s="1467"/>
      <c r="AJ34" s="461"/>
      <c r="AK34" s="1467"/>
      <c r="AL34" s="461"/>
      <c r="AM34" s="1467"/>
      <c r="AN34" s="461"/>
      <c r="AO34" s="1467"/>
      <c r="AP34" s="461"/>
      <c r="AQ34" s="1467"/>
      <c r="AR34" s="461"/>
      <c r="AS34" s="1467"/>
      <c r="AT34" s="461"/>
      <c r="AU34" s="1467"/>
      <c r="AV34" s="461"/>
      <c r="AW34" s="1467"/>
      <c r="AX34" s="461"/>
      <c r="AY34" s="1467"/>
      <c r="AZ34" s="461"/>
      <c r="BA34" s="1467"/>
      <c r="BB34" s="462"/>
      <c r="BC34" s="1471"/>
      <c r="BD34" s="462"/>
      <c r="BE34" s="462"/>
      <c r="BF34" s="1311"/>
      <c r="BG34" s="1311"/>
      <c r="BH34" s="462"/>
      <c r="BI34" s="462"/>
      <c r="BJ34" s="1467"/>
      <c r="BK34" s="1316"/>
      <c r="BL34" s="1317"/>
      <c r="BM34" s="1316"/>
      <c r="BN34" s="441"/>
      <c r="BO34" s="1297"/>
    </row>
    <row r="35" spans="1:84" s="3" customFormat="1" ht="27" customHeight="1" x14ac:dyDescent="0.2">
      <c r="A35" s="14"/>
      <c r="B35" s="15"/>
      <c r="C35" s="279"/>
      <c r="D35" s="449">
        <v>43</v>
      </c>
      <c r="E35" s="340" t="s">
        <v>356</v>
      </c>
      <c r="F35" s="450"/>
      <c r="G35" s="401"/>
      <c r="H35" s="259"/>
      <c r="I35" s="388"/>
      <c r="J35" s="18"/>
      <c r="K35" s="18"/>
      <c r="L35" s="20"/>
      <c r="M35" s="21"/>
      <c r="N35" s="388"/>
      <c r="O35" s="22"/>
      <c r="P35" s="23"/>
      <c r="Q35" s="388"/>
      <c r="R35" s="388"/>
      <c r="S35" s="388"/>
      <c r="T35" s="24"/>
      <c r="U35" s="24"/>
      <c r="V35" s="24"/>
      <c r="W35" s="25"/>
      <c r="X35" s="388"/>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62"/>
      <c r="BD35" s="262"/>
      <c r="BE35" s="262"/>
      <c r="BF35" s="262"/>
      <c r="BG35" s="262"/>
      <c r="BH35" s="262"/>
      <c r="BI35" s="262"/>
      <c r="BJ35" s="262"/>
      <c r="BK35" s="269"/>
      <c r="BL35" s="269"/>
      <c r="BM35" s="269"/>
      <c r="BN35" s="269"/>
      <c r="BO35" s="282"/>
    </row>
    <row r="36" spans="1:84" s="221" customFormat="1" ht="75" customHeight="1" x14ac:dyDescent="0.2">
      <c r="A36" s="286"/>
      <c r="D36" s="463"/>
      <c r="E36" s="464"/>
      <c r="F36" s="465"/>
      <c r="G36" s="466">
        <v>4503002</v>
      </c>
      <c r="H36" s="181" t="s">
        <v>357</v>
      </c>
      <c r="I36" s="181" t="s">
        <v>358</v>
      </c>
      <c r="J36" s="92">
        <v>1000</v>
      </c>
      <c r="K36" s="458"/>
      <c r="L36" s="1408" t="s">
        <v>359</v>
      </c>
      <c r="M36" s="1413" t="s">
        <v>304</v>
      </c>
      <c r="N36" s="1415" t="s">
        <v>305</v>
      </c>
      <c r="O36" s="429">
        <f>(T36)/(P18+P36+P33+P34)</f>
        <v>3.2347943109100538E-2</v>
      </c>
      <c r="P36" s="1404">
        <f>+T36+T37</f>
        <v>115000000</v>
      </c>
      <c r="Q36" s="1296" t="s">
        <v>306</v>
      </c>
      <c r="R36" s="1468" t="s">
        <v>307</v>
      </c>
      <c r="S36" s="181" t="s">
        <v>357</v>
      </c>
      <c r="T36" s="430">
        <v>5000000</v>
      </c>
      <c r="U36" s="467"/>
      <c r="V36" s="467"/>
      <c r="W36" s="1406" t="s">
        <v>70</v>
      </c>
      <c r="X36" s="1296" t="s">
        <v>360</v>
      </c>
      <c r="Y36" s="1466">
        <v>5089</v>
      </c>
      <c r="Z36" s="433"/>
      <c r="AA36" s="1466">
        <v>4911</v>
      </c>
      <c r="AB36" s="433"/>
      <c r="AC36" s="1466">
        <v>2331</v>
      </c>
      <c r="AD36" s="433"/>
      <c r="AE36" s="1466">
        <v>761</v>
      </c>
      <c r="AF36" s="433"/>
      <c r="AG36" s="1466">
        <v>5316</v>
      </c>
      <c r="AH36" s="433"/>
      <c r="AI36" s="1466">
        <v>1592</v>
      </c>
      <c r="AJ36" s="433"/>
      <c r="AK36" s="1466">
        <v>0</v>
      </c>
      <c r="AL36" s="433"/>
      <c r="AM36" s="1466">
        <v>0</v>
      </c>
      <c r="AN36" s="433"/>
      <c r="AO36" s="1466">
        <v>0</v>
      </c>
      <c r="AP36" s="433"/>
      <c r="AQ36" s="1466">
        <v>0</v>
      </c>
      <c r="AR36" s="433"/>
      <c r="AS36" s="1466">
        <v>0</v>
      </c>
      <c r="AT36" s="433"/>
      <c r="AU36" s="1466">
        <v>0</v>
      </c>
      <c r="AV36" s="433"/>
      <c r="AW36" s="1466">
        <v>0</v>
      </c>
      <c r="AX36" s="433"/>
      <c r="AY36" s="1466">
        <v>0</v>
      </c>
      <c r="AZ36" s="433"/>
      <c r="BA36" s="1466">
        <v>0</v>
      </c>
      <c r="BB36" s="433"/>
      <c r="BC36" s="1466">
        <f>+Y36+AA36</f>
        <v>10000</v>
      </c>
      <c r="BD36" s="433"/>
      <c r="BE36" s="1466">
        <v>12</v>
      </c>
      <c r="BF36" s="1309">
        <f>SUM(U36:U37)</f>
        <v>88487069</v>
      </c>
      <c r="BG36" s="1309">
        <f>SUM(V36:V37)</f>
        <v>77460177</v>
      </c>
      <c r="BH36" s="1474">
        <f>BG36/BF36</f>
        <v>0.87538414228637185</v>
      </c>
      <c r="BI36" s="433"/>
      <c r="BJ36" s="1303" t="s">
        <v>309</v>
      </c>
      <c r="BK36" s="1315">
        <v>43863</v>
      </c>
      <c r="BL36" s="1315">
        <v>43864</v>
      </c>
      <c r="BM36" s="1315">
        <v>44195</v>
      </c>
      <c r="BN36" s="360"/>
      <c r="BO36" s="1296" t="s">
        <v>284</v>
      </c>
    </row>
    <row r="37" spans="1:84" s="221" customFormat="1" ht="85.5" customHeight="1" x14ac:dyDescent="0.2">
      <c r="A37" s="286"/>
      <c r="D37" s="468"/>
      <c r="F37" s="288"/>
      <c r="G37" s="466">
        <v>4503003</v>
      </c>
      <c r="H37" s="181" t="s">
        <v>346</v>
      </c>
      <c r="I37" s="181" t="s">
        <v>361</v>
      </c>
      <c r="J37" s="92">
        <v>12</v>
      </c>
      <c r="K37" s="460"/>
      <c r="L37" s="1409"/>
      <c r="M37" s="1432"/>
      <c r="N37" s="1420"/>
      <c r="O37" s="469">
        <f>T37/(P36+P33+P18)</f>
        <v>0.71165474840021192</v>
      </c>
      <c r="P37" s="1405"/>
      <c r="Q37" s="1298"/>
      <c r="R37" s="1469"/>
      <c r="S37" s="181" t="s">
        <v>346</v>
      </c>
      <c r="T37" s="430">
        <v>110000000</v>
      </c>
      <c r="U37" s="467">
        <v>88487069</v>
      </c>
      <c r="V37" s="467">
        <v>77460177</v>
      </c>
      <c r="W37" s="1470"/>
      <c r="X37" s="1298"/>
      <c r="Y37" s="1467"/>
      <c r="Z37" s="461"/>
      <c r="AA37" s="1467"/>
      <c r="AB37" s="461"/>
      <c r="AC37" s="1467"/>
      <c r="AD37" s="461"/>
      <c r="AE37" s="1467"/>
      <c r="AF37" s="461"/>
      <c r="AG37" s="1467"/>
      <c r="AH37" s="461"/>
      <c r="AI37" s="1467"/>
      <c r="AJ37" s="461"/>
      <c r="AK37" s="1467"/>
      <c r="AL37" s="461"/>
      <c r="AM37" s="1467"/>
      <c r="AN37" s="461"/>
      <c r="AO37" s="1467"/>
      <c r="AP37" s="461"/>
      <c r="AQ37" s="1467"/>
      <c r="AR37" s="461"/>
      <c r="AS37" s="1467"/>
      <c r="AT37" s="461"/>
      <c r="AU37" s="1467"/>
      <c r="AV37" s="461"/>
      <c r="AW37" s="1467"/>
      <c r="AX37" s="461"/>
      <c r="AY37" s="1467"/>
      <c r="AZ37" s="461"/>
      <c r="BA37" s="1467"/>
      <c r="BB37" s="461"/>
      <c r="BC37" s="1467"/>
      <c r="BD37" s="461"/>
      <c r="BE37" s="1467"/>
      <c r="BF37" s="1311"/>
      <c r="BG37" s="1311"/>
      <c r="BH37" s="1475"/>
      <c r="BI37" s="461"/>
      <c r="BJ37" s="1305"/>
      <c r="BK37" s="1317"/>
      <c r="BL37" s="1317"/>
      <c r="BM37" s="1317"/>
      <c r="BN37" s="443"/>
      <c r="BO37" s="1298"/>
    </row>
    <row r="38" spans="1:84" s="4" customFormat="1" ht="117.75" customHeight="1" x14ac:dyDescent="0.2">
      <c r="A38" s="283"/>
      <c r="D38" s="90"/>
      <c r="F38" s="89"/>
      <c r="G38" s="31">
        <v>4503004</v>
      </c>
      <c r="H38" s="70" t="s">
        <v>362</v>
      </c>
      <c r="I38" s="32" t="s">
        <v>363</v>
      </c>
      <c r="J38" s="92">
        <v>1</v>
      </c>
      <c r="K38" s="115"/>
      <c r="L38" s="36" t="s">
        <v>364</v>
      </c>
      <c r="M38" s="470" t="s">
        <v>365</v>
      </c>
      <c r="N38" s="32" t="s">
        <v>366</v>
      </c>
      <c r="O38" s="38">
        <f>(T38)/P38</f>
        <v>1</v>
      </c>
      <c r="P38" s="410">
        <f>+T38</f>
        <v>13229610</v>
      </c>
      <c r="Q38" s="40" t="s">
        <v>367</v>
      </c>
      <c r="R38" s="40" t="s">
        <v>368</v>
      </c>
      <c r="S38" s="32" t="s">
        <v>362</v>
      </c>
      <c r="T38" s="410">
        <v>13229610</v>
      </c>
      <c r="U38" s="410">
        <v>5000000</v>
      </c>
      <c r="V38" s="410">
        <v>5000000</v>
      </c>
      <c r="W38" s="46" t="s">
        <v>369</v>
      </c>
      <c r="X38" s="40" t="s">
        <v>282</v>
      </c>
      <c r="Y38" s="46">
        <v>763</v>
      </c>
      <c r="Z38" s="46"/>
      <c r="AA38" s="46">
        <v>737</v>
      </c>
      <c r="AB38" s="46"/>
      <c r="AC38" s="46">
        <v>350</v>
      </c>
      <c r="AD38" s="46"/>
      <c r="AE38" s="46">
        <v>114</v>
      </c>
      <c r="AF38" s="46"/>
      <c r="AG38" s="46">
        <v>797</v>
      </c>
      <c r="AH38" s="46"/>
      <c r="AI38" s="46">
        <v>239</v>
      </c>
      <c r="AJ38" s="46"/>
      <c r="AK38" s="46">
        <v>0</v>
      </c>
      <c r="AL38" s="46"/>
      <c r="AM38" s="46">
        <v>0</v>
      </c>
      <c r="AN38" s="46"/>
      <c r="AO38" s="46">
        <v>0</v>
      </c>
      <c r="AP38" s="46"/>
      <c r="AQ38" s="46">
        <v>0</v>
      </c>
      <c r="AR38" s="46"/>
      <c r="AS38" s="46">
        <v>0</v>
      </c>
      <c r="AT38" s="46"/>
      <c r="AU38" s="46">
        <v>0</v>
      </c>
      <c r="AV38" s="46"/>
      <c r="AW38" s="46">
        <v>0</v>
      </c>
      <c r="AX38" s="46"/>
      <c r="AY38" s="46">
        <v>0</v>
      </c>
      <c r="AZ38" s="46"/>
      <c r="BA38" s="46">
        <v>0</v>
      </c>
      <c r="BB38" s="46"/>
      <c r="BC38" s="46">
        <f>+Y38+AA38</f>
        <v>1500</v>
      </c>
      <c r="BD38" s="204"/>
      <c r="BE38" s="204">
        <v>1</v>
      </c>
      <c r="BF38" s="395">
        <f>SUM(U38)</f>
        <v>5000000</v>
      </c>
      <c r="BG38" s="395">
        <f>SUM(V38)</f>
        <v>5000000</v>
      </c>
      <c r="BH38" s="199">
        <f>BG38/BF38</f>
        <v>1</v>
      </c>
      <c r="BI38" s="204"/>
      <c r="BJ38" s="44" t="s">
        <v>309</v>
      </c>
      <c r="BK38" s="360">
        <v>43863</v>
      </c>
      <c r="BL38" s="360">
        <v>43885</v>
      </c>
      <c r="BM38" s="360">
        <v>44195</v>
      </c>
      <c r="BN38" s="360"/>
      <c r="BO38" s="33" t="s">
        <v>284</v>
      </c>
    </row>
    <row r="39" spans="1:84" s="4" customFormat="1" ht="27" customHeight="1" x14ac:dyDescent="0.2">
      <c r="A39" s="471">
        <v>4</v>
      </c>
      <c r="B39" s="472" t="s">
        <v>132</v>
      </c>
      <c r="C39" s="382"/>
      <c r="D39" s="307"/>
      <c r="E39" s="381"/>
      <c r="F39" s="381"/>
      <c r="G39" s="382"/>
      <c r="H39" s="307"/>
      <c r="I39" s="307"/>
      <c r="J39" s="383"/>
      <c r="K39" s="383"/>
      <c r="L39" s="305"/>
      <c r="M39" s="304"/>
      <c r="N39" s="310"/>
      <c r="O39" s="308"/>
      <c r="P39" s="309"/>
      <c r="Q39" s="310"/>
      <c r="R39" s="310"/>
      <c r="S39" s="310"/>
      <c r="T39" s="311"/>
      <c r="U39" s="311"/>
      <c r="V39" s="311"/>
      <c r="W39" s="312"/>
      <c r="X39" s="310"/>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4"/>
      <c r="BH39" s="304"/>
      <c r="BI39" s="304"/>
      <c r="BJ39" s="304"/>
      <c r="BK39" s="313"/>
      <c r="BL39" s="313"/>
      <c r="BM39" s="313"/>
      <c r="BN39" s="313"/>
      <c r="BO39" s="314"/>
      <c r="BP39" s="3"/>
      <c r="BQ39" s="3"/>
      <c r="BR39" s="3"/>
      <c r="BS39" s="3"/>
      <c r="BT39" s="3"/>
      <c r="BU39" s="3"/>
      <c r="BV39" s="3"/>
      <c r="BW39" s="3"/>
      <c r="BX39" s="3"/>
      <c r="BY39" s="3"/>
      <c r="BZ39" s="3"/>
      <c r="CA39" s="3"/>
      <c r="CB39" s="3"/>
      <c r="CC39" s="3"/>
      <c r="CD39" s="3"/>
      <c r="CE39" s="3"/>
      <c r="CF39" s="3"/>
    </row>
    <row r="40" spans="1:84" s="3" customFormat="1" ht="27" customHeight="1" x14ac:dyDescent="0.2">
      <c r="A40" s="167"/>
      <c r="B40" s="253"/>
      <c r="C40" s="254"/>
      <c r="D40" s="449">
        <v>42</v>
      </c>
      <c r="E40" s="473" t="s">
        <v>61</v>
      </c>
      <c r="F40" s="450"/>
      <c r="G40" s="401"/>
      <c r="H40" s="259"/>
      <c r="I40" s="259"/>
      <c r="J40" s="261"/>
      <c r="K40" s="261"/>
      <c r="L40" s="281"/>
      <c r="M40" s="21"/>
      <c r="N40" s="388"/>
      <c r="O40" s="22"/>
      <c r="P40" s="23"/>
      <c r="Q40" s="388"/>
      <c r="R40" s="388"/>
      <c r="S40" s="388"/>
      <c r="T40" s="24"/>
      <c r="U40" s="24"/>
      <c r="V40" s="24"/>
      <c r="W40" s="25"/>
      <c r="X40" s="388"/>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6"/>
      <c r="BL40" s="26"/>
      <c r="BM40" s="26"/>
      <c r="BN40" s="26"/>
      <c r="BO40" s="416"/>
    </row>
    <row r="41" spans="1:84" s="4" customFormat="1" ht="112.5" customHeight="1" x14ac:dyDescent="0.2">
      <c r="A41" s="283"/>
      <c r="B41" s="91"/>
      <c r="C41" s="89"/>
      <c r="D41" s="330"/>
      <c r="E41" s="330"/>
      <c r="F41" s="331"/>
      <c r="G41" s="474">
        <v>4502001</v>
      </c>
      <c r="H41" s="33" t="s">
        <v>370</v>
      </c>
      <c r="I41" s="32" t="s">
        <v>371</v>
      </c>
      <c r="J41" s="94">
        <v>3</v>
      </c>
      <c r="K41" s="475"/>
      <c r="L41" s="1408" t="s">
        <v>372</v>
      </c>
      <c r="M41" s="1413" t="s">
        <v>349</v>
      </c>
      <c r="N41" s="1415" t="s">
        <v>350</v>
      </c>
      <c r="O41" s="476">
        <f>(T41)/(P30+P41)</f>
        <v>0.55453895669347841</v>
      </c>
      <c r="P41" s="1404">
        <f>+T41+T42</f>
        <v>277796636</v>
      </c>
      <c r="Q41" s="1287" t="s">
        <v>351</v>
      </c>
      <c r="R41" s="1287" t="s">
        <v>352</v>
      </c>
      <c r="S41" s="33" t="s">
        <v>370</v>
      </c>
      <c r="T41" s="430">
        <v>207796636</v>
      </c>
      <c r="U41" s="459">
        <v>23270667</v>
      </c>
      <c r="V41" s="459">
        <v>15570667</v>
      </c>
      <c r="W41" s="1303" t="s">
        <v>70</v>
      </c>
      <c r="X41" s="1287" t="s">
        <v>282</v>
      </c>
      <c r="Y41" s="1472">
        <v>4835</v>
      </c>
      <c r="Z41" s="455"/>
      <c r="AA41" s="1472">
        <v>4665</v>
      </c>
      <c r="AB41" s="455"/>
      <c r="AC41" s="1472">
        <v>2214</v>
      </c>
      <c r="AD41" s="455"/>
      <c r="AE41" s="1472">
        <v>723</v>
      </c>
      <c r="AF41" s="455"/>
      <c r="AG41" s="1472">
        <v>5050</v>
      </c>
      <c r="AH41" s="455"/>
      <c r="AI41" s="1472">
        <v>1513</v>
      </c>
      <c r="AJ41" s="455"/>
      <c r="AK41" s="1303">
        <v>0</v>
      </c>
      <c r="AL41" s="204"/>
      <c r="AM41" s="1303">
        <v>0</v>
      </c>
      <c r="AN41" s="204"/>
      <c r="AO41" s="1303">
        <v>0</v>
      </c>
      <c r="AP41" s="204"/>
      <c r="AQ41" s="1303">
        <v>0</v>
      </c>
      <c r="AR41" s="204"/>
      <c r="AS41" s="1303">
        <v>0</v>
      </c>
      <c r="AT41" s="204"/>
      <c r="AU41" s="1303">
        <v>0</v>
      </c>
      <c r="AV41" s="204"/>
      <c r="AW41" s="1303">
        <v>0</v>
      </c>
      <c r="AX41" s="204"/>
      <c r="AY41" s="1303">
        <v>0</v>
      </c>
      <c r="AZ41" s="204"/>
      <c r="BA41" s="1303">
        <v>0</v>
      </c>
      <c r="BB41" s="204"/>
      <c r="BC41" s="1472">
        <f>+Y41+AA41</f>
        <v>9500</v>
      </c>
      <c r="BD41" s="455"/>
      <c r="BE41" s="1472">
        <v>3</v>
      </c>
      <c r="BF41" s="1309">
        <f>SUM(U41:U42)</f>
        <v>23270667</v>
      </c>
      <c r="BG41" s="1309">
        <f>SUM(V41:V42)</f>
        <v>15570667</v>
      </c>
      <c r="BH41" s="1474">
        <f>BG41/BF41</f>
        <v>0.66911133230517195</v>
      </c>
      <c r="BI41" s="455"/>
      <c r="BJ41" s="1303" t="s">
        <v>373</v>
      </c>
      <c r="BK41" s="1315">
        <v>43863</v>
      </c>
      <c r="BL41" s="1315">
        <v>43874</v>
      </c>
      <c r="BM41" s="1315">
        <v>44195</v>
      </c>
      <c r="BN41" s="360"/>
      <c r="BO41" s="1287" t="s">
        <v>284</v>
      </c>
    </row>
    <row r="42" spans="1:84" s="4" customFormat="1" ht="132" customHeight="1" x14ac:dyDescent="0.2">
      <c r="A42" s="283"/>
      <c r="B42" s="91"/>
      <c r="C42" s="89"/>
      <c r="D42" s="91"/>
      <c r="F42" s="89"/>
      <c r="G42" s="454" t="s">
        <v>328</v>
      </c>
      <c r="H42" s="477" t="s">
        <v>374</v>
      </c>
      <c r="I42" s="32" t="s">
        <v>375</v>
      </c>
      <c r="J42" s="92">
        <v>1</v>
      </c>
      <c r="K42" s="96"/>
      <c r="L42" s="1409"/>
      <c r="M42" s="1432"/>
      <c r="N42" s="1420"/>
      <c r="O42" s="476">
        <f>(T42)/(P30+P41)</f>
        <v>0.18680633005311736</v>
      </c>
      <c r="P42" s="1405"/>
      <c r="Q42" s="1289"/>
      <c r="R42" s="1289"/>
      <c r="S42" s="477" t="s">
        <v>374</v>
      </c>
      <c r="T42" s="430">
        <v>70000000</v>
      </c>
      <c r="U42" s="430"/>
      <c r="V42" s="430"/>
      <c r="W42" s="1439"/>
      <c r="X42" s="1289"/>
      <c r="Y42" s="1473"/>
      <c r="Z42" s="478"/>
      <c r="AA42" s="1473"/>
      <c r="AB42" s="478"/>
      <c r="AC42" s="1473"/>
      <c r="AD42" s="478"/>
      <c r="AE42" s="1473"/>
      <c r="AF42" s="478"/>
      <c r="AG42" s="1473"/>
      <c r="AH42" s="478"/>
      <c r="AI42" s="1473"/>
      <c r="AJ42" s="478"/>
      <c r="AK42" s="1305"/>
      <c r="AL42" s="44"/>
      <c r="AM42" s="1305"/>
      <c r="AN42" s="44"/>
      <c r="AO42" s="1305"/>
      <c r="AP42" s="44"/>
      <c r="AQ42" s="1305"/>
      <c r="AR42" s="44"/>
      <c r="AS42" s="1305"/>
      <c r="AT42" s="44"/>
      <c r="AU42" s="1305"/>
      <c r="AV42" s="44"/>
      <c r="AW42" s="1305"/>
      <c r="AX42" s="44"/>
      <c r="AY42" s="1305"/>
      <c r="AZ42" s="44"/>
      <c r="BA42" s="1305"/>
      <c r="BB42" s="44"/>
      <c r="BC42" s="1473"/>
      <c r="BD42" s="478"/>
      <c r="BE42" s="1473"/>
      <c r="BF42" s="1311"/>
      <c r="BG42" s="1311"/>
      <c r="BH42" s="1475"/>
      <c r="BI42" s="478"/>
      <c r="BJ42" s="1305"/>
      <c r="BK42" s="1317"/>
      <c r="BL42" s="1317"/>
      <c r="BM42" s="1317"/>
      <c r="BN42" s="443"/>
      <c r="BO42" s="1289"/>
    </row>
    <row r="43" spans="1:84" s="4" customFormat="1" ht="138" customHeight="1" x14ac:dyDescent="0.2">
      <c r="A43" s="283"/>
      <c r="B43" s="91"/>
      <c r="C43" s="89"/>
      <c r="D43" s="91"/>
      <c r="F43" s="89"/>
      <c r="G43" s="454" t="s">
        <v>328</v>
      </c>
      <c r="H43" s="33" t="s">
        <v>376</v>
      </c>
      <c r="I43" s="32" t="s">
        <v>377</v>
      </c>
      <c r="J43" s="92">
        <v>12</v>
      </c>
      <c r="K43" s="479"/>
      <c r="L43" s="1281" t="s">
        <v>378</v>
      </c>
      <c r="M43" s="1478" t="s">
        <v>379</v>
      </c>
      <c r="N43" s="1293" t="s">
        <v>380</v>
      </c>
      <c r="O43" s="285">
        <f>(T43)/(P43)</f>
        <v>0.8</v>
      </c>
      <c r="P43" s="1452">
        <f>+T43+T44</f>
        <v>50000000</v>
      </c>
      <c r="Q43" s="1293" t="s">
        <v>381</v>
      </c>
      <c r="R43" s="1293" t="s">
        <v>382</v>
      </c>
      <c r="S43" s="33" t="s">
        <v>376</v>
      </c>
      <c r="T43" s="410">
        <v>40000000</v>
      </c>
      <c r="U43" s="410">
        <v>11900000</v>
      </c>
      <c r="V43" s="410">
        <v>8800000</v>
      </c>
      <c r="W43" s="1476" t="s">
        <v>70</v>
      </c>
      <c r="X43" s="1287" t="s">
        <v>282</v>
      </c>
      <c r="Y43" s="1478">
        <v>2290</v>
      </c>
      <c r="Z43" s="316"/>
      <c r="AA43" s="1478">
        <v>2210</v>
      </c>
      <c r="AB43" s="316"/>
      <c r="AC43" s="1478">
        <v>0</v>
      </c>
      <c r="AD43" s="316"/>
      <c r="AE43" s="1478">
        <v>0</v>
      </c>
      <c r="AF43" s="316"/>
      <c r="AG43" s="1478">
        <v>4500</v>
      </c>
      <c r="AH43" s="316"/>
      <c r="AI43" s="1478">
        <v>0</v>
      </c>
      <c r="AJ43" s="316"/>
      <c r="AK43" s="1478">
        <v>0</v>
      </c>
      <c r="AL43" s="316"/>
      <c r="AM43" s="1478">
        <v>0</v>
      </c>
      <c r="AN43" s="316"/>
      <c r="AO43" s="1478">
        <v>0</v>
      </c>
      <c r="AP43" s="316"/>
      <c r="AQ43" s="1478">
        <v>0</v>
      </c>
      <c r="AR43" s="316"/>
      <c r="AS43" s="1478">
        <v>0</v>
      </c>
      <c r="AT43" s="316"/>
      <c r="AU43" s="1478">
        <v>0</v>
      </c>
      <c r="AV43" s="316"/>
      <c r="AW43" s="1478">
        <v>0</v>
      </c>
      <c r="AX43" s="316"/>
      <c r="AY43" s="1478">
        <v>0</v>
      </c>
      <c r="AZ43" s="316"/>
      <c r="BA43" s="1478">
        <v>0</v>
      </c>
      <c r="BB43" s="316"/>
      <c r="BC43" s="1478">
        <f>+Y43+AA43</f>
        <v>4500</v>
      </c>
      <c r="BD43" s="316"/>
      <c r="BE43" s="1478">
        <v>4</v>
      </c>
      <c r="BF43" s="1309">
        <f>SUM(U43:U44)</f>
        <v>11900000</v>
      </c>
      <c r="BG43" s="1309">
        <f>SUM(V43:V44)</f>
        <v>8800000</v>
      </c>
      <c r="BH43" s="1474">
        <f>BG43/BF43</f>
        <v>0.73949579831932777</v>
      </c>
      <c r="BI43" s="316"/>
      <c r="BJ43" s="1303" t="s">
        <v>373</v>
      </c>
      <c r="BK43" s="1315">
        <v>43863</v>
      </c>
      <c r="BL43" s="1315">
        <v>43874</v>
      </c>
      <c r="BM43" s="1315">
        <v>44195</v>
      </c>
      <c r="BN43" s="360"/>
      <c r="BO43" s="1287" t="s">
        <v>284</v>
      </c>
    </row>
    <row r="44" spans="1:84" s="4" customFormat="1" ht="102.75" customHeight="1" x14ac:dyDescent="0.2">
      <c r="A44" s="283"/>
      <c r="B44" s="91"/>
      <c r="C44" s="89"/>
      <c r="D44" s="91"/>
      <c r="F44" s="89"/>
      <c r="G44" s="454" t="s">
        <v>328</v>
      </c>
      <c r="H44" s="477" t="s">
        <v>383</v>
      </c>
      <c r="I44" s="32" t="s">
        <v>384</v>
      </c>
      <c r="J44" s="92">
        <v>0.2</v>
      </c>
      <c r="K44" s="96"/>
      <c r="L44" s="1283"/>
      <c r="M44" s="1479"/>
      <c r="N44" s="1295"/>
      <c r="O44" s="285">
        <f>(T44)/(P43)</f>
        <v>0.2</v>
      </c>
      <c r="P44" s="1454"/>
      <c r="Q44" s="1295"/>
      <c r="R44" s="1295"/>
      <c r="S44" s="477" t="s">
        <v>383</v>
      </c>
      <c r="T44" s="410">
        <v>10000000</v>
      </c>
      <c r="U44" s="480">
        <v>0</v>
      </c>
      <c r="V44" s="480">
        <v>0</v>
      </c>
      <c r="W44" s="1477"/>
      <c r="X44" s="1289"/>
      <c r="Y44" s="1479"/>
      <c r="Z44" s="481"/>
      <c r="AA44" s="1479"/>
      <c r="AB44" s="481"/>
      <c r="AC44" s="1479"/>
      <c r="AD44" s="481"/>
      <c r="AE44" s="1479"/>
      <c r="AF44" s="481"/>
      <c r="AG44" s="1479"/>
      <c r="AH44" s="481"/>
      <c r="AI44" s="1479"/>
      <c r="AJ44" s="481"/>
      <c r="AK44" s="1479"/>
      <c r="AL44" s="481"/>
      <c r="AM44" s="1479"/>
      <c r="AN44" s="481"/>
      <c r="AO44" s="1479"/>
      <c r="AP44" s="481"/>
      <c r="AQ44" s="1479"/>
      <c r="AR44" s="481"/>
      <c r="AS44" s="1479"/>
      <c r="AT44" s="481"/>
      <c r="AU44" s="1479"/>
      <c r="AV44" s="481"/>
      <c r="AW44" s="1479"/>
      <c r="AX44" s="481"/>
      <c r="AY44" s="1479"/>
      <c r="AZ44" s="481"/>
      <c r="BA44" s="1479"/>
      <c r="BB44" s="481"/>
      <c r="BC44" s="1479"/>
      <c r="BD44" s="481"/>
      <c r="BE44" s="1479"/>
      <c r="BF44" s="1311"/>
      <c r="BG44" s="1311"/>
      <c r="BH44" s="1475"/>
      <c r="BI44" s="481"/>
      <c r="BJ44" s="1305"/>
      <c r="BK44" s="1317"/>
      <c r="BL44" s="1317"/>
      <c r="BM44" s="1317"/>
      <c r="BN44" s="443"/>
      <c r="BO44" s="1289"/>
    </row>
    <row r="45" spans="1:84" s="4" customFormat="1" ht="102" customHeight="1" x14ac:dyDescent="0.2">
      <c r="A45" s="283"/>
      <c r="B45" s="91"/>
      <c r="C45" s="89"/>
      <c r="D45" s="103"/>
      <c r="E45" s="103"/>
      <c r="F45" s="104"/>
      <c r="G45" s="442">
        <v>4502001</v>
      </c>
      <c r="H45" s="32" t="s">
        <v>370</v>
      </c>
      <c r="I45" s="32" t="s">
        <v>371</v>
      </c>
      <c r="J45" s="92">
        <v>3</v>
      </c>
      <c r="K45" s="115"/>
      <c r="L45" s="34" t="s">
        <v>385</v>
      </c>
      <c r="M45" s="408" t="s">
        <v>386</v>
      </c>
      <c r="N45" s="32" t="s">
        <v>387</v>
      </c>
      <c r="O45" s="285">
        <f>(T45)/P45</f>
        <v>1</v>
      </c>
      <c r="P45" s="410">
        <f>+T45</f>
        <v>50000000</v>
      </c>
      <c r="Q45" s="40" t="s">
        <v>381</v>
      </c>
      <c r="R45" s="40" t="s">
        <v>388</v>
      </c>
      <c r="S45" s="32" t="s">
        <v>370</v>
      </c>
      <c r="T45" s="410">
        <v>50000000</v>
      </c>
      <c r="U45" s="480">
        <v>4000000</v>
      </c>
      <c r="V45" s="480">
        <v>4000000</v>
      </c>
      <c r="W45" s="46" t="s">
        <v>70</v>
      </c>
      <c r="X45" s="40" t="s">
        <v>282</v>
      </c>
      <c r="Y45" s="407">
        <v>357</v>
      </c>
      <c r="Z45" s="407"/>
      <c r="AA45" s="407">
        <v>343</v>
      </c>
      <c r="AB45" s="407"/>
      <c r="AC45" s="407">
        <v>0</v>
      </c>
      <c r="AD45" s="407"/>
      <c r="AE45" s="407">
        <v>0</v>
      </c>
      <c r="AF45" s="407"/>
      <c r="AG45" s="407">
        <v>700</v>
      </c>
      <c r="AH45" s="407"/>
      <c r="AI45" s="407">
        <v>0</v>
      </c>
      <c r="AJ45" s="407"/>
      <c r="AK45" s="407">
        <v>0</v>
      </c>
      <c r="AL45" s="407"/>
      <c r="AM45" s="407">
        <v>0</v>
      </c>
      <c r="AN45" s="407"/>
      <c r="AO45" s="407">
        <v>0</v>
      </c>
      <c r="AP45" s="407"/>
      <c r="AQ45" s="407">
        <v>0</v>
      </c>
      <c r="AR45" s="407"/>
      <c r="AS45" s="407">
        <v>0</v>
      </c>
      <c r="AT45" s="407"/>
      <c r="AU45" s="407">
        <v>0</v>
      </c>
      <c r="AV45" s="407"/>
      <c r="AW45" s="407">
        <v>0</v>
      </c>
      <c r="AX45" s="407"/>
      <c r="AY45" s="407">
        <v>0</v>
      </c>
      <c r="AZ45" s="407"/>
      <c r="BA45" s="407">
        <v>0</v>
      </c>
      <c r="BB45" s="407"/>
      <c r="BC45" s="407">
        <f>+Y45+AA45</f>
        <v>700</v>
      </c>
      <c r="BD45" s="407"/>
      <c r="BE45" s="407">
        <v>1</v>
      </c>
      <c r="BF45" s="395">
        <f>SUM(U45)</f>
        <v>4000000</v>
      </c>
      <c r="BG45" s="395">
        <f>SUM(V45)</f>
        <v>4000000</v>
      </c>
      <c r="BH45" s="482">
        <f>BG45/BF45</f>
        <v>1</v>
      </c>
      <c r="BI45" s="407"/>
      <c r="BJ45" s="204" t="s">
        <v>373</v>
      </c>
      <c r="BK45" s="360">
        <v>43863</v>
      </c>
      <c r="BL45" s="48">
        <v>43874</v>
      </c>
      <c r="BM45" s="48">
        <v>44195</v>
      </c>
      <c r="BN45" s="443"/>
      <c r="BO45" s="483" t="s">
        <v>284</v>
      </c>
    </row>
    <row r="46" spans="1:84" s="4" customFormat="1" ht="31.5" customHeight="1" x14ac:dyDescent="0.2">
      <c r="A46" s="484"/>
      <c r="B46" s="485"/>
      <c r="C46" s="486"/>
      <c r="D46" s="487"/>
      <c r="E46" s="487"/>
      <c r="F46" s="488"/>
      <c r="G46" s="119"/>
      <c r="H46" s="40"/>
      <c r="I46" s="40"/>
      <c r="J46" s="114"/>
      <c r="K46" s="114"/>
      <c r="L46" s="115"/>
      <c r="M46" s="115"/>
      <c r="N46" s="40"/>
      <c r="O46" s="116"/>
      <c r="P46" s="344">
        <f>SUM(P12:P45)</f>
        <v>6845730354.1600008</v>
      </c>
      <c r="Q46" s="213"/>
      <c r="R46" s="213"/>
      <c r="S46" s="213"/>
      <c r="T46" s="344">
        <f>SUM(T12:T45)</f>
        <v>6845730354.1600008</v>
      </c>
      <c r="U46" s="344">
        <f t="shared" ref="U46:V46" si="3">SUM(U12:U45)</f>
        <v>322548460</v>
      </c>
      <c r="V46" s="344">
        <f t="shared" si="3"/>
        <v>180071568</v>
      </c>
      <c r="W46" s="110"/>
      <c r="X46" s="92"/>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344">
        <f t="shared" ref="BF46:BG46" si="4">SUM(BF12:BF45)</f>
        <v>322548460</v>
      </c>
      <c r="BG46" s="344">
        <f t="shared" si="4"/>
        <v>180071568</v>
      </c>
      <c r="BH46" s="372">
        <f>BG46/BF46</f>
        <v>0.55827756238550941</v>
      </c>
      <c r="BI46" s="119"/>
      <c r="BJ46" s="119"/>
      <c r="BK46" s="122"/>
      <c r="BL46" s="122"/>
      <c r="BM46" s="123"/>
      <c r="BN46" s="123"/>
      <c r="BO46" s="124"/>
    </row>
    <row r="47" spans="1:84" s="4" customFormat="1" ht="27" customHeight="1" x14ac:dyDescent="0.2">
      <c r="A47" s="88"/>
      <c r="G47" s="133"/>
      <c r="H47" s="489"/>
      <c r="I47" s="489"/>
      <c r="J47" s="3"/>
      <c r="K47" s="3"/>
      <c r="L47" s="126"/>
      <c r="M47" s="126"/>
      <c r="N47" s="489"/>
      <c r="O47" s="127"/>
      <c r="P47" s="137"/>
      <c r="Q47" s="489"/>
      <c r="R47" s="489"/>
      <c r="S47" s="489"/>
      <c r="T47" s="138"/>
      <c r="U47" s="138"/>
      <c r="V47" s="138"/>
      <c r="W47" s="131"/>
      <c r="X47" s="132"/>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4"/>
      <c r="BL47" s="134"/>
      <c r="BM47" s="135"/>
      <c r="BN47" s="135"/>
      <c r="BO47" s="136"/>
    </row>
    <row r="48" spans="1:84" s="4" customFormat="1" ht="27" customHeight="1" x14ac:dyDescent="0.2">
      <c r="A48" s="88"/>
      <c r="G48" s="133"/>
      <c r="H48" s="489"/>
      <c r="I48" s="489"/>
      <c r="J48" s="3"/>
      <c r="K48" s="3"/>
      <c r="L48" s="126"/>
      <c r="M48" s="126"/>
      <c r="N48" s="489"/>
      <c r="O48" s="127"/>
      <c r="P48" s="137"/>
      <c r="Q48" s="489"/>
      <c r="R48" s="489"/>
      <c r="S48" s="489"/>
      <c r="T48" s="138"/>
      <c r="U48" s="138"/>
      <c r="V48" s="138"/>
      <c r="W48" s="131"/>
      <c r="X48" s="132"/>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4"/>
      <c r="BL48" s="134"/>
      <c r="BM48" s="135"/>
      <c r="BN48" s="135"/>
      <c r="BO48" s="136"/>
    </row>
    <row r="49" spans="1:67" s="4" customFormat="1" ht="27" customHeight="1" x14ac:dyDescent="0.2">
      <c r="A49" s="88"/>
      <c r="G49" s="133"/>
      <c r="H49" s="489"/>
      <c r="I49" s="489"/>
      <c r="J49" s="3"/>
      <c r="K49" s="3"/>
      <c r="L49" s="126"/>
      <c r="M49" s="126"/>
      <c r="N49" s="489"/>
      <c r="O49" s="127"/>
      <c r="P49" s="137"/>
      <c r="Q49" s="489"/>
      <c r="R49" s="489"/>
      <c r="S49" s="489"/>
      <c r="T49" s="141"/>
      <c r="U49" s="141"/>
      <c r="V49" s="141"/>
      <c r="W49" s="131"/>
      <c r="X49" s="132"/>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4"/>
      <c r="BL49" s="134"/>
      <c r="BM49" s="135"/>
      <c r="BN49" s="135"/>
      <c r="BO49" s="136"/>
    </row>
    <row r="50" spans="1:67" s="4" customFormat="1" ht="27" customHeight="1" x14ac:dyDescent="0.2">
      <c r="A50" s="127"/>
      <c r="B50" s="347"/>
      <c r="C50" s="348"/>
      <c r="D50" s="103"/>
      <c r="E50" s="103"/>
      <c r="F50" s="103"/>
      <c r="G50" s="490"/>
      <c r="H50" s="489"/>
      <c r="I50" s="489"/>
      <c r="J50" s="3"/>
      <c r="K50" s="3"/>
      <c r="L50" s="126"/>
      <c r="M50" s="126"/>
      <c r="N50" s="489"/>
      <c r="O50" s="127"/>
      <c r="P50" s="137"/>
      <c r="Q50" s="489"/>
      <c r="R50" s="489"/>
      <c r="S50" s="489"/>
      <c r="T50" s="138"/>
      <c r="U50" s="138"/>
      <c r="V50" s="138"/>
      <c r="W50" s="131"/>
      <c r="X50" s="132"/>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4"/>
      <c r="BL50" s="134"/>
      <c r="BM50" s="135"/>
      <c r="BN50" s="135"/>
      <c r="BO50" s="136"/>
    </row>
    <row r="51" spans="1:67" s="4" customFormat="1" ht="27" customHeight="1" x14ac:dyDescent="0.25">
      <c r="A51" s="127"/>
      <c r="B51" s="140" t="s">
        <v>389</v>
      </c>
      <c r="C51" s="125"/>
      <c r="G51" s="133"/>
      <c r="H51" s="489"/>
      <c r="I51" s="489"/>
      <c r="J51" s="3"/>
      <c r="K51" s="3"/>
      <c r="L51" s="126"/>
      <c r="M51" s="126"/>
      <c r="N51" s="489"/>
      <c r="O51" s="127"/>
      <c r="P51" s="137"/>
      <c r="Q51" s="489"/>
      <c r="R51" s="489"/>
      <c r="S51" s="489"/>
      <c r="T51" s="141"/>
      <c r="U51" s="141"/>
      <c r="V51" s="141"/>
      <c r="W51" s="131"/>
      <c r="X51" s="132"/>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4"/>
      <c r="BL51" s="134"/>
      <c r="BM51" s="135"/>
      <c r="BN51" s="135"/>
      <c r="BO51" s="136"/>
    </row>
    <row r="52" spans="1:67" s="4" customFormat="1" ht="27" customHeight="1" x14ac:dyDescent="0.25">
      <c r="A52" s="127"/>
      <c r="B52" s="140" t="s">
        <v>390</v>
      </c>
      <c r="C52" s="125"/>
      <c r="G52" s="133"/>
      <c r="H52" s="489"/>
      <c r="I52" s="489"/>
      <c r="J52" s="3"/>
      <c r="K52" s="3"/>
      <c r="L52" s="126"/>
      <c r="M52" s="126"/>
      <c r="N52" s="489"/>
      <c r="O52" s="127"/>
      <c r="P52" s="137"/>
      <c r="Q52" s="489"/>
      <c r="R52" s="489"/>
      <c r="S52" s="489"/>
      <c r="T52" s="141"/>
      <c r="U52" s="141"/>
      <c r="V52" s="141"/>
      <c r="W52" s="131"/>
      <c r="X52" s="132"/>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4"/>
      <c r="BL52" s="134"/>
      <c r="BM52" s="135"/>
      <c r="BN52" s="135"/>
      <c r="BO52" s="136"/>
    </row>
    <row r="53" spans="1:67" s="4" customFormat="1" ht="27" customHeight="1" x14ac:dyDescent="0.2">
      <c r="A53" s="127"/>
      <c r="B53" s="137"/>
      <c r="C53" s="125"/>
      <c r="G53" s="133"/>
      <c r="H53" s="489"/>
      <c r="I53" s="489"/>
      <c r="J53" s="3"/>
      <c r="K53" s="3"/>
      <c r="L53" s="126"/>
      <c r="M53" s="126"/>
      <c r="N53" s="489"/>
      <c r="O53" s="127"/>
      <c r="P53" s="137"/>
      <c r="Q53" s="489"/>
      <c r="R53" s="489"/>
      <c r="S53" s="489"/>
      <c r="T53" s="141"/>
      <c r="U53" s="141"/>
      <c r="V53" s="141"/>
      <c r="W53" s="131"/>
      <c r="X53" s="132"/>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4"/>
      <c r="BL53" s="134"/>
      <c r="BM53" s="135"/>
      <c r="BN53" s="135"/>
      <c r="BO53" s="136"/>
    </row>
  </sheetData>
  <sheetProtection password="A60F" sheet="1" objects="1" scenarios="1"/>
  <mergeCells count="223">
    <mergeCell ref="BL43:BL44"/>
    <mergeCell ref="BM43:BM44"/>
    <mergeCell ref="BO43:BO44"/>
    <mergeCell ref="BE43:BE44"/>
    <mergeCell ref="BF43:BF44"/>
    <mergeCell ref="BG43:BG44"/>
    <mergeCell ref="BH43:BH44"/>
    <mergeCell ref="BJ43:BJ44"/>
    <mergeCell ref="BK43:BK44"/>
    <mergeCell ref="AS43:AS44"/>
    <mergeCell ref="AU43:AU44"/>
    <mergeCell ref="AW43:AW44"/>
    <mergeCell ref="AY43:AY44"/>
    <mergeCell ref="BA43:BA44"/>
    <mergeCell ref="BC43:BC44"/>
    <mergeCell ref="AG43:AG44"/>
    <mergeCell ref="AI43:AI44"/>
    <mergeCell ref="AK43:AK44"/>
    <mergeCell ref="AM43:AM44"/>
    <mergeCell ref="AO43:AO44"/>
    <mergeCell ref="AQ43:AQ44"/>
    <mergeCell ref="W43:W44"/>
    <mergeCell ref="X43:X44"/>
    <mergeCell ref="Y43:Y44"/>
    <mergeCell ref="AA43:AA44"/>
    <mergeCell ref="AC43:AC44"/>
    <mergeCell ref="AE43:AE44"/>
    <mergeCell ref="L43:L44"/>
    <mergeCell ref="M43:M44"/>
    <mergeCell ref="N43:N44"/>
    <mergeCell ref="P43:P44"/>
    <mergeCell ref="Q43:Q44"/>
    <mergeCell ref="R43:R44"/>
    <mergeCell ref="BH41:BH42"/>
    <mergeCell ref="BJ41:BJ42"/>
    <mergeCell ref="BK41:BK42"/>
    <mergeCell ref="BL41:BL42"/>
    <mergeCell ref="BM41:BM42"/>
    <mergeCell ref="BO41:BO42"/>
    <mergeCell ref="AY41:AY42"/>
    <mergeCell ref="BA41:BA42"/>
    <mergeCell ref="BC41:BC42"/>
    <mergeCell ref="BE41:BE42"/>
    <mergeCell ref="BF41:BF42"/>
    <mergeCell ref="BG41:BG42"/>
    <mergeCell ref="AM41:AM42"/>
    <mergeCell ref="AO41:AO42"/>
    <mergeCell ref="AQ41:AQ42"/>
    <mergeCell ref="AS41:AS42"/>
    <mergeCell ref="AU41:AU42"/>
    <mergeCell ref="AW41:AW42"/>
    <mergeCell ref="AA41:AA42"/>
    <mergeCell ref="AC41:AC42"/>
    <mergeCell ref="AE41:AE42"/>
    <mergeCell ref="AG41:AG42"/>
    <mergeCell ref="AI41:AI42"/>
    <mergeCell ref="AK41:AK42"/>
    <mergeCell ref="BO36:BO37"/>
    <mergeCell ref="L41:L42"/>
    <mergeCell ref="M41:M42"/>
    <mergeCell ref="N41:N42"/>
    <mergeCell ref="P41:P42"/>
    <mergeCell ref="Q41:Q42"/>
    <mergeCell ref="R41:R42"/>
    <mergeCell ref="W41:W42"/>
    <mergeCell ref="X41:X42"/>
    <mergeCell ref="Y41:Y42"/>
    <mergeCell ref="BG36:BG37"/>
    <mergeCell ref="BH36:BH37"/>
    <mergeCell ref="BJ36:BJ37"/>
    <mergeCell ref="BK36:BK37"/>
    <mergeCell ref="BL36:BL37"/>
    <mergeCell ref="BM36:BM37"/>
    <mergeCell ref="AW36:AW37"/>
    <mergeCell ref="AY36:AY37"/>
    <mergeCell ref="BA36:BA37"/>
    <mergeCell ref="BC36:BC37"/>
    <mergeCell ref="BE36:BE37"/>
    <mergeCell ref="BF36:BF37"/>
    <mergeCell ref="AK36:AK37"/>
    <mergeCell ref="AM36:AM37"/>
    <mergeCell ref="AO36:AO37"/>
    <mergeCell ref="AQ36:AQ37"/>
    <mergeCell ref="AS36:AS37"/>
    <mergeCell ref="AU36:AU37"/>
    <mergeCell ref="Y36:Y37"/>
    <mergeCell ref="AA36:AA37"/>
    <mergeCell ref="AC36:AC37"/>
    <mergeCell ref="AE36:AE37"/>
    <mergeCell ref="AG36:AG37"/>
    <mergeCell ref="AI36:AI37"/>
    <mergeCell ref="BM33:BM34"/>
    <mergeCell ref="BO33:BO34"/>
    <mergeCell ref="L36:L37"/>
    <mergeCell ref="M36:M37"/>
    <mergeCell ref="N36:N37"/>
    <mergeCell ref="P36:P37"/>
    <mergeCell ref="Q36:Q37"/>
    <mergeCell ref="R36:R37"/>
    <mergeCell ref="W36:W37"/>
    <mergeCell ref="X36:X37"/>
    <mergeCell ref="BC33:BC34"/>
    <mergeCell ref="BF33:BF34"/>
    <mergeCell ref="BG33:BG34"/>
    <mergeCell ref="BJ33:BJ34"/>
    <mergeCell ref="BK33:BK34"/>
    <mergeCell ref="BL33:BL34"/>
    <mergeCell ref="AQ33:AQ34"/>
    <mergeCell ref="AS33:AS34"/>
    <mergeCell ref="AU33:AU34"/>
    <mergeCell ref="AW33:AW34"/>
    <mergeCell ref="AY33:AY34"/>
    <mergeCell ref="BA33:BA34"/>
    <mergeCell ref="AE33:AE34"/>
    <mergeCell ref="AG33:AG34"/>
    <mergeCell ref="AI33:AI34"/>
    <mergeCell ref="AK33:AK34"/>
    <mergeCell ref="AM33:AM34"/>
    <mergeCell ref="AO33:AO34"/>
    <mergeCell ref="R33:R34"/>
    <mergeCell ref="W33:W34"/>
    <mergeCell ref="X33:X34"/>
    <mergeCell ref="Y33:Y34"/>
    <mergeCell ref="AA33:AA34"/>
    <mergeCell ref="AC33:AC34"/>
    <mergeCell ref="BM20:BM24"/>
    <mergeCell ref="BO20:BO24"/>
    <mergeCell ref="D21:F21"/>
    <mergeCell ref="BO28:BO30"/>
    <mergeCell ref="D33:F34"/>
    <mergeCell ref="L33:L34"/>
    <mergeCell ref="M33:M34"/>
    <mergeCell ref="N33:N34"/>
    <mergeCell ref="P33:P34"/>
    <mergeCell ref="Q33:Q34"/>
    <mergeCell ref="BG20:BG24"/>
    <mergeCell ref="BH20:BH24"/>
    <mergeCell ref="BI20:BI24"/>
    <mergeCell ref="BJ20:BJ24"/>
    <mergeCell ref="BK20:BK24"/>
    <mergeCell ref="BL20:BL24"/>
    <mergeCell ref="AW20:AW24"/>
    <mergeCell ref="AY20:AY24"/>
    <mergeCell ref="BA20:BA24"/>
    <mergeCell ref="BC20:BC24"/>
    <mergeCell ref="BE20:BE24"/>
    <mergeCell ref="BF20:BF24"/>
    <mergeCell ref="AK20:AK24"/>
    <mergeCell ref="AM20:AM24"/>
    <mergeCell ref="AO20:AO24"/>
    <mergeCell ref="AQ20:AQ24"/>
    <mergeCell ref="AS20:AS24"/>
    <mergeCell ref="AU20:AU24"/>
    <mergeCell ref="Y20:Y24"/>
    <mergeCell ref="AA20:AA24"/>
    <mergeCell ref="AC20:AC24"/>
    <mergeCell ref="AE20:AE24"/>
    <mergeCell ref="AG20:AG24"/>
    <mergeCell ref="AI20:AI24"/>
    <mergeCell ref="BK7:BL8"/>
    <mergeCell ref="BM7:BN8"/>
    <mergeCell ref="BO7:BO9"/>
    <mergeCell ref="BF8:BF9"/>
    <mergeCell ref="BG8:BG9"/>
    <mergeCell ref="BH8:BH9"/>
    <mergeCell ref="BI8:BI9"/>
    <mergeCell ref="BJ8:BJ9"/>
    <mergeCell ref="D20:F20"/>
    <mergeCell ref="L20:L24"/>
    <mergeCell ref="M20:M24"/>
    <mergeCell ref="N20:N24"/>
    <mergeCell ref="P20:P24"/>
    <mergeCell ref="Q20:Q24"/>
    <mergeCell ref="R20:R24"/>
    <mergeCell ref="W20:W24"/>
    <mergeCell ref="X20:X24"/>
    <mergeCell ref="AS8:AT8"/>
    <mergeCell ref="AU8:AV8"/>
    <mergeCell ref="AW8:AX8"/>
    <mergeCell ref="AY8:AZ8"/>
    <mergeCell ref="BA8:BB8"/>
    <mergeCell ref="BE8:BE9"/>
    <mergeCell ref="AG8:AH8"/>
    <mergeCell ref="P7:P9"/>
    <mergeCell ref="Q7:Q9"/>
    <mergeCell ref="R7:R9"/>
    <mergeCell ref="S7:S9"/>
    <mergeCell ref="T7:T9"/>
    <mergeCell ref="U7:U9"/>
    <mergeCell ref="AW7:BB7"/>
    <mergeCell ref="BC7:BD8"/>
    <mergeCell ref="BE7:BJ7"/>
    <mergeCell ref="AI8:AJ8"/>
    <mergeCell ref="AK8:AL8"/>
    <mergeCell ref="AM8:AN8"/>
    <mergeCell ref="AO8:AP8"/>
    <mergeCell ref="AQ8:AR8"/>
    <mergeCell ref="V7:V9"/>
    <mergeCell ref="W7:W9"/>
    <mergeCell ref="I7:I9"/>
    <mergeCell ref="J7:K8"/>
    <mergeCell ref="L7:L9"/>
    <mergeCell ref="M7:M9"/>
    <mergeCell ref="N7:N9"/>
    <mergeCell ref="O7:O9"/>
    <mergeCell ref="A1:BM4"/>
    <mergeCell ref="A5:J6"/>
    <mergeCell ref="L5:BO5"/>
    <mergeCell ref="Y6:BD6"/>
    <mergeCell ref="A7:A9"/>
    <mergeCell ref="B7:C9"/>
    <mergeCell ref="D7:D9"/>
    <mergeCell ref="E7:F9"/>
    <mergeCell ref="G7:G9"/>
    <mergeCell ref="H7:H9"/>
    <mergeCell ref="X7:X9"/>
    <mergeCell ref="Y7:AB7"/>
    <mergeCell ref="AC7:AJ7"/>
    <mergeCell ref="AK7:AV7"/>
    <mergeCell ref="Y8:Z8"/>
    <mergeCell ref="AA8:AB8"/>
    <mergeCell ref="AC8:AD8"/>
    <mergeCell ref="AE8:AF8"/>
  </mergeCells>
  <pageMargins left="0.7" right="0.7" top="0.75" bottom="0.75" header="0.3" footer="0.3"/>
  <pageSetup orientation="portrait" horizontalDpi="360" verticalDpi="36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G28"/>
  <sheetViews>
    <sheetView showGridLines="0" zoomScale="60" zoomScaleNormal="60" workbookViewId="0">
      <selection activeCell="Q12" sqref="Q12:Q13"/>
    </sheetView>
  </sheetViews>
  <sheetFormatPr baseColWidth="10" defaultColWidth="11.42578125" defaultRowHeight="27" customHeight="1" x14ac:dyDescent="0.2"/>
  <cols>
    <col min="1" max="1" width="13.140625" style="222" customWidth="1"/>
    <col min="2" max="2" width="4" style="146" customWidth="1"/>
    <col min="3" max="3" width="15.28515625" style="146" customWidth="1"/>
    <col min="4" max="4" width="14.7109375" style="146" customWidth="1"/>
    <col min="5" max="5" width="10" style="146" customWidth="1"/>
    <col min="6" max="6" width="9.85546875" style="146" customWidth="1"/>
    <col min="7" max="7" width="14.140625" style="146" customWidth="1"/>
    <col min="8" max="8" width="35.28515625" style="223" customWidth="1"/>
    <col min="9" max="9" width="30.7109375" style="223" customWidth="1"/>
    <col min="10" max="11" width="21.140625" style="145" customWidth="1"/>
    <col min="12" max="12" width="35.28515625" style="224" customWidth="1"/>
    <col min="13" max="13" width="26.28515625" style="224" customWidth="1"/>
    <col min="14" max="14" width="36.5703125" style="225" customWidth="1"/>
    <col min="15" max="15" width="16.28515625" style="226" customWidth="1"/>
    <col min="16" max="16" width="30" style="227" customWidth="1"/>
    <col min="17" max="17" width="38" style="225" customWidth="1"/>
    <col min="18" max="18" width="47.140625" style="225" customWidth="1"/>
    <col min="19" max="19" width="36" style="225" customWidth="1"/>
    <col min="20" max="22" width="28.140625" style="235" customWidth="1"/>
    <col min="23" max="23" width="25.5703125" style="229" customWidth="1"/>
    <col min="24" max="24" width="52.140625" style="230" customWidth="1"/>
    <col min="25" max="54" width="13.85546875" style="146" customWidth="1"/>
    <col min="55" max="57" width="16.42578125" style="146" customWidth="1"/>
    <col min="58" max="58" width="29" style="146" customWidth="1"/>
    <col min="59" max="59" width="25" style="146" customWidth="1"/>
    <col min="60" max="60" width="16.42578125" style="146" customWidth="1"/>
    <col min="61" max="61" width="20.42578125" style="146" customWidth="1"/>
    <col min="62" max="62" width="21.140625" style="146" customWidth="1"/>
    <col min="63" max="64" width="20.5703125" style="231" customWidth="1"/>
    <col min="65" max="66" width="20.5703125" style="232" customWidth="1"/>
    <col min="67" max="67" width="27" style="233" customWidth="1"/>
    <col min="68" max="16384" width="11.42578125" style="146"/>
  </cols>
  <sheetData>
    <row r="1" spans="1:85" ht="20.25" customHeight="1" x14ac:dyDescent="0.2">
      <c r="A1" s="1318" t="s">
        <v>391</v>
      </c>
      <c r="B1" s="1318"/>
      <c r="C1" s="1318"/>
      <c r="D1" s="1318"/>
      <c r="E1" s="1318"/>
      <c r="F1" s="1318"/>
      <c r="G1" s="1318"/>
      <c r="H1" s="1318"/>
      <c r="I1" s="1318"/>
      <c r="J1" s="1318"/>
      <c r="K1" s="1318"/>
      <c r="L1" s="1318"/>
      <c r="M1" s="1318"/>
      <c r="N1" s="1318"/>
      <c r="O1" s="1318"/>
      <c r="P1" s="1318"/>
      <c r="Q1" s="1318"/>
      <c r="R1" s="1318"/>
      <c r="S1" s="1318"/>
      <c r="T1" s="1318"/>
      <c r="U1" s="1318"/>
      <c r="V1" s="1318"/>
      <c r="W1" s="1318"/>
      <c r="X1" s="1318"/>
      <c r="Y1" s="1318"/>
      <c r="Z1" s="1318"/>
      <c r="AA1" s="1318"/>
      <c r="AB1" s="1318"/>
      <c r="AC1" s="1318"/>
      <c r="AD1" s="1318"/>
      <c r="AE1" s="1318"/>
      <c r="AF1" s="1318"/>
      <c r="AG1" s="1318"/>
      <c r="AH1" s="1318"/>
      <c r="AI1" s="1318"/>
      <c r="AJ1" s="1318"/>
      <c r="AK1" s="1318"/>
      <c r="AL1" s="1318"/>
      <c r="AM1" s="1318"/>
      <c r="AN1" s="1318"/>
      <c r="AO1" s="1318"/>
      <c r="AP1" s="1318"/>
      <c r="AQ1" s="1318"/>
      <c r="AR1" s="1318"/>
      <c r="AS1" s="1318"/>
      <c r="AT1" s="1318"/>
      <c r="AU1" s="1318"/>
      <c r="AV1" s="1318"/>
      <c r="AW1" s="1318"/>
      <c r="AX1" s="1318"/>
      <c r="AY1" s="1318"/>
      <c r="AZ1" s="1318"/>
      <c r="BA1" s="1318"/>
      <c r="BB1" s="1318"/>
      <c r="BC1" s="1318"/>
      <c r="BD1" s="1318"/>
      <c r="BE1" s="1318"/>
      <c r="BF1" s="1318"/>
      <c r="BG1" s="1318"/>
      <c r="BH1" s="1318"/>
      <c r="BI1" s="1318"/>
      <c r="BJ1" s="1318"/>
      <c r="BK1" s="1318"/>
      <c r="BL1" s="1318"/>
      <c r="BM1" s="1319"/>
      <c r="BN1" s="143" t="s">
        <v>1</v>
      </c>
      <c r="BO1" s="144" t="s">
        <v>392</v>
      </c>
      <c r="BP1" s="145"/>
      <c r="BQ1" s="145"/>
      <c r="BR1" s="145"/>
      <c r="BS1" s="145"/>
      <c r="BT1" s="145"/>
      <c r="BU1" s="145"/>
      <c r="BV1" s="145"/>
      <c r="BW1" s="145"/>
      <c r="BX1" s="145"/>
      <c r="BY1" s="145"/>
      <c r="BZ1" s="145"/>
      <c r="CA1" s="145"/>
      <c r="CB1" s="145"/>
      <c r="CC1" s="145"/>
      <c r="CD1" s="145"/>
      <c r="CE1" s="145"/>
      <c r="CF1" s="145"/>
      <c r="CG1" s="145"/>
    </row>
    <row r="2" spans="1:85" ht="18" customHeight="1" x14ac:dyDescent="0.2">
      <c r="A2" s="1318"/>
      <c r="B2" s="1318"/>
      <c r="C2" s="1318"/>
      <c r="D2" s="1318"/>
      <c r="E2" s="1318"/>
      <c r="F2" s="1318"/>
      <c r="G2" s="1318"/>
      <c r="H2" s="1318"/>
      <c r="I2" s="1318"/>
      <c r="J2" s="1318"/>
      <c r="K2" s="1318"/>
      <c r="L2" s="1318"/>
      <c r="M2" s="1318"/>
      <c r="N2" s="1318"/>
      <c r="O2" s="1318"/>
      <c r="P2" s="1318"/>
      <c r="Q2" s="1318"/>
      <c r="R2" s="1318"/>
      <c r="S2" s="1318"/>
      <c r="T2" s="1318"/>
      <c r="U2" s="1318"/>
      <c r="V2" s="1318"/>
      <c r="W2" s="1318"/>
      <c r="X2" s="1318"/>
      <c r="Y2" s="1318"/>
      <c r="Z2" s="1318"/>
      <c r="AA2" s="1318"/>
      <c r="AB2" s="1318"/>
      <c r="AC2" s="1318"/>
      <c r="AD2" s="1318"/>
      <c r="AE2" s="1318"/>
      <c r="AF2" s="1318"/>
      <c r="AG2" s="1318"/>
      <c r="AH2" s="1318"/>
      <c r="AI2" s="1318"/>
      <c r="AJ2" s="1318"/>
      <c r="AK2" s="1318"/>
      <c r="AL2" s="1318"/>
      <c r="AM2" s="1318"/>
      <c r="AN2" s="1318"/>
      <c r="AO2" s="1318"/>
      <c r="AP2" s="1318"/>
      <c r="AQ2" s="1318"/>
      <c r="AR2" s="1318"/>
      <c r="AS2" s="1318"/>
      <c r="AT2" s="1318"/>
      <c r="AU2" s="1318"/>
      <c r="AV2" s="1318"/>
      <c r="AW2" s="1318"/>
      <c r="AX2" s="1318"/>
      <c r="AY2" s="1318"/>
      <c r="AZ2" s="1318"/>
      <c r="BA2" s="1318"/>
      <c r="BB2" s="1318"/>
      <c r="BC2" s="1318"/>
      <c r="BD2" s="1318"/>
      <c r="BE2" s="1318"/>
      <c r="BF2" s="1318"/>
      <c r="BG2" s="1318"/>
      <c r="BH2" s="1318"/>
      <c r="BI2" s="1318"/>
      <c r="BJ2" s="1318"/>
      <c r="BK2" s="1318"/>
      <c r="BL2" s="1318"/>
      <c r="BM2" s="1319"/>
      <c r="BN2" s="143" t="s">
        <v>3</v>
      </c>
      <c r="BO2" s="144" t="s">
        <v>393</v>
      </c>
      <c r="BP2" s="145"/>
      <c r="BQ2" s="145"/>
      <c r="BR2" s="145"/>
      <c r="BS2" s="145"/>
      <c r="BT2" s="145"/>
      <c r="BU2" s="145"/>
      <c r="BV2" s="145"/>
      <c r="BW2" s="145"/>
      <c r="BX2" s="145"/>
      <c r="BY2" s="145"/>
      <c r="BZ2" s="145"/>
      <c r="CA2" s="145"/>
      <c r="CB2" s="145"/>
      <c r="CC2" s="145"/>
      <c r="CD2" s="145"/>
      <c r="CE2" s="145"/>
      <c r="CF2" s="145"/>
      <c r="CG2" s="145"/>
    </row>
    <row r="3" spans="1:85" ht="19.5" customHeight="1" x14ac:dyDescent="0.2">
      <c r="A3" s="1318"/>
      <c r="B3" s="1318"/>
      <c r="C3" s="1318"/>
      <c r="D3" s="1318"/>
      <c r="E3" s="1318"/>
      <c r="F3" s="1318"/>
      <c r="G3" s="1318"/>
      <c r="H3" s="1318"/>
      <c r="I3" s="1318"/>
      <c r="J3" s="1318"/>
      <c r="K3" s="1318"/>
      <c r="L3" s="1318"/>
      <c r="M3" s="1318"/>
      <c r="N3" s="1318"/>
      <c r="O3" s="1318"/>
      <c r="P3" s="1318"/>
      <c r="Q3" s="1318"/>
      <c r="R3" s="1318"/>
      <c r="S3" s="1318"/>
      <c r="T3" s="1318"/>
      <c r="U3" s="1318"/>
      <c r="V3" s="1318"/>
      <c r="W3" s="1318"/>
      <c r="X3" s="1318"/>
      <c r="Y3" s="1318"/>
      <c r="Z3" s="1318"/>
      <c r="AA3" s="1318"/>
      <c r="AB3" s="1318"/>
      <c r="AC3" s="1318"/>
      <c r="AD3" s="1318"/>
      <c r="AE3" s="1318"/>
      <c r="AF3" s="1318"/>
      <c r="AG3" s="1318"/>
      <c r="AH3" s="1318"/>
      <c r="AI3" s="1318"/>
      <c r="AJ3" s="1318"/>
      <c r="AK3" s="1318"/>
      <c r="AL3" s="1318"/>
      <c r="AM3" s="1318"/>
      <c r="AN3" s="1318"/>
      <c r="AO3" s="1318"/>
      <c r="AP3" s="1318"/>
      <c r="AQ3" s="1318"/>
      <c r="AR3" s="1318"/>
      <c r="AS3" s="1318"/>
      <c r="AT3" s="1318"/>
      <c r="AU3" s="1318"/>
      <c r="AV3" s="1318"/>
      <c r="AW3" s="1318"/>
      <c r="AX3" s="1318"/>
      <c r="AY3" s="1318"/>
      <c r="AZ3" s="1318"/>
      <c r="BA3" s="1318"/>
      <c r="BB3" s="1318"/>
      <c r="BC3" s="1318"/>
      <c r="BD3" s="1318"/>
      <c r="BE3" s="1318"/>
      <c r="BF3" s="1318"/>
      <c r="BG3" s="1318"/>
      <c r="BH3" s="1318"/>
      <c r="BI3" s="1318"/>
      <c r="BJ3" s="1318"/>
      <c r="BK3" s="1318"/>
      <c r="BL3" s="1318"/>
      <c r="BM3" s="1319"/>
      <c r="BN3" s="143" t="s">
        <v>5</v>
      </c>
      <c r="BO3" s="147" t="s">
        <v>6</v>
      </c>
      <c r="BP3" s="145"/>
      <c r="BQ3" s="145"/>
      <c r="BR3" s="145"/>
      <c r="BS3" s="145"/>
      <c r="BT3" s="145"/>
      <c r="BU3" s="145"/>
      <c r="BV3" s="145"/>
      <c r="BW3" s="145"/>
      <c r="BX3" s="145"/>
      <c r="BY3" s="145"/>
      <c r="BZ3" s="145"/>
      <c r="CA3" s="145"/>
      <c r="CB3" s="145"/>
      <c r="CC3" s="145"/>
      <c r="CD3" s="145"/>
      <c r="CE3" s="145"/>
      <c r="CF3" s="145"/>
      <c r="CG3" s="145"/>
    </row>
    <row r="4" spans="1:85" ht="23.25" customHeight="1" x14ac:dyDescent="0.2">
      <c r="A4" s="1320"/>
      <c r="B4" s="1320"/>
      <c r="C4" s="1320"/>
      <c r="D4" s="1320"/>
      <c r="E4" s="1320"/>
      <c r="F4" s="1320"/>
      <c r="G4" s="1320"/>
      <c r="H4" s="1320"/>
      <c r="I4" s="1320"/>
      <c r="J4" s="1320"/>
      <c r="K4" s="1320"/>
      <c r="L4" s="1320"/>
      <c r="M4" s="1320"/>
      <c r="N4" s="1320"/>
      <c r="O4" s="1320"/>
      <c r="P4" s="1320"/>
      <c r="Q4" s="1320"/>
      <c r="R4" s="1320"/>
      <c r="S4" s="1320"/>
      <c r="T4" s="1320"/>
      <c r="U4" s="1320"/>
      <c r="V4" s="1320"/>
      <c r="W4" s="1320"/>
      <c r="X4" s="1320"/>
      <c r="Y4" s="1320"/>
      <c r="Z4" s="1320"/>
      <c r="AA4" s="1320"/>
      <c r="AB4" s="1320"/>
      <c r="AC4" s="1320"/>
      <c r="AD4" s="1320"/>
      <c r="AE4" s="1320"/>
      <c r="AF4" s="1320"/>
      <c r="AG4" s="1320"/>
      <c r="AH4" s="1320"/>
      <c r="AI4" s="1320"/>
      <c r="AJ4" s="1320"/>
      <c r="AK4" s="1320"/>
      <c r="AL4" s="1320"/>
      <c r="AM4" s="1320"/>
      <c r="AN4" s="1320"/>
      <c r="AO4" s="1320"/>
      <c r="AP4" s="1320"/>
      <c r="AQ4" s="1320"/>
      <c r="AR4" s="1320"/>
      <c r="AS4" s="1320"/>
      <c r="AT4" s="1320"/>
      <c r="AU4" s="1320"/>
      <c r="AV4" s="1320"/>
      <c r="AW4" s="1320"/>
      <c r="AX4" s="1320"/>
      <c r="AY4" s="1320"/>
      <c r="AZ4" s="1320"/>
      <c r="BA4" s="1320"/>
      <c r="BB4" s="1320"/>
      <c r="BC4" s="1320"/>
      <c r="BD4" s="1320"/>
      <c r="BE4" s="1320"/>
      <c r="BF4" s="1320"/>
      <c r="BG4" s="1320"/>
      <c r="BH4" s="1320"/>
      <c r="BI4" s="1320"/>
      <c r="BJ4" s="1320"/>
      <c r="BK4" s="1320"/>
      <c r="BL4" s="1320"/>
      <c r="BM4" s="1321"/>
      <c r="BN4" s="143" t="s">
        <v>7</v>
      </c>
      <c r="BO4" s="148" t="s">
        <v>8</v>
      </c>
      <c r="BP4" s="145"/>
      <c r="BQ4" s="145"/>
      <c r="BR4" s="145"/>
      <c r="BS4" s="145"/>
      <c r="BT4" s="145"/>
      <c r="BU4" s="145"/>
      <c r="BV4" s="145"/>
      <c r="BW4" s="145"/>
      <c r="BX4" s="145"/>
      <c r="BY4" s="145"/>
      <c r="BZ4" s="145"/>
      <c r="CA4" s="145"/>
      <c r="CB4" s="145"/>
      <c r="CC4" s="145"/>
      <c r="CD4" s="145"/>
      <c r="CE4" s="145"/>
      <c r="CF4" s="145"/>
      <c r="CG4" s="145"/>
    </row>
    <row r="5" spans="1:85" s="4" customFormat="1" ht="27" customHeight="1" x14ac:dyDescent="0.2">
      <c r="A5" s="1231" t="s">
        <v>9</v>
      </c>
      <c r="B5" s="1231"/>
      <c r="C5" s="1231"/>
      <c r="D5" s="1231"/>
      <c r="E5" s="1231"/>
      <c r="F5" s="1231"/>
      <c r="G5" s="1231"/>
      <c r="H5" s="1231"/>
      <c r="I5" s="1231"/>
      <c r="J5" s="1231"/>
      <c r="K5" s="7"/>
      <c r="L5" s="1233" t="s">
        <v>10</v>
      </c>
      <c r="M5" s="1233"/>
      <c r="N5" s="1233"/>
      <c r="O5" s="1233"/>
      <c r="P5" s="1233"/>
      <c r="Q5" s="1233"/>
      <c r="R5" s="1233"/>
      <c r="S5" s="1233"/>
      <c r="T5" s="1233"/>
      <c r="U5" s="1233"/>
      <c r="V5" s="1233"/>
      <c r="W5" s="1233"/>
      <c r="X5" s="1233"/>
      <c r="Y5" s="1233"/>
      <c r="Z5" s="1233"/>
      <c r="AA5" s="1233"/>
      <c r="AB5" s="1233"/>
      <c r="AC5" s="1233"/>
      <c r="AD5" s="1233"/>
      <c r="AE5" s="1233"/>
      <c r="AF5" s="1233"/>
      <c r="AG5" s="1233"/>
      <c r="AH5" s="1233"/>
      <c r="AI5" s="1233"/>
      <c r="AJ5" s="1233"/>
      <c r="AK5" s="1233"/>
      <c r="AL5" s="1233"/>
      <c r="AM5" s="1233"/>
      <c r="AN5" s="1233"/>
      <c r="AO5" s="1233"/>
      <c r="AP5" s="1233"/>
      <c r="AQ5" s="1233"/>
      <c r="AR5" s="1233"/>
      <c r="AS5" s="1233"/>
      <c r="AT5" s="1233"/>
      <c r="AU5" s="1233"/>
      <c r="AV5" s="1233"/>
      <c r="AW5" s="1233"/>
      <c r="AX5" s="1233"/>
      <c r="AY5" s="1233"/>
      <c r="AZ5" s="1233"/>
      <c r="BA5" s="1233"/>
      <c r="BB5" s="1233"/>
      <c r="BC5" s="1233"/>
      <c r="BD5" s="1233"/>
      <c r="BE5" s="1233"/>
      <c r="BF5" s="1233"/>
      <c r="BG5" s="1233"/>
      <c r="BH5" s="1233"/>
      <c r="BI5" s="1233"/>
      <c r="BJ5" s="1233"/>
      <c r="BK5" s="1233"/>
      <c r="BL5" s="1233"/>
      <c r="BM5" s="1233"/>
      <c r="BN5" s="1233"/>
      <c r="BO5" s="1233"/>
      <c r="BP5" s="3"/>
      <c r="BQ5" s="3"/>
      <c r="BR5" s="3"/>
      <c r="BS5" s="3"/>
      <c r="BT5" s="3"/>
      <c r="BU5" s="3"/>
      <c r="BV5" s="3"/>
      <c r="BW5" s="3"/>
      <c r="BX5" s="3"/>
      <c r="BY5" s="3"/>
      <c r="BZ5" s="3"/>
      <c r="CA5" s="3"/>
      <c r="CB5" s="3"/>
      <c r="CC5" s="3"/>
      <c r="CD5" s="3"/>
      <c r="CE5" s="3"/>
      <c r="CF5" s="3"/>
    </row>
    <row r="6" spans="1:85" s="4" customFormat="1" ht="27" customHeight="1" thickBot="1" x14ac:dyDescent="0.25">
      <c r="A6" s="1232"/>
      <c r="B6" s="1232"/>
      <c r="C6" s="1232"/>
      <c r="D6" s="1232"/>
      <c r="E6" s="1232"/>
      <c r="F6" s="1232"/>
      <c r="G6" s="1232"/>
      <c r="H6" s="1232"/>
      <c r="I6" s="1232"/>
      <c r="J6" s="1232"/>
      <c r="K6" s="8"/>
      <c r="L6" s="239"/>
      <c r="M6" s="10"/>
      <c r="N6" s="240"/>
      <c r="O6" s="8"/>
      <c r="P6" s="10"/>
      <c r="Q6" s="240"/>
      <c r="R6" s="240"/>
      <c r="S6" s="240"/>
      <c r="T6" s="10"/>
      <c r="U6" s="10"/>
      <c r="V6" s="10"/>
      <c r="W6" s="10"/>
      <c r="X6" s="10"/>
      <c r="Y6" s="1233" t="s">
        <v>11</v>
      </c>
      <c r="Z6" s="1233"/>
      <c r="AA6" s="1233"/>
      <c r="AB6" s="1233"/>
      <c r="AC6" s="1233"/>
      <c r="AD6" s="1233"/>
      <c r="AE6" s="1233"/>
      <c r="AF6" s="1233"/>
      <c r="AG6" s="1233"/>
      <c r="AH6" s="1233"/>
      <c r="AI6" s="1233"/>
      <c r="AJ6" s="1233"/>
      <c r="AK6" s="1233"/>
      <c r="AL6" s="1233"/>
      <c r="AM6" s="1233"/>
      <c r="AN6" s="1233"/>
      <c r="AO6" s="1233"/>
      <c r="AP6" s="1233"/>
      <c r="AQ6" s="1233"/>
      <c r="AR6" s="1233"/>
      <c r="AS6" s="1233"/>
      <c r="AT6" s="1233"/>
      <c r="AU6" s="1233"/>
      <c r="AV6" s="1233"/>
      <c r="AW6" s="1233"/>
      <c r="AX6" s="1233"/>
      <c r="AY6" s="1233"/>
      <c r="AZ6" s="1233"/>
      <c r="BA6" s="1233"/>
      <c r="BB6" s="1233"/>
      <c r="BC6" s="1233"/>
      <c r="BD6" s="1233"/>
      <c r="BE6" s="8"/>
      <c r="BF6" s="8"/>
      <c r="BG6" s="8"/>
      <c r="BH6" s="8"/>
      <c r="BI6" s="8"/>
      <c r="BJ6" s="8"/>
      <c r="BK6" s="8"/>
      <c r="BL6" s="8"/>
      <c r="BM6" s="8"/>
      <c r="BN6" s="8"/>
      <c r="BO6" s="11"/>
      <c r="BP6" s="3"/>
      <c r="BQ6" s="3"/>
      <c r="BR6" s="3"/>
      <c r="BS6" s="3"/>
      <c r="BT6" s="3"/>
      <c r="BU6" s="3"/>
      <c r="BV6" s="3"/>
      <c r="BW6" s="3"/>
      <c r="BX6" s="3"/>
      <c r="BY6" s="3"/>
      <c r="BZ6" s="3"/>
      <c r="CA6" s="3"/>
      <c r="CB6" s="3"/>
      <c r="CC6" s="3"/>
      <c r="CD6" s="3"/>
      <c r="CE6" s="3"/>
      <c r="CF6" s="3"/>
    </row>
    <row r="7" spans="1:85" s="4" customFormat="1" ht="43.5" customHeight="1" x14ac:dyDescent="0.2">
      <c r="A7" s="1234" t="s">
        <v>12</v>
      </c>
      <c r="B7" s="1221" t="s">
        <v>13</v>
      </c>
      <c r="C7" s="1221"/>
      <c r="D7" s="1221" t="s">
        <v>12</v>
      </c>
      <c r="E7" s="1221" t="s">
        <v>14</v>
      </c>
      <c r="F7" s="1221"/>
      <c r="G7" s="1237" t="s">
        <v>12</v>
      </c>
      <c r="H7" s="1221" t="s">
        <v>15</v>
      </c>
      <c r="I7" s="1221" t="s">
        <v>16</v>
      </c>
      <c r="J7" s="1222" t="s">
        <v>17</v>
      </c>
      <c r="K7" s="1223"/>
      <c r="L7" s="1221" t="s">
        <v>18</v>
      </c>
      <c r="M7" s="1221" t="s">
        <v>19</v>
      </c>
      <c r="N7" s="1221" t="s">
        <v>10</v>
      </c>
      <c r="O7" s="1226" t="s">
        <v>20</v>
      </c>
      <c r="P7" s="1253" t="s">
        <v>21</v>
      </c>
      <c r="Q7" s="1221" t="s">
        <v>22</v>
      </c>
      <c r="R7" s="1221" t="s">
        <v>23</v>
      </c>
      <c r="S7" s="1221" t="s">
        <v>24</v>
      </c>
      <c r="T7" s="1253" t="s">
        <v>21</v>
      </c>
      <c r="U7" s="1253" t="s">
        <v>25</v>
      </c>
      <c r="V7" s="1253" t="s">
        <v>26</v>
      </c>
      <c r="W7" s="1264" t="s">
        <v>12</v>
      </c>
      <c r="X7" s="1221" t="s">
        <v>27</v>
      </c>
      <c r="Y7" s="1240" t="s">
        <v>28</v>
      </c>
      <c r="Z7" s="1241"/>
      <c r="AA7" s="1241"/>
      <c r="AB7" s="1242"/>
      <c r="AC7" s="1243" t="s">
        <v>29</v>
      </c>
      <c r="AD7" s="1244"/>
      <c r="AE7" s="1244"/>
      <c r="AF7" s="1244"/>
      <c r="AG7" s="1244"/>
      <c r="AH7" s="1244"/>
      <c r="AI7" s="1244"/>
      <c r="AJ7" s="1245"/>
      <c r="AK7" s="1246" t="s">
        <v>30</v>
      </c>
      <c r="AL7" s="1247"/>
      <c r="AM7" s="1247"/>
      <c r="AN7" s="1247"/>
      <c r="AO7" s="1247"/>
      <c r="AP7" s="1247"/>
      <c r="AQ7" s="1247"/>
      <c r="AR7" s="1247"/>
      <c r="AS7" s="1247"/>
      <c r="AT7" s="1247"/>
      <c r="AU7" s="1247"/>
      <c r="AV7" s="1248"/>
      <c r="AW7" s="1254" t="s">
        <v>31</v>
      </c>
      <c r="AX7" s="1255"/>
      <c r="AY7" s="1255"/>
      <c r="AZ7" s="1255"/>
      <c r="BA7" s="1255"/>
      <c r="BB7" s="1256"/>
      <c r="BC7" s="1257" t="s">
        <v>32</v>
      </c>
      <c r="BD7" s="1258"/>
      <c r="BE7" s="1261" t="s">
        <v>33</v>
      </c>
      <c r="BF7" s="1262"/>
      <c r="BG7" s="1262"/>
      <c r="BH7" s="1262"/>
      <c r="BI7" s="1262"/>
      <c r="BJ7" s="1263"/>
      <c r="BK7" s="1265" t="s">
        <v>34</v>
      </c>
      <c r="BL7" s="1265"/>
      <c r="BM7" s="1266" t="s">
        <v>35</v>
      </c>
      <c r="BN7" s="1267"/>
      <c r="BO7" s="1270" t="s">
        <v>36</v>
      </c>
      <c r="BP7" s="3"/>
      <c r="BQ7" s="3"/>
      <c r="BR7" s="3"/>
      <c r="BS7" s="3"/>
      <c r="BT7" s="3"/>
      <c r="BU7" s="3"/>
      <c r="BV7" s="3"/>
      <c r="BW7" s="3"/>
      <c r="BX7" s="3"/>
      <c r="BY7" s="3"/>
      <c r="BZ7" s="3"/>
      <c r="CA7" s="3"/>
      <c r="CB7" s="3"/>
      <c r="CC7" s="3"/>
      <c r="CD7" s="3"/>
      <c r="CE7" s="3"/>
      <c r="CF7" s="3"/>
    </row>
    <row r="8" spans="1:85" s="4" customFormat="1" ht="120.75" customHeight="1" x14ac:dyDescent="0.2">
      <c r="A8" s="1235"/>
      <c r="B8" s="1221"/>
      <c r="C8" s="1221"/>
      <c r="D8" s="1221"/>
      <c r="E8" s="1221"/>
      <c r="F8" s="1221"/>
      <c r="G8" s="1238"/>
      <c r="H8" s="1221"/>
      <c r="I8" s="1221"/>
      <c r="J8" s="1224"/>
      <c r="K8" s="1225"/>
      <c r="L8" s="1221"/>
      <c r="M8" s="1221"/>
      <c r="N8" s="1221"/>
      <c r="O8" s="1226"/>
      <c r="P8" s="1253"/>
      <c r="Q8" s="1221"/>
      <c r="R8" s="1221"/>
      <c r="S8" s="1221"/>
      <c r="T8" s="1253"/>
      <c r="U8" s="1253"/>
      <c r="V8" s="1253"/>
      <c r="W8" s="1264"/>
      <c r="X8" s="1221"/>
      <c r="Y8" s="1249" t="s">
        <v>37</v>
      </c>
      <c r="Z8" s="1250"/>
      <c r="AA8" s="1251" t="s">
        <v>38</v>
      </c>
      <c r="AB8" s="1252"/>
      <c r="AC8" s="1249" t="s">
        <v>39</v>
      </c>
      <c r="AD8" s="1250"/>
      <c r="AE8" s="1249" t="s">
        <v>40</v>
      </c>
      <c r="AF8" s="1250"/>
      <c r="AG8" s="1249" t="s">
        <v>41</v>
      </c>
      <c r="AH8" s="1250"/>
      <c r="AI8" s="1249" t="s">
        <v>42</v>
      </c>
      <c r="AJ8" s="1250"/>
      <c r="AK8" s="1249" t="s">
        <v>43</v>
      </c>
      <c r="AL8" s="1250"/>
      <c r="AM8" s="1249" t="s">
        <v>44</v>
      </c>
      <c r="AN8" s="1250"/>
      <c r="AO8" s="1249" t="s">
        <v>45</v>
      </c>
      <c r="AP8" s="1250"/>
      <c r="AQ8" s="1249" t="s">
        <v>46</v>
      </c>
      <c r="AR8" s="1250"/>
      <c r="AS8" s="1249" t="s">
        <v>47</v>
      </c>
      <c r="AT8" s="1250"/>
      <c r="AU8" s="1249" t="s">
        <v>48</v>
      </c>
      <c r="AV8" s="1250"/>
      <c r="AW8" s="1249" t="s">
        <v>49</v>
      </c>
      <c r="AX8" s="1250"/>
      <c r="AY8" s="1249" t="s">
        <v>50</v>
      </c>
      <c r="AZ8" s="1250"/>
      <c r="BA8" s="1302" t="s">
        <v>51</v>
      </c>
      <c r="BB8" s="1302"/>
      <c r="BC8" s="1259"/>
      <c r="BD8" s="1260"/>
      <c r="BE8" s="1274" t="s">
        <v>52</v>
      </c>
      <c r="BF8" s="1273" t="s">
        <v>53</v>
      </c>
      <c r="BG8" s="1274" t="s">
        <v>54</v>
      </c>
      <c r="BH8" s="1275" t="s">
        <v>55</v>
      </c>
      <c r="BI8" s="1274" t="s">
        <v>56</v>
      </c>
      <c r="BJ8" s="1276" t="s">
        <v>57</v>
      </c>
      <c r="BK8" s="1265"/>
      <c r="BL8" s="1265"/>
      <c r="BM8" s="1268"/>
      <c r="BN8" s="1269"/>
      <c r="BO8" s="1271"/>
      <c r="BP8" s="3"/>
      <c r="BQ8" s="3"/>
      <c r="BR8" s="3"/>
      <c r="BS8" s="3"/>
      <c r="BT8" s="3"/>
      <c r="BU8" s="3"/>
      <c r="BV8" s="3"/>
      <c r="BW8" s="3"/>
      <c r="BX8" s="3"/>
      <c r="BY8" s="3"/>
      <c r="BZ8" s="3"/>
      <c r="CA8" s="3"/>
      <c r="CB8" s="3"/>
      <c r="CC8" s="3"/>
      <c r="CD8" s="3"/>
      <c r="CE8" s="3"/>
      <c r="CF8" s="3"/>
    </row>
    <row r="9" spans="1:85" s="4" customFormat="1" ht="21.75" customHeight="1" x14ac:dyDescent="0.2">
      <c r="A9" s="1236"/>
      <c r="B9" s="1221"/>
      <c r="C9" s="1221"/>
      <c r="D9" s="1221"/>
      <c r="E9" s="1221"/>
      <c r="F9" s="1221"/>
      <c r="G9" s="1239"/>
      <c r="H9" s="1221"/>
      <c r="I9" s="1221"/>
      <c r="J9" s="12" t="s">
        <v>58</v>
      </c>
      <c r="K9" s="12" t="s">
        <v>59</v>
      </c>
      <c r="L9" s="1221"/>
      <c r="M9" s="1221"/>
      <c r="N9" s="1221"/>
      <c r="O9" s="1226"/>
      <c r="P9" s="1253"/>
      <c r="Q9" s="1221"/>
      <c r="R9" s="1221"/>
      <c r="S9" s="1221"/>
      <c r="T9" s="1253"/>
      <c r="U9" s="1253"/>
      <c r="V9" s="1253"/>
      <c r="W9" s="1264"/>
      <c r="X9" s="1221"/>
      <c r="Y9" s="12" t="s">
        <v>58</v>
      </c>
      <c r="Z9" s="12" t="s">
        <v>60</v>
      </c>
      <c r="AA9" s="12" t="s">
        <v>58</v>
      </c>
      <c r="AB9" s="12" t="s">
        <v>60</v>
      </c>
      <c r="AC9" s="12" t="s">
        <v>58</v>
      </c>
      <c r="AD9" s="12" t="s">
        <v>60</v>
      </c>
      <c r="AE9" s="12" t="s">
        <v>58</v>
      </c>
      <c r="AF9" s="12" t="s">
        <v>60</v>
      </c>
      <c r="AG9" s="12" t="s">
        <v>58</v>
      </c>
      <c r="AH9" s="12" t="s">
        <v>60</v>
      </c>
      <c r="AI9" s="12" t="s">
        <v>58</v>
      </c>
      <c r="AJ9" s="12" t="s">
        <v>60</v>
      </c>
      <c r="AK9" s="12" t="s">
        <v>58</v>
      </c>
      <c r="AL9" s="12" t="s">
        <v>60</v>
      </c>
      <c r="AM9" s="12" t="s">
        <v>58</v>
      </c>
      <c r="AN9" s="12" t="s">
        <v>60</v>
      </c>
      <c r="AO9" s="12" t="s">
        <v>58</v>
      </c>
      <c r="AP9" s="12" t="s">
        <v>60</v>
      </c>
      <c r="AQ9" s="12" t="s">
        <v>58</v>
      </c>
      <c r="AR9" s="12" t="s">
        <v>60</v>
      </c>
      <c r="AS9" s="12" t="s">
        <v>58</v>
      </c>
      <c r="AT9" s="12" t="s">
        <v>60</v>
      </c>
      <c r="AU9" s="12" t="s">
        <v>58</v>
      </c>
      <c r="AV9" s="12" t="s">
        <v>60</v>
      </c>
      <c r="AW9" s="12" t="s">
        <v>58</v>
      </c>
      <c r="AX9" s="12" t="s">
        <v>60</v>
      </c>
      <c r="AY9" s="12" t="s">
        <v>58</v>
      </c>
      <c r="AZ9" s="12" t="s">
        <v>60</v>
      </c>
      <c r="BA9" s="12" t="s">
        <v>58</v>
      </c>
      <c r="BB9" s="12" t="s">
        <v>60</v>
      </c>
      <c r="BC9" s="12" t="s">
        <v>58</v>
      </c>
      <c r="BD9" s="12" t="s">
        <v>60</v>
      </c>
      <c r="BE9" s="1274"/>
      <c r="BF9" s="1273"/>
      <c r="BG9" s="1274"/>
      <c r="BH9" s="1275"/>
      <c r="BI9" s="1274"/>
      <c r="BJ9" s="1277"/>
      <c r="BK9" s="13" t="s">
        <v>58</v>
      </c>
      <c r="BL9" s="13" t="s">
        <v>60</v>
      </c>
      <c r="BM9" s="13" t="s">
        <v>58</v>
      </c>
      <c r="BN9" s="13" t="s">
        <v>60</v>
      </c>
      <c r="BO9" s="1272"/>
      <c r="BP9" s="3"/>
      <c r="BQ9" s="3"/>
      <c r="BR9" s="3"/>
      <c r="BS9" s="3"/>
      <c r="BT9" s="3"/>
      <c r="BU9" s="3"/>
      <c r="BV9" s="3"/>
      <c r="BW9" s="3"/>
      <c r="BX9" s="3"/>
      <c r="BY9" s="3"/>
      <c r="BZ9" s="3"/>
      <c r="CA9" s="3"/>
      <c r="CB9" s="3"/>
      <c r="CC9" s="3"/>
      <c r="CD9" s="3"/>
      <c r="CE9" s="3"/>
      <c r="CF9" s="3"/>
    </row>
    <row r="10" spans="1:85" s="91" customFormat="1" ht="15.75" x14ac:dyDescent="0.2">
      <c r="A10" s="155">
        <v>1</v>
      </c>
      <c r="B10" s="156" t="s">
        <v>156</v>
      </c>
      <c r="C10" s="157"/>
      <c r="D10" s="158"/>
      <c r="E10" s="158"/>
      <c r="F10" s="158"/>
      <c r="G10" s="158"/>
      <c r="H10" s="159"/>
      <c r="I10" s="159"/>
      <c r="J10" s="158"/>
      <c r="K10" s="158"/>
      <c r="L10" s="160"/>
      <c r="M10" s="160"/>
      <c r="N10" s="161"/>
      <c r="O10" s="162"/>
      <c r="P10" s="163"/>
      <c r="Q10" s="161"/>
      <c r="R10" s="161"/>
      <c r="S10" s="161"/>
      <c r="T10" s="164"/>
      <c r="U10" s="164"/>
      <c r="V10" s="164"/>
      <c r="W10" s="165"/>
      <c r="X10" s="160"/>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66"/>
      <c r="BL10" s="166"/>
      <c r="BM10" s="166"/>
      <c r="BN10" s="166"/>
      <c r="BO10" s="161"/>
      <c r="BP10" s="3"/>
      <c r="BQ10" s="3"/>
      <c r="BR10" s="3"/>
      <c r="BS10" s="3"/>
      <c r="BT10" s="3"/>
      <c r="BU10" s="3"/>
      <c r="BV10" s="3"/>
      <c r="BW10" s="3"/>
      <c r="BX10" s="3"/>
      <c r="BY10" s="3"/>
      <c r="BZ10" s="3"/>
      <c r="CA10" s="3"/>
      <c r="CB10" s="3"/>
      <c r="CC10" s="3"/>
      <c r="CD10" s="3"/>
      <c r="CE10" s="3"/>
      <c r="CF10" s="3"/>
      <c r="CG10" s="3"/>
    </row>
    <row r="11" spans="1:85" s="3" customFormat="1" ht="23.25" customHeight="1" x14ac:dyDescent="0.2">
      <c r="A11" s="167"/>
      <c r="B11" s="1374"/>
      <c r="C11" s="1375"/>
      <c r="D11" s="492">
        <v>25</v>
      </c>
      <c r="E11" s="1482" t="s">
        <v>186</v>
      </c>
      <c r="F11" s="1483"/>
      <c r="G11" s="1483"/>
      <c r="H11" s="1483"/>
      <c r="I11" s="1483"/>
      <c r="J11" s="1483"/>
      <c r="K11" s="1483"/>
      <c r="L11" s="1483"/>
      <c r="M11" s="1484"/>
      <c r="N11" s="169"/>
      <c r="O11" s="170"/>
      <c r="P11" s="171"/>
      <c r="Q11" s="169"/>
      <c r="R11" s="169"/>
      <c r="S11" s="169"/>
      <c r="T11" s="172"/>
      <c r="U11" s="172"/>
      <c r="V11" s="172"/>
      <c r="W11" s="173"/>
      <c r="X11" s="174"/>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175"/>
      <c r="BK11" s="176"/>
      <c r="BL11" s="176"/>
      <c r="BM11" s="176"/>
      <c r="BN11" s="176"/>
      <c r="BO11" s="169"/>
      <c r="BP11" s="177"/>
    </row>
    <row r="12" spans="1:85" s="3" customFormat="1" ht="110.25" customHeight="1" x14ac:dyDescent="0.2">
      <c r="A12" s="28"/>
      <c r="B12" s="1378"/>
      <c r="C12" s="1485"/>
      <c r="D12" s="61"/>
      <c r="E12" s="1379"/>
      <c r="F12" s="1380"/>
      <c r="G12" s="496">
        <v>3301087</v>
      </c>
      <c r="H12" s="69" t="s">
        <v>394</v>
      </c>
      <c r="I12" s="181" t="s">
        <v>358</v>
      </c>
      <c r="J12" s="34">
        <v>1600</v>
      </c>
      <c r="K12" s="34">
        <v>172</v>
      </c>
      <c r="L12" s="1281" t="s">
        <v>395</v>
      </c>
      <c r="M12" s="1486" t="s">
        <v>396</v>
      </c>
      <c r="N12" s="1488" t="s">
        <v>397</v>
      </c>
      <c r="O12" s="38">
        <f>+T12/P12</f>
        <v>0.37168568640866945</v>
      </c>
      <c r="P12" s="1490">
        <f>+T12+T13</f>
        <v>2082807515.3499999</v>
      </c>
      <c r="Q12" s="1293" t="s">
        <v>398</v>
      </c>
      <c r="R12" s="1455" t="s">
        <v>399</v>
      </c>
      <c r="S12" s="69" t="s">
        <v>394</v>
      </c>
      <c r="T12" s="499">
        <v>774149741</v>
      </c>
      <c r="U12" s="185">
        <v>78400000</v>
      </c>
      <c r="V12" s="185">
        <v>78400000</v>
      </c>
      <c r="W12" s="1303" t="s">
        <v>400</v>
      </c>
      <c r="X12" s="1293" t="s">
        <v>401</v>
      </c>
      <c r="Y12" s="1480">
        <v>85275</v>
      </c>
      <c r="Z12" s="1480"/>
      <c r="AA12" s="1480">
        <v>85275</v>
      </c>
      <c r="AB12" s="1480"/>
      <c r="AC12" s="1480">
        <v>25580</v>
      </c>
      <c r="AD12" s="1480"/>
      <c r="AE12" s="1480">
        <v>42638</v>
      </c>
      <c r="AF12" s="1480"/>
      <c r="AG12" s="1480">
        <v>68221</v>
      </c>
      <c r="AH12" s="1480"/>
      <c r="AI12" s="1480">
        <v>17055</v>
      </c>
      <c r="AJ12" s="1480"/>
      <c r="AK12" s="1480">
        <v>8528</v>
      </c>
      <c r="AL12" s="1480"/>
      <c r="AM12" s="1480">
        <v>8528</v>
      </c>
      <c r="AN12" s="1480"/>
      <c r="AO12" s="1480">
        <v>0</v>
      </c>
      <c r="AP12" s="1480"/>
      <c r="AQ12" s="1480">
        <v>0</v>
      </c>
      <c r="AR12" s="1480"/>
      <c r="AS12" s="1480">
        <v>0</v>
      </c>
      <c r="AT12" s="1480"/>
      <c r="AU12" s="1480">
        <v>0</v>
      </c>
      <c r="AV12" s="1480"/>
      <c r="AW12" s="1480">
        <v>0</v>
      </c>
      <c r="AX12" s="1480"/>
      <c r="AY12" s="1480">
        <v>0</v>
      </c>
      <c r="AZ12" s="1480"/>
      <c r="BA12" s="1480">
        <v>0</v>
      </c>
      <c r="BB12" s="1480"/>
      <c r="BC12" s="1480">
        <v>170550</v>
      </c>
      <c r="BD12" s="1480"/>
      <c r="BE12" s="1480"/>
      <c r="BF12" s="1480">
        <f>SUM(U12:U13)</f>
        <v>104000000</v>
      </c>
      <c r="BG12" s="1480">
        <f>SUM(V12:V13)</f>
        <v>101200000</v>
      </c>
      <c r="BH12" s="1312">
        <f>BG12/BF12</f>
        <v>0.97307692307692306</v>
      </c>
      <c r="BI12" s="1480" t="s">
        <v>402</v>
      </c>
      <c r="BJ12" s="1480"/>
      <c r="BK12" s="1492">
        <v>43832</v>
      </c>
      <c r="BL12" s="1480"/>
      <c r="BM12" s="1492">
        <v>44195</v>
      </c>
      <c r="BN12" s="1480"/>
      <c r="BO12" s="1458" t="s">
        <v>403</v>
      </c>
      <c r="BP12" s="191"/>
    </row>
    <row r="13" spans="1:85" s="3" customFormat="1" ht="107.25" customHeight="1" x14ac:dyDescent="0.2">
      <c r="A13" s="28"/>
      <c r="B13" s="1378"/>
      <c r="C13" s="1485"/>
      <c r="D13" s="65"/>
      <c r="E13" s="1279"/>
      <c r="F13" s="1280"/>
      <c r="G13" s="496">
        <v>3301073</v>
      </c>
      <c r="H13" s="69" t="s">
        <v>404</v>
      </c>
      <c r="I13" s="181" t="s">
        <v>405</v>
      </c>
      <c r="J13" s="34">
        <v>200</v>
      </c>
      <c r="K13" s="34">
        <v>162</v>
      </c>
      <c r="L13" s="1283"/>
      <c r="M13" s="1487"/>
      <c r="N13" s="1489"/>
      <c r="O13" s="38">
        <f>+T13/P12</f>
        <v>0.62831431359133061</v>
      </c>
      <c r="P13" s="1491"/>
      <c r="Q13" s="1295"/>
      <c r="R13" s="1457"/>
      <c r="S13" s="69" t="s">
        <v>404</v>
      </c>
      <c r="T13" s="501">
        <v>1308657774.3499999</v>
      </c>
      <c r="U13" s="501">
        <v>25600000</v>
      </c>
      <c r="V13" s="501">
        <v>22800000</v>
      </c>
      <c r="W13" s="1305"/>
      <c r="X13" s="1295"/>
      <c r="Y13" s="1481"/>
      <c r="Z13" s="1481"/>
      <c r="AA13" s="1481"/>
      <c r="AB13" s="1481"/>
      <c r="AC13" s="1481"/>
      <c r="AD13" s="1481"/>
      <c r="AE13" s="1481"/>
      <c r="AF13" s="1481"/>
      <c r="AG13" s="1481"/>
      <c r="AH13" s="1481"/>
      <c r="AI13" s="1481"/>
      <c r="AJ13" s="1481"/>
      <c r="AK13" s="1481"/>
      <c r="AL13" s="1481"/>
      <c r="AM13" s="1481"/>
      <c r="AN13" s="1481"/>
      <c r="AO13" s="1481"/>
      <c r="AP13" s="1481"/>
      <c r="AQ13" s="1481"/>
      <c r="AR13" s="1481"/>
      <c r="AS13" s="1481"/>
      <c r="AT13" s="1481"/>
      <c r="AU13" s="1481"/>
      <c r="AV13" s="1481"/>
      <c r="AW13" s="1481"/>
      <c r="AX13" s="1481"/>
      <c r="AY13" s="1481"/>
      <c r="AZ13" s="1481"/>
      <c r="BA13" s="1481"/>
      <c r="BB13" s="1481"/>
      <c r="BC13" s="1481"/>
      <c r="BD13" s="1481"/>
      <c r="BE13" s="1481"/>
      <c r="BF13" s="1481"/>
      <c r="BG13" s="1481"/>
      <c r="BH13" s="1314"/>
      <c r="BI13" s="1481"/>
      <c r="BJ13" s="1481"/>
      <c r="BK13" s="1493"/>
      <c r="BL13" s="1481"/>
      <c r="BM13" s="1493"/>
      <c r="BN13" s="1481"/>
      <c r="BO13" s="1460" t="s">
        <v>406</v>
      </c>
      <c r="BP13" s="191"/>
    </row>
    <row r="14" spans="1:85" s="4" customFormat="1" ht="69.75" customHeight="1" x14ac:dyDescent="0.2">
      <c r="A14" s="283"/>
      <c r="B14" s="1378"/>
      <c r="C14" s="1485"/>
      <c r="D14" s="91"/>
      <c r="E14" s="1279"/>
      <c r="F14" s="1280"/>
      <c r="G14" s="496" t="s">
        <v>407</v>
      </c>
      <c r="H14" s="69" t="s">
        <v>408</v>
      </c>
      <c r="I14" s="181" t="s">
        <v>409</v>
      </c>
      <c r="J14" s="92">
        <v>958</v>
      </c>
      <c r="K14" s="92">
        <v>0</v>
      </c>
      <c r="L14" s="1281" t="s">
        <v>410</v>
      </c>
      <c r="M14" s="1496" t="s">
        <v>411</v>
      </c>
      <c r="N14" s="1497" t="s">
        <v>412</v>
      </c>
      <c r="O14" s="285">
        <f>+T14/P14</f>
        <v>0.53707208745911694</v>
      </c>
      <c r="P14" s="1490">
        <f>+T14+T15</f>
        <v>204814218.74000001</v>
      </c>
      <c r="Q14" s="1296" t="s">
        <v>413</v>
      </c>
      <c r="R14" s="1296" t="s">
        <v>414</v>
      </c>
      <c r="S14" s="69" t="s">
        <v>408</v>
      </c>
      <c r="T14" s="501">
        <v>110000000</v>
      </c>
      <c r="U14" s="504"/>
      <c r="V14" s="504"/>
      <c r="W14" s="1438" t="s">
        <v>415</v>
      </c>
      <c r="X14" s="1293" t="s">
        <v>416</v>
      </c>
      <c r="Y14" s="1494">
        <v>137900</v>
      </c>
      <c r="Z14" s="505"/>
      <c r="AA14" s="1494">
        <v>133058</v>
      </c>
      <c r="AB14" s="505"/>
      <c r="AC14" s="1494">
        <v>63153</v>
      </c>
      <c r="AD14" s="505"/>
      <c r="AE14" s="1494">
        <v>20619</v>
      </c>
      <c r="AF14" s="505"/>
      <c r="AG14" s="1494">
        <v>144038</v>
      </c>
      <c r="AH14" s="505"/>
      <c r="AI14" s="1494">
        <v>43148</v>
      </c>
      <c r="AJ14" s="505"/>
      <c r="AK14" s="1494">
        <v>999</v>
      </c>
      <c r="AL14" s="505"/>
      <c r="AM14" s="1494">
        <v>5926</v>
      </c>
      <c r="AN14" s="505"/>
      <c r="AO14" s="1494">
        <v>12</v>
      </c>
      <c r="AP14" s="505"/>
      <c r="AQ14" s="1494">
        <v>17</v>
      </c>
      <c r="AR14" s="505"/>
      <c r="AS14" s="1494"/>
      <c r="AT14" s="505"/>
      <c r="AU14" s="1494"/>
      <c r="AV14" s="505"/>
      <c r="AW14" s="1494">
        <v>20664</v>
      </c>
      <c r="AX14" s="505"/>
      <c r="AY14" s="1494">
        <v>10224</v>
      </c>
      <c r="AZ14" s="505"/>
      <c r="BA14" s="1494">
        <v>35264</v>
      </c>
      <c r="BB14" s="505"/>
      <c r="BC14" s="1494">
        <f>+Y14+AA14</f>
        <v>270958</v>
      </c>
      <c r="BD14" s="505"/>
      <c r="BE14" s="505"/>
      <c r="BF14" s="505"/>
      <c r="BG14" s="505"/>
      <c r="BH14" s="505"/>
      <c r="BI14" s="505"/>
      <c r="BJ14" s="505"/>
      <c r="BK14" s="1492">
        <v>44033</v>
      </c>
      <c r="BL14" s="207"/>
      <c r="BM14" s="1492">
        <v>44195</v>
      </c>
      <c r="BN14" s="207"/>
      <c r="BO14" s="1287" t="s">
        <v>403</v>
      </c>
      <c r="BP14" s="91"/>
    </row>
    <row r="15" spans="1:85" s="4" customFormat="1" ht="77.25" customHeight="1" x14ac:dyDescent="0.2">
      <c r="A15" s="283"/>
      <c r="B15" s="1378"/>
      <c r="C15" s="1485"/>
      <c r="D15" s="91"/>
      <c r="E15" s="1279"/>
      <c r="F15" s="1280"/>
      <c r="G15" s="496" t="s">
        <v>417</v>
      </c>
      <c r="H15" s="69" t="s">
        <v>418</v>
      </c>
      <c r="I15" s="181" t="s">
        <v>419</v>
      </c>
      <c r="J15" s="92">
        <v>5</v>
      </c>
      <c r="K15" s="92">
        <v>0</v>
      </c>
      <c r="L15" s="1283"/>
      <c r="M15" s="1496"/>
      <c r="N15" s="1497"/>
      <c r="O15" s="285">
        <f>+T15/P14</f>
        <v>0.46292791254088295</v>
      </c>
      <c r="P15" s="1491"/>
      <c r="Q15" s="1298"/>
      <c r="R15" s="1298"/>
      <c r="S15" s="69" t="s">
        <v>418</v>
      </c>
      <c r="T15" s="506">
        <v>94814218.739999995</v>
      </c>
      <c r="U15" s="507"/>
      <c r="V15" s="507"/>
      <c r="W15" s="1439"/>
      <c r="X15" s="1295"/>
      <c r="Y15" s="1495"/>
      <c r="Z15" s="508"/>
      <c r="AA15" s="1495"/>
      <c r="AB15" s="508"/>
      <c r="AC15" s="1495"/>
      <c r="AD15" s="508"/>
      <c r="AE15" s="1495"/>
      <c r="AF15" s="508"/>
      <c r="AG15" s="1495"/>
      <c r="AH15" s="508"/>
      <c r="AI15" s="1495"/>
      <c r="AJ15" s="508"/>
      <c r="AK15" s="1495"/>
      <c r="AL15" s="508"/>
      <c r="AM15" s="1495"/>
      <c r="AN15" s="508"/>
      <c r="AO15" s="1495"/>
      <c r="AP15" s="508"/>
      <c r="AQ15" s="1495"/>
      <c r="AR15" s="508"/>
      <c r="AS15" s="1495"/>
      <c r="AT15" s="508"/>
      <c r="AU15" s="1495"/>
      <c r="AV15" s="508"/>
      <c r="AW15" s="1495"/>
      <c r="AX15" s="508"/>
      <c r="AY15" s="1495"/>
      <c r="AZ15" s="508"/>
      <c r="BA15" s="1495"/>
      <c r="BB15" s="508"/>
      <c r="BC15" s="1495"/>
      <c r="BD15" s="508"/>
      <c r="BE15" s="508"/>
      <c r="BF15" s="508"/>
      <c r="BG15" s="508"/>
      <c r="BH15" s="508"/>
      <c r="BI15" s="508"/>
      <c r="BJ15" s="508"/>
      <c r="BK15" s="1493"/>
      <c r="BL15" s="509"/>
      <c r="BM15" s="1493"/>
      <c r="BN15" s="509"/>
      <c r="BO15" s="1289" t="s">
        <v>406</v>
      </c>
    </row>
    <row r="16" spans="1:85" s="4" customFormat="1" ht="125.25" customHeight="1" x14ac:dyDescent="0.2">
      <c r="A16" s="283"/>
      <c r="B16" s="1378"/>
      <c r="C16" s="1485"/>
      <c r="D16" s="91"/>
      <c r="E16" s="1279"/>
      <c r="F16" s="1280"/>
      <c r="G16" s="496" t="s">
        <v>420</v>
      </c>
      <c r="H16" s="69" t="s">
        <v>421</v>
      </c>
      <c r="I16" s="181" t="s">
        <v>422</v>
      </c>
      <c r="J16" s="92">
        <v>1</v>
      </c>
      <c r="K16" s="92">
        <v>0</v>
      </c>
      <c r="L16" s="34" t="s">
        <v>423</v>
      </c>
      <c r="M16" s="290" t="s">
        <v>424</v>
      </c>
      <c r="N16" s="181" t="s">
        <v>425</v>
      </c>
      <c r="O16" s="285">
        <f>+T16/P16</f>
        <v>1</v>
      </c>
      <c r="P16" s="510">
        <f>+T16</f>
        <v>80000000</v>
      </c>
      <c r="Q16" s="213" t="s">
        <v>426</v>
      </c>
      <c r="R16" s="213" t="s">
        <v>427</v>
      </c>
      <c r="S16" s="69" t="s">
        <v>421</v>
      </c>
      <c r="T16" s="511">
        <v>80000000</v>
      </c>
      <c r="U16" s="511"/>
      <c r="V16" s="511"/>
      <c r="W16" s="110" t="s">
        <v>70</v>
      </c>
      <c r="X16" s="40" t="s">
        <v>151</v>
      </c>
      <c r="Y16" s="512">
        <v>763.40206894654307</v>
      </c>
      <c r="Z16" s="512"/>
      <c r="AA16" s="512">
        <v>736.59793105345693</v>
      </c>
      <c r="AB16" s="512"/>
      <c r="AC16" s="512">
        <v>0</v>
      </c>
      <c r="AD16" s="512"/>
      <c r="AE16" s="512">
        <v>114.14456488843646</v>
      </c>
      <c r="AF16" s="512"/>
      <c r="AG16" s="512">
        <v>797.38183343879825</v>
      </c>
      <c r="AH16" s="512"/>
      <c r="AI16" s="512">
        <v>0</v>
      </c>
      <c r="AJ16" s="512"/>
      <c r="AK16" s="512">
        <v>0</v>
      </c>
      <c r="AL16" s="512"/>
      <c r="AM16" s="512">
        <v>0</v>
      </c>
      <c r="AN16" s="512"/>
      <c r="AO16" s="512">
        <v>0</v>
      </c>
      <c r="AP16" s="512"/>
      <c r="AQ16" s="512">
        <v>9.5434286185930056E-2</v>
      </c>
      <c r="AR16" s="512"/>
      <c r="AS16" s="512">
        <v>0</v>
      </c>
      <c r="AT16" s="512"/>
      <c r="AU16" s="512">
        <v>0</v>
      </c>
      <c r="AV16" s="512"/>
      <c r="AW16" s="512">
        <v>0</v>
      </c>
      <c r="AX16" s="512"/>
      <c r="AY16" s="512">
        <v>0</v>
      </c>
      <c r="AZ16" s="512"/>
      <c r="BA16" s="512">
        <v>0</v>
      </c>
      <c r="BB16" s="512"/>
      <c r="BC16" s="512">
        <f>+Y16+AA16</f>
        <v>1500</v>
      </c>
      <c r="BD16" s="512"/>
      <c r="BE16" s="512"/>
      <c r="BF16" s="512"/>
      <c r="BG16" s="512"/>
      <c r="BH16" s="513"/>
      <c r="BI16" s="514"/>
      <c r="BJ16" s="512"/>
      <c r="BK16" s="48">
        <v>44033</v>
      </c>
      <c r="BL16" s="48"/>
      <c r="BM16" s="48">
        <v>44195</v>
      </c>
      <c r="BN16" s="48"/>
      <c r="BO16" s="414" t="s">
        <v>403</v>
      </c>
    </row>
    <row r="17" spans="1:67" s="4" customFormat="1" ht="97.5" customHeight="1" x14ac:dyDescent="0.2">
      <c r="A17" s="283"/>
      <c r="B17" s="1378"/>
      <c r="C17" s="1485"/>
      <c r="D17" s="103"/>
      <c r="E17" s="1502"/>
      <c r="F17" s="1503"/>
      <c r="G17" s="496" t="s">
        <v>428</v>
      </c>
      <c r="H17" s="69" t="s">
        <v>429</v>
      </c>
      <c r="I17" s="181" t="s">
        <v>430</v>
      </c>
      <c r="J17" s="92">
        <v>30</v>
      </c>
      <c r="K17" s="92">
        <v>0</v>
      </c>
      <c r="L17" s="34" t="s">
        <v>431</v>
      </c>
      <c r="M17" s="290" t="s">
        <v>432</v>
      </c>
      <c r="N17" s="181" t="s">
        <v>433</v>
      </c>
      <c r="O17" s="285">
        <f>+T17/P17</f>
        <v>1</v>
      </c>
      <c r="P17" s="510">
        <f>+T17</f>
        <v>1063903990.74</v>
      </c>
      <c r="Q17" s="69" t="s">
        <v>434</v>
      </c>
      <c r="R17" s="69" t="s">
        <v>435</v>
      </c>
      <c r="S17" s="69" t="s">
        <v>429</v>
      </c>
      <c r="T17" s="517">
        <v>1063903990.74</v>
      </c>
      <c r="U17" s="517"/>
      <c r="V17" s="517"/>
      <c r="W17" s="110" t="s">
        <v>436</v>
      </c>
      <c r="X17" s="40" t="s">
        <v>437</v>
      </c>
      <c r="Y17" s="512">
        <v>26</v>
      </c>
      <c r="Z17" s="512"/>
      <c r="AA17" s="512">
        <v>26</v>
      </c>
      <c r="AB17" s="512"/>
      <c r="AC17" s="512">
        <v>0</v>
      </c>
      <c r="AD17" s="512"/>
      <c r="AE17" s="512">
        <v>0</v>
      </c>
      <c r="AF17" s="512"/>
      <c r="AG17" s="512">
        <v>52</v>
      </c>
      <c r="AH17" s="512"/>
      <c r="AI17" s="512">
        <v>0</v>
      </c>
      <c r="AJ17" s="512"/>
      <c r="AK17" s="512">
        <v>0</v>
      </c>
      <c r="AL17" s="512"/>
      <c r="AM17" s="512">
        <v>0</v>
      </c>
      <c r="AN17" s="512"/>
      <c r="AO17" s="512">
        <v>0</v>
      </c>
      <c r="AP17" s="512"/>
      <c r="AQ17" s="512">
        <v>0</v>
      </c>
      <c r="AR17" s="512"/>
      <c r="AS17" s="512">
        <v>0</v>
      </c>
      <c r="AT17" s="512"/>
      <c r="AU17" s="512">
        <v>0</v>
      </c>
      <c r="AV17" s="512"/>
      <c r="AW17" s="512">
        <v>0</v>
      </c>
      <c r="AX17" s="512"/>
      <c r="AY17" s="512">
        <v>0</v>
      </c>
      <c r="AZ17" s="512"/>
      <c r="BA17" s="512">
        <v>0</v>
      </c>
      <c r="BB17" s="512"/>
      <c r="BC17" s="512">
        <v>52</v>
      </c>
      <c r="BD17" s="512"/>
      <c r="BE17" s="512"/>
      <c r="BF17" s="512"/>
      <c r="BG17" s="512"/>
      <c r="BH17" s="512"/>
      <c r="BI17" s="512"/>
      <c r="BJ17" s="512"/>
      <c r="BK17" s="48">
        <v>43832</v>
      </c>
      <c r="BL17" s="48"/>
      <c r="BM17" s="48">
        <v>44195</v>
      </c>
      <c r="BN17" s="48"/>
      <c r="BO17" s="414" t="s">
        <v>403</v>
      </c>
    </row>
    <row r="18" spans="1:67" s="4" customFormat="1" ht="23.25" customHeight="1" x14ac:dyDescent="0.2">
      <c r="A18" s="283"/>
      <c r="B18" s="1378"/>
      <c r="C18" s="1485"/>
      <c r="D18" s="518">
        <v>26</v>
      </c>
      <c r="E18" s="519" t="s">
        <v>438</v>
      </c>
      <c r="F18" s="520"/>
      <c r="G18" s="521"/>
      <c r="H18" s="52"/>
      <c r="I18" s="52"/>
      <c r="J18" s="521"/>
      <c r="K18" s="521"/>
      <c r="L18" s="50"/>
      <c r="M18" s="522"/>
      <c r="N18" s="52"/>
      <c r="O18" s="523"/>
      <c r="P18" s="524"/>
      <c r="Q18" s="525"/>
      <c r="R18" s="525"/>
      <c r="S18" s="52"/>
      <c r="T18" s="526"/>
      <c r="U18" s="526"/>
      <c r="V18" s="526"/>
      <c r="W18" s="527"/>
      <c r="X18" s="52"/>
      <c r="Y18" s="528"/>
      <c r="Z18" s="528"/>
      <c r="AA18" s="528"/>
      <c r="AB18" s="528"/>
      <c r="AC18" s="528"/>
      <c r="AD18" s="528"/>
      <c r="AE18" s="528"/>
      <c r="AF18" s="528"/>
      <c r="AG18" s="528"/>
      <c r="AH18" s="528"/>
      <c r="AI18" s="528"/>
      <c r="AJ18" s="528"/>
      <c r="AK18" s="528"/>
      <c r="AL18" s="528"/>
      <c r="AM18" s="528"/>
      <c r="AN18" s="528"/>
      <c r="AO18" s="528"/>
      <c r="AP18" s="528"/>
      <c r="AQ18" s="528"/>
      <c r="AR18" s="528"/>
      <c r="AS18" s="528"/>
      <c r="AT18" s="528"/>
      <c r="AU18" s="528"/>
      <c r="AV18" s="528"/>
      <c r="AW18" s="528"/>
      <c r="AX18" s="528"/>
      <c r="AY18" s="528"/>
      <c r="AZ18" s="528"/>
      <c r="BA18" s="528"/>
      <c r="BB18" s="528"/>
      <c r="BC18" s="528"/>
      <c r="BD18" s="528"/>
      <c r="BE18" s="528"/>
      <c r="BF18" s="528"/>
      <c r="BG18" s="528"/>
      <c r="BH18" s="528"/>
      <c r="BI18" s="528"/>
      <c r="BJ18" s="528"/>
      <c r="BK18" s="529"/>
      <c r="BL18" s="529"/>
      <c r="BM18" s="530"/>
      <c r="BN18" s="530"/>
      <c r="BO18" s="531"/>
    </row>
    <row r="19" spans="1:67" s="4" customFormat="1" ht="90" customHeight="1" x14ac:dyDescent="0.2">
      <c r="A19" s="283"/>
      <c r="B19" s="1378"/>
      <c r="C19" s="1485"/>
      <c r="D19" s="330"/>
      <c r="E19" s="1379"/>
      <c r="F19" s="1380"/>
      <c r="G19" s="532" t="s">
        <v>439</v>
      </c>
      <c r="H19" s="181" t="s">
        <v>440</v>
      </c>
      <c r="I19" s="181" t="s">
        <v>441</v>
      </c>
      <c r="J19" s="92">
        <v>12</v>
      </c>
      <c r="K19" s="92">
        <v>15</v>
      </c>
      <c r="L19" s="1281" t="s">
        <v>442</v>
      </c>
      <c r="M19" s="1498" t="s">
        <v>443</v>
      </c>
      <c r="N19" s="1499" t="s">
        <v>444</v>
      </c>
      <c r="O19" s="285">
        <f>+T19/P19</f>
        <v>0.21777241714398077</v>
      </c>
      <c r="P19" s="1500">
        <f>+T19+T20</f>
        <v>367355981.30000001</v>
      </c>
      <c r="Q19" s="1488" t="s">
        <v>445</v>
      </c>
      <c r="R19" s="1488" t="s">
        <v>446</v>
      </c>
      <c r="S19" s="181" t="s">
        <v>440</v>
      </c>
      <c r="T19" s="535">
        <v>80000000</v>
      </c>
      <c r="U19" s="535">
        <v>13800000</v>
      </c>
      <c r="V19" s="535">
        <v>13800000</v>
      </c>
      <c r="W19" s="1438" t="s">
        <v>447</v>
      </c>
      <c r="X19" s="1293" t="s">
        <v>448</v>
      </c>
      <c r="Y19" s="1504">
        <v>85278</v>
      </c>
      <c r="Z19" s="1504"/>
      <c r="AA19" s="1504">
        <v>85277</v>
      </c>
      <c r="AB19" s="1504"/>
      <c r="AC19" s="1504">
        <v>17056</v>
      </c>
      <c r="AD19" s="1504"/>
      <c r="AE19" s="1504">
        <v>34111</v>
      </c>
      <c r="AF19" s="1504"/>
      <c r="AG19" s="1504">
        <v>85278</v>
      </c>
      <c r="AH19" s="1504"/>
      <c r="AI19" s="1504">
        <v>25582</v>
      </c>
      <c r="AJ19" s="1504"/>
      <c r="AK19" s="1504">
        <v>4264</v>
      </c>
      <c r="AL19" s="1504"/>
      <c r="AM19" s="1504">
        <v>4264</v>
      </c>
      <c r="AN19" s="1504"/>
      <c r="AO19" s="1504">
        <v>0</v>
      </c>
      <c r="AP19" s="1504"/>
      <c r="AQ19" s="1504">
        <v>0</v>
      </c>
      <c r="AR19" s="1504"/>
      <c r="AS19" s="1504">
        <v>0</v>
      </c>
      <c r="AT19" s="1504"/>
      <c r="AU19" s="1504">
        <v>0</v>
      </c>
      <c r="AV19" s="1504"/>
      <c r="AW19" s="1504">
        <v>0</v>
      </c>
      <c r="AX19" s="1504"/>
      <c r="AY19" s="1504">
        <v>0</v>
      </c>
      <c r="AZ19" s="1504"/>
      <c r="BA19" s="1504">
        <v>0</v>
      </c>
      <c r="BB19" s="1504"/>
      <c r="BC19" s="1504">
        <v>170555</v>
      </c>
      <c r="BD19" s="1504"/>
      <c r="BE19" s="1504"/>
      <c r="BF19" s="512">
        <f t="shared" ref="BF19:BG19" si="0">U19</f>
        <v>13800000</v>
      </c>
      <c r="BG19" s="512">
        <f t="shared" si="0"/>
        <v>13800000</v>
      </c>
      <c r="BH19" s="513">
        <f t="shared" ref="BH19" si="1">BG19/BF19</f>
        <v>1</v>
      </c>
      <c r="BI19" s="514" t="s">
        <v>72</v>
      </c>
      <c r="BJ19" s="1504"/>
      <c r="BK19" s="1507">
        <v>43832</v>
      </c>
      <c r="BL19" s="1504"/>
      <c r="BM19" s="1507">
        <v>44195</v>
      </c>
      <c r="BN19" s="1507"/>
      <c r="BO19" s="1458" t="s">
        <v>403</v>
      </c>
    </row>
    <row r="20" spans="1:67" s="4" customFormat="1" ht="90.75" customHeight="1" x14ac:dyDescent="0.2">
      <c r="A20" s="283"/>
      <c r="B20" s="1378"/>
      <c r="C20" s="1485"/>
      <c r="D20" s="91"/>
      <c r="E20" s="1279"/>
      <c r="F20" s="1280"/>
      <c r="G20" s="537" t="s">
        <v>449</v>
      </c>
      <c r="H20" s="69" t="s">
        <v>450</v>
      </c>
      <c r="I20" s="181" t="s">
        <v>419</v>
      </c>
      <c r="J20" s="92">
        <v>4</v>
      </c>
      <c r="K20" s="92">
        <v>0</v>
      </c>
      <c r="L20" s="1283"/>
      <c r="M20" s="1498"/>
      <c r="N20" s="1499"/>
      <c r="O20" s="285">
        <f>+T20/P19</f>
        <v>0.78222758285601923</v>
      </c>
      <c r="P20" s="1500"/>
      <c r="Q20" s="1501"/>
      <c r="R20" s="1501"/>
      <c r="S20" s="69" t="s">
        <v>450</v>
      </c>
      <c r="T20" s="535">
        <v>287355981.30000001</v>
      </c>
      <c r="U20" s="535"/>
      <c r="V20" s="535"/>
      <c r="W20" s="1439"/>
      <c r="X20" s="1295"/>
      <c r="Y20" s="1505"/>
      <c r="Z20" s="1505"/>
      <c r="AA20" s="1505"/>
      <c r="AB20" s="1505"/>
      <c r="AC20" s="1505"/>
      <c r="AD20" s="1505"/>
      <c r="AE20" s="1505"/>
      <c r="AF20" s="1505"/>
      <c r="AG20" s="1505"/>
      <c r="AH20" s="1505"/>
      <c r="AI20" s="1505"/>
      <c r="AJ20" s="1505"/>
      <c r="AK20" s="1505"/>
      <c r="AL20" s="1505"/>
      <c r="AM20" s="1505"/>
      <c r="AN20" s="1505"/>
      <c r="AO20" s="1505"/>
      <c r="AP20" s="1505"/>
      <c r="AQ20" s="1505"/>
      <c r="AR20" s="1505"/>
      <c r="AS20" s="1505"/>
      <c r="AT20" s="1505"/>
      <c r="AU20" s="1505"/>
      <c r="AV20" s="1505"/>
      <c r="AW20" s="1505"/>
      <c r="AX20" s="1505"/>
      <c r="AY20" s="1505"/>
      <c r="AZ20" s="1505"/>
      <c r="BA20" s="1505"/>
      <c r="BB20" s="1505"/>
      <c r="BC20" s="1505"/>
      <c r="BD20" s="1505"/>
      <c r="BE20" s="1505"/>
      <c r="BF20" s="512"/>
      <c r="BG20" s="512"/>
      <c r="BH20" s="513"/>
      <c r="BI20" s="514"/>
      <c r="BJ20" s="1505"/>
      <c r="BK20" s="1479"/>
      <c r="BL20" s="1505"/>
      <c r="BM20" s="1479"/>
      <c r="BN20" s="1508"/>
      <c r="BO20" s="1460"/>
    </row>
    <row r="21" spans="1:67" s="221" customFormat="1" ht="29.25" customHeight="1" x14ac:dyDescent="0.2">
      <c r="A21" s="208"/>
      <c r="B21" s="1381"/>
      <c r="C21" s="1506"/>
      <c r="D21" s="538"/>
      <c r="E21" s="538"/>
      <c r="F21" s="539"/>
      <c r="G21" s="211"/>
      <c r="H21" s="213"/>
      <c r="I21" s="213"/>
      <c r="J21" s="212"/>
      <c r="K21" s="212"/>
      <c r="L21" s="36"/>
      <c r="M21" s="214"/>
      <c r="N21" s="118"/>
      <c r="O21" s="215"/>
      <c r="P21" s="216">
        <f>SUM(P12:P20)</f>
        <v>3798881706.1300001</v>
      </c>
      <c r="Q21" s="118"/>
      <c r="R21" s="118"/>
      <c r="S21" s="118"/>
      <c r="T21" s="216">
        <f>SUM(T12:T20)</f>
        <v>3798881706.1300001</v>
      </c>
      <c r="U21" s="216">
        <f t="shared" ref="U21:V21" si="2">SUM(U12:U20)</f>
        <v>117800000</v>
      </c>
      <c r="V21" s="216">
        <f t="shared" si="2"/>
        <v>115000000</v>
      </c>
      <c r="W21" s="217"/>
      <c r="X21" s="218"/>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0"/>
      <c r="AY21" s="540"/>
      <c r="AZ21" s="540"/>
      <c r="BA21" s="540"/>
      <c r="BB21" s="540"/>
      <c r="BC21" s="540"/>
      <c r="BD21" s="540"/>
      <c r="BE21" s="216">
        <f t="shared" ref="BE21:BG21" si="3">SUM(BE12:BE20)</f>
        <v>0</v>
      </c>
      <c r="BF21" s="216">
        <f t="shared" si="3"/>
        <v>117800000</v>
      </c>
      <c r="BG21" s="216">
        <f t="shared" si="3"/>
        <v>115000000</v>
      </c>
      <c r="BH21" s="372">
        <f>BG21/BF21</f>
        <v>0.97623089983022071</v>
      </c>
      <c r="BI21" s="540"/>
      <c r="BJ21" s="540"/>
      <c r="BK21" s="48"/>
      <c r="BL21" s="48"/>
      <c r="BM21" s="220"/>
      <c r="BN21" s="220"/>
      <c r="BO21" s="118"/>
    </row>
    <row r="22" spans="1:67" ht="14.25" x14ac:dyDescent="0.2">
      <c r="T22" s="228"/>
      <c r="U22" s="228"/>
      <c r="V22" s="228"/>
    </row>
    <row r="23" spans="1:67" ht="14.25" x14ac:dyDescent="0.2">
      <c r="T23" s="228"/>
      <c r="U23" s="228"/>
      <c r="V23" s="228"/>
    </row>
    <row r="24" spans="1:67" ht="14.25" x14ac:dyDescent="0.2">
      <c r="P24" s="234"/>
    </row>
    <row r="25" spans="1:67" ht="27" customHeight="1" x14ac:dyDescent="0.2">
      <c r="C25" s="236"/>
      <c r="D25" s="236"/>
      <c r="E25" s="236"/>
      <c r="F25" s="236"/>
      <c r="G25" s="236"/>
    </row>
    <row r="26" spans="1:67" ht="27" customHeight="1" x14ac:dyDescent="0.25">
      <c r="C26" s="1370" t="s">
        <v>451</v>
      </c>
      <c r="D26" s="1370"/>
      <c r="E26" s="1370"/>
      <c r="F26" s="1370"/>
      <c r="G26" s="1370"/>
    </row>
    <row r="27" spans="1:67" ht="36.75" customHeight="1" x14ac:dyDescent="0.25">
      <c r="C27" s="1371" t="s">
        <v>452</v>
      </c>
      <c r="D27" s="1371"/>
      <c r="E27" s="1371"/>
      <c r="F27" s="1371"/>
      <c r="G27" s="1371"/>
      <c r="P27" s="234"/>
      <c r="T27" s="238"/>
      <c r="U27" s="238"/>
      <c r="V27" s="238"/>
    </row>
    <row r="28" spans="1:67" ht="27" customHeight="1" x14ac:dyDescent="0.2">
      <c r="C28" s="145"/>
      <c r="D28" s="224"/>
      <c r="E28" s="225"/>
      <c r="F28" s="226"/>
      <c r="G28" s="227"/>
    </row>
  </sheetData>
  <sheetProtection password="A60F" sheet="1" objects="1" scenarios="1"/>
  <mergeCells count="202">
    <mergeCell ref="B21:C21"/>
    <mergeCell ref="C26:G26"/>
    <mergeCell ref="C27:G27"/>
    <mergeCell ref="BK19:BK20"/>
    <mergeCell ref="BL19:BL20"/>
    <mergeCell ref="BM19:BM20"/>
    <mergeCell ref="BN19:BN20"/>
    <mergeCell ref="BO19:BO20"/>
    <mergeCell ref="B20:C20"/>
    <mergeCell ref="E20:F20"/>
    <mergeCell ref="BA19:BA20"/>
    <mergeCell ref="BB19:BB20"/>
    <mergeCell ref="BC19:BC20"/>
    <mergeCell ref="BD19:BD20"/>
    <mergeCell ref="BE19:BE20"/>
    <mergeCell ref="BJ19:BJ20"/>
    <mergeCell ref="AU19:AU20"/>
    <mergeCell ref="AV19:AV20"/>
    <mergeCell ref="AW19:AW20"/>
    <mergeCell ref="AX19:AX20"/>
    <mergeCell ref="AY19:AY20"/>
    <mergeCell ref="AZ19:AZ20"/>
    <mergeCell ref="AO19:AO20"/>
    <mergeCell ref="AP19:AP20"/>
    <mergeCell ref="AQ19:AQ20"/>
    <mergeCell ref="AR19:AR20"/>
    <mergeCell ref="AS19:AS20"/>
    <mergeCell ref="AT19:AT20"/>
    <mergeCell ref="AI19:AI20"/>
    <mergeCell ref="AJ19:AJ20"/>
    <mergeCell ref="AK19:AK20"/>
    <mergeCell ref="AL19:AL20"/>
    <mergeCell ref="AM19:AM20"/>
    <mergeCell ref="AN19:AN20"/>
    <mergeCell ref="AC19:AC20"/>
    <mergeCell ref="AD19:AD20"/>
    <mergeCell ref="AE19:AE20"/>
    <mergeCell ref="AF19:AF20"/>
    <mergeCell ref="AG19:AG20"/>
    <mergeCell ref="AH19:AH20"/>
    <mergeCell ref="W19:W20"/>
    <mergeCell ref="X19:X20"/>
    <mergeCell ref="Y19:Y20"/>
    <mergeCell ref="Z19:Z20"/>
    <mergeCell ref="AA19:AA20"/>
    <mergeCell ref="AB19:AB20"/>
    <mergeCell ref="L19:L20"/>
    <mergeCell ref="M19:M20"/>
    <mergeCell ref="N19:N20"/>
    <mergeCell ref="P19:P20"/>
    <mergeCell ref="Q19:Q20"/>
    <mergeCell ref="R19:R20"/>
    <mergeCell ref="B16:C16"/>
    <mergeCell ref="E16:F16"/>
    <mergeCell ref="B17:C17"/>
    <mergeCell ref="E17:F17"/>
    <mergeCell ref="B18:C18"/>
    <mergeCell ref="B19:C19"/>
    <mergeCell ref="E19:F19"/>
    <mergeCell ref="BA14:BA15"/>
    <mergeCell ref="BC14:BC15"/>
    <mergeCell ref="BK14:BK15"/>
    <mergeCell ref="BM14:BM15"/>
    <mergeCell ref="BO14:BO15"/>
    <mergeCell ref="B15:C15"/>
    <mergeCell ref="E15:F15"/>
    <mergeCell ref="AO14:AO15"/>
    <mergeCell ref="AQ14:AQ15"/>
    <mergeCell ref="AS14:AS15"/>
    <mergeCell ref="AU14:AU15"/>
    <mergeCell ref="AW14:AW15"/>
    <mergeCell ref="AY14:AY15"/>
    <mergeCell ref="AC14:AC15"/>
    <mergeCell ref="AE14:AE15"/>
    <mergeCell ref="AG14:AG15"/>
    <mergeCell ref="AI14:AI15"/>
    <mergeCell ref="AK14:AK15"/>
    <mergeCell ref="AM14:AM15"/>
    <mergeCell ref="Q14:Q15"/>
    <mergeCell ref="R14:R15"/>
    <mergeCell ref="W14:W15"/>
    <mergeCell ref="X14:X15"/>
    <mergeCell ref="Y14:Y15"/>
    <mergeCell ref="AA14:AA15"/>
    <mergeCell ref="B14:C14"/>
    <mergeCell ref="E14:F14"/>
    <mergeCell ref="L14:L15"/>
    <mergeCell ref="M14:M15"/>
    <mergeCell ref="N14:N15"/>
    <mergeCell ref="P14:P15"/>
    <mergeCell ref="BL12:BL13"/>
    <mergeCell ref="BM12:BM13"/>
    <mergeCell ref="AP12:AP13"/>
    <mergeCell ref="AQ12:AQ13"/>
    <mergeCell ref="AR12:AR13"/>
    <mergeCell ref="AS12:AS13"/>
    <mergeCell ref="AH12:AH13"/>
    <mergeCell ref="AI12:AI13"/>
    <mergeCell ref="AJ12:AJ13"/>
    <mergeCell ref="AK12:AK13"/>
    <mergeCell ref="AL12:AL13"/>
    <mergeCell ref="AM12:AM13"/>
    <mergeCell ref="AB12:AB13"/>
    <mergeCell ref="AC12:AC13"/>
    <mergeCell ref="AD12:AD13"/>
    <mergeCell ref="AE12:AE13"/>
    <mergeCell ref="AF12:AF13"/>
    <mergeCell ref="BN12:BN13"/>
    <mergeCell ref="BO12:BO13"/>
    <mergeCell ref="B13:C13"/>
    <mergeCell ref="E13:F13"/>
    <mergeCell ref="BF12:BF13"/>
    <mergeCell ref="BG12:BG13"/>
    <mergeCell ref="BH12:BH13"/>
    <mergeCell ref="BI12:BI13"/>
    <mergeCell ref="BJ12:BJ13"/>
    <mergeCell ref="BK12:BK13"/>
    <mergeCell ref="AZ12:AZ13"/>
    <mergeCell ref="BA12:BA13"/>
    <mergeCell ref="BB12:BB13"/>
    <mergeCell ref="BC12:BC13"/>
    <mergeCell ref="BD12:BD13"/>
    <mergeCell ref="BE12:BE13"/>
    <mergeCell ref="AT12:AT13"/>
    <mergeCell ref="AU12:AU13"/>
    <mergeCell ref="AV12:AV13"/>
    <mergeCell ref="AW12:AW13"/>
    <mergeCell ref="AX12:AX13"/>
    <mergeCell ref="AY12:AY13"/>
    <mergeCell ref="AN12:AN13"/>
    <mergeCell ref="AO12:AO13"/>
    <mergeCell ref="B11:C11"/>
    <mergeCell ref="E11:M11"/>
    <mergeCell ref="B12:C12"/>
    <mergeCell ref="E12:F12"/>
    <mergeCell ref="L12:L13"/>
    <mergeCell ref="M12:M13"/>
    <mergeCell ref="N12:N13"/>
    <mergeCell ref="P12:P13"/>
    <mergeCell ref="Q12:Q13"/>
    <mergeCell ref="BK7:BL8"/>
    <mergeCell ref="AG12:AG13"/>
    <mergeCell ref="R12:R13"/>
    <mergeCell ref="W12:W13"/>
    <mergeCell ref="X12:X13"/>
    <mergeCell ref="Y12:Y13"/>
    <mergeCell ref="Z12:Z13"/>
    <mergeCell ref="AA12:AA13"/>
    <mergeCell ref="BJ8:BJ9"/>
    <mergeCell ref="AS8:AT8"/>
    <mergeCell ref="AU8:AV8"/>
    <mergeCell ref="AW8:AX8"/>
    <mergeCell ref="AY8:AZ8"/>
    <mergeCell ref="BA8:BB8"/>
    <mergeCell ref="BE8:BE9"/>
    <mergeCell ref="AG8:AH8"/>
    <mergeCell ref="BF8:BF9"/>
    <mergeCell ref="BG8:BG9"/>
    <mergeCell ref="BH8:BH9"/>
    <mergeCell ref="BI8:BI9"/>
    <mergeCell ref="V7:V9"/>
    <mergeCell ref="W7:W9"/>
    <mergeCell ref="X7:X9"/>
    <mergeCell ref="Y7:AB7"/>
    <mergeCell ref="M7:M9"/>
    <mergeCell ref="N7:N9"/>
    <mergeCell ref="AC7:AJ7"/>
    <mergeCell ref="AK7:AV7"/>
    <mergeCell ref="Y8:Z8"/>
    <mergeCell ref="AA8:AB8"/>
    <mergeCell ref="AC8:AD8"/>
    <mergeCell ref="AE8:AF8"/>
    <mergeCell ref="AI8:AJ8"/>
    <mergeCell ref="AK8:AL8"/>
    <mergeCell ref="AM8:AN8"/>
    <mergeCell ref="AO8:AP8"/>
    <mergeCell ref="AQ8:AR8"/>
    <mergeCell ref="O7:O9"/>
    <mergeCell ref="BM7:BN8"/>
    <mergeCell ref="BO7:BO9"/>
    <mergeCell ref="AW7:BB7"/>
    <mergeCell ref="BC7:BD8"/>
    <mergeCell ref="BE7:BJ7"/>
    <mergeCell ref="A1:BM4"/>
    <mergeCell ref="A5:J6"/>
    <mergeCell ref="L5:BO5"/>
    <mergeCell ref="Y6:BD6"/>
    <mergeCell ref="A7:A9"/>
    <mergeCell ref="B7:C9"/>
    <mergeCell ref="D7:D9"/>
    <mergeCell ref="E7:F9"/>
    <mergeCell ref="G7:G9"/>
    <mergeCell ref="H7:H9"/>
    <mergeCell ref="P7:P9"/>
    <mergeCell ref="Q7:Q9"/>
    <mergeCell ref="R7:R9"/>
    <mergeCell ref="S7:S9"/>
    <mergeCell ref="T7:T9"/>
    <mergeCell ref="U7:U9"/>
    <mergeCell ref="I7:I9"/>
    <mergeCell ref="J7:K8"/>
    <mergeCell ref="L7:L9"/>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F33"/>
  <sheetViews>
    <sheetView showGridLines="0" topLeftCell="G1" zoomScale="60" zoomScaleNormal="60" workbookViewId="0">
      <selection activeCell="R12" sqref="R12:R13"/>
    </sheetView>
  </sheetViews>
  <sheetFormatPr baseColWidth="10" defaultColWidth="11.42578125" defaultRowHeight="27" customHeight="1" x14ac:dyDescent="0.2"/>
  <cols>
    <col min="1" max="1" width="13.140625" style="222" customWidth="1"/>
    <col min="2" max="2" width="4" style="146" customWidth="1"/>
    <col min="3" max="3" width="14.5703125" style="146" customWidth="1"/>
    <col min="4" max="4" width="14.7109375" style="146" customWidth="1"/>
    <col min="5" max="5" width="10" style="146" customWidth="1"/>
    <col min="6" max="6" width="7.42578125" style="146" customWidth="1"/>
    <col min="7" max="7" width="18" style="146" customWidth="1"/>
    <col min="8" max="8" width="35.28515625" style="223" customWidth="1"/>
    <col min="9" max="9" width="37.28515625" style="223" customWidth="1"/>
    <col min="10" max="11" width="21.140625" style="145" customWidth="1"/>
    <col min="12" max="12" width="36.140625" style="224" customWidth="1"/>
    <col min="13" max="13" width="21.85546875" style="224" customWidth="1"/>
    <col min="14" max="14" width="41.5703125" style="225" customWidth="1"/>
    <col min="15" max="15" width="15.5703125" style="226" customWidth="1"/>
    <col min="16" max="16" width="29.85546875" style="227" customWidth="1"/>
    <col min="17" max="17" width="32.85546875" style="225" customWidth="1"/>
    <col min="18" max="18" width="40.7109375" style="225" customWidth="1"/>
    <col min="19" max="19" width="30.28515625" style="225" customWidth="1"/>
    <col min="20" max="22" width="26.5703125" style="235" customWidth="1"/>
    <col min="23" max="23" width="21" style="229" customWidth="1"/>
    <col min="24" max="24" width="23" style="230" customWidth="1"/>
    <col min="25" max="26" width="11.5703125" style="346" customWidth="1"/>
    <col min="27" max="28" width="12" style="346" customWidth="1"/>
    <col min="29" max="30" width="11" style="346" customWidth="1"/>
    <col min="31" max="32" width="10.140625" style="346" customWidth="1"/>
    <col min="33" max="34" width="11.7109375" style="346" customWidth="1"/>
    <col min="35" max="35" width="10" style="346" customWidth="1"/>
    <col min="36" max="54" width="10.5703125" style="346" customWidth="1"/>
    <col min="55" max="56" width="12" style="346" customWidth="1"/>
    <col min="57" max="57" width="21.7109375" style="346" customWidth="1"/>
    <col min="58" max="59" width="25.7109375" style="346" customWidth="1"/>
    <col min="60" max="62" width="21.7109375" style="346" customWidth="1"/>
    <col min="63" max="64" width="16.85546875" style="231" customWidth="1"/>
    <col min="65" max="66" width="20.85546875" style="232" customWidth="1"/>
    <col min="67" max="67" width="28.28515625" style="233" customWidth="1"/>
    <col min="68" max="16384" width="11.42578125" style="146"/>
  </cols>
  <sheetData>
    <row r="1" spans="1:84" ht="27" customHeight="1" x14ac:dyDescent="0.2">
      <c r="A1" s="1445" t="s">
        <v>453</v>
      </c>
      <c r="B1" s="1445"/>
      <c r="C1" s="1445"/>
      <c r="D1" s="1445"/>
      <c r="E1" s="1445"/>
      <c r="F1" s="1445"/>
      <c r="G1" s="1445"/>
      <c r="H1" s="1445"/>
      <c r="I1" s="1445"/>
      <c r="J1" s="1445"/>
      <c r="K1" s="1445"/>
      <c r="L1" s="1445"/>
      <c r="M1" s="1445"/>
      <c r="N1" s="1445"/>
      <c r="O1" s="1445"/>
      <c r="P1" s="1445"/>
      <c r="Q1" s="1445"/>
      <c r="R1" s="1445"/>
      <c r="S1" s="1445"/>
      <c r="T1" s="1445"/>
      <c r="U1" s="1445"/>
      <c r="V1" s="1445"/>
      <c r="W1" s="1445"/>
      <c r="X1" s="1445"/>
      <c r="Y1" s="1445"/>
      <c r="Z1" s="1445"/>
      <c r="AA1" s="1445"/>
      <c r="AB1" s="1445"/>
      <c r="AC1" s="1445"/>
      <c r="AD1" s="1445"/>
      <c r="AE1" s="1445"/>
      <c r="AF1" s="1445"/>
      <c r="AG1" s="1445"/>
      <c r="AH1" s="1445"/>
      <c r="AI1" s="1445"/>
      <c r="AJ1" s="1445"/>
      <c r="AK1" s="1445"/>
      <c r="AL1" s="1445"/>
      <c r="AM1" s="1445"/>
      <c r="AN1" s="1445"/>
      <c r="AO1" s="1445"/>
      <c r="AP1" s="1445"/>
      <c r="AQ1" s="1445"/>
      <c r="AR1" s="1445"/>
      <c r="AS1" s="1445"/>
      <c r="AT1" s="1445"/>
      <c r="AU1" s="1445"/>
      <c r="AV1" s="1445"/>
      <c r="AW1" s="1445"/>
      <c r="AX1" s="1445"/>
      <c r="AY1" s="1445"/>
      <c r="AZ1" s="1445"/>
      <c r="BA1" s="1445"/>
      <c r="BB1" s="1445"/>
      <c r="BC1" s="1445"/>
      <c r="BD1" s="1445"/>
      <c r="BE1" s="1445"/>
      <c r="BF1" s="1445"/>
      <c r="BG1" s="1445"/>
      <c r="BH1" s="1445"/>
      <c r="BI1" s="1445"/>
      <c r="BJ1" s="1445"/>
      <c r="BK1" s="1445"/>
      <c r="BL1" s="1445"/>
      <c r="BM1" s="1319"/>
      <c r="BN1" s="374" t="s">
        <v>1</v>
      </c>
      <c r="BO1" s="376" t="s">
        <v>131</v>
      </c>
      <c r="BP1" s="145"/>
      <c r="BQ1" s="145"/>
      <c r="BR1" s="145"/>
      <c r="BS1" s="145"/>
      <c r="BT1" s="145"/>
      <c r="BU1" s="145"/>
      <c r="BV1" s="145"/>
      <c r="BW1" s="145"/>
      <c r="BX1" s="145"/>
      <c r="BY1" s="145"/>
      <c r="BZ1" s="145"/>
      <c r="CA1" s="145"/>
      <c r="CB1" s="145"/>
      <c r="CC1" s="145"/>
      <c r="CD1" s="145"/>
      <c r="CE1" s="145"/>
      <c r="CF1" s="145"/>
    </row>
    <row r="2" spans="1:84" ht="27" customHeight="1" x14ac:dyDescent="0.2">
      <c r="A2" s="1445"/>
      <c r="B2" s="1445"/>
      <c r="C2" s="1445"/>
      <c r="D2" s="1445"/>
      <c r="E2" s="1445"/>
      <c r="F2" s="1445"/>
      <c r="G2" s="1445"/>
      <c r="H2" s="1445"/>
      <c r="I2" s="1445"/>
      <c r="J2" s="1445"/>
      <c r="K2" s="1445"/>
      <c r="L2" s="1445"/>
      <c r="M2" s="1445"/>
      <c r="N2" s="1445"/>
      <c r="O2" s="1445"/>
      <c r="P2" s="1445"/>
      <c r="Q2" s="1445"/>
      <c r="R2" s="1445"/>
      <c r="S2" s="1445"/>
      <c r="T2" s="1445"/>
      <c r="U2" s="1445"/>
      <c r="V2" s="1445"/>
      <c r="W2" s="1445"/>
      <c r="X2" s="1445"/>
      <c r="Y2" s="1445"/>
      <c r="Z2" s="1445"/>
      <c r="AA2" s="1445"/>
      <c r="AB2" s="1445"/>
      <c r="AC2" s="1445"/>
      <c r="AD2" s="1445"/>
      <c r="AE2" s="1445"/>
      <c r="AF2" s="1445"/>
      <c r="AG2" s="1445"/>
      <c r="AH2" s="1445"/>
      <c r="AI2" s="1445"/>
      <c r="AJ2" s="1445"/>
      <c r="AK2" s="1445"/>
      <c r="AL2" s="1445"/>
      <c r="AM2" s="1445"/>
      <c r="AN2" s="1445"/>
      <c r="AO2" s="1445"/>
      <c r="AP2" s="1445"/>
      <c r="AQ2" s="1445"/>
      <c r="AR2" s="1445"/>
      <c r="AS2" s="1445"/>
      <c r="AT2" s="1445"/>
      <c r="AU2" s="1445"/>
      <c r="AV2" s="1445"/>
      <c r="AW2" s="1445"/>
      <c r="AX2" s="1445"/>
      <c r="AY2" s="1445"/>
      <c r="AZ2" s="1445"/>
      <c r="BA2" s="1445"/>
      <c r="BB2" s="1445"/>
      <c r="BC2" s="1445"/>
      <c r="BD2" s="1445"/>
      <c r="BE2" s="1445"/>
      <c r="BF2" s="1445"/>
      <c r="BG2" s="1445"/>
      <c r="BH2" s="1445"/>
      <c r="BI2" s="1445"/>
      <c r="BJ2" s="1445"/>
      <c r="BK2" s="1445"/>
      <c r="BL2" s="1445"/>
      <c r="BM2" s="1319"/>
      <c r="BN2" s="374" t="s">
        <v>3</v>
      </c>
      <c r="BO2" s="376" t="s">
        <v>4</v>
      </c>
      <c r="BP2" s="145"/>
      <c r="BQ2" s="145"/>
      <c r="BR2" s="145"/>
      <c r="BS2" s="145"/>
      <c r="BT2" s="145"/>
      <c r="BU2" s="145"/>
      <c r="BV2" s="145"/>
      <c r="BW2" s="145"/>
      <c r="BX2" s="145"/>
      <c r="BY2" s="145"/>
      <c r="BZ2" s="145"/>
      <c r="CA2" s="145"/>
      <c r="CB2" s="145"/>
      <c r="CC2" s="145"/>
      <c r="CD2" s="145"/>
      <c r="CE2" s="145"/>
      <c r="CF2" s="145"/>
    </row>
    <row r="3" spans="1:84" ht="27" customHeight="1" x14ac:dyDescent="0.2">
      <c r="A3" s="1445"/>
      <c r="B3" s="1445"/>
      <c r="C3" s="1445"/>
      <c r="D3" s="1445"/>
      <c r="E3" s="1445"/>
      <c r="F3" s="1445"/>
      <c r="G3" s="1445"/>
      <c r="H3" s="1445"/>
      <c r="I3" s="1445"/>
      <c r="J3" s="1445"/>
      <c r="K3" s="1445"/>
      <c r="L3" s="1445"/>
      <c r="M3" s="1445"/>
      <c r="N3" s="1445"/>
      <c r="O3" s="1445"/>
      <c r="P3" s="1445"/>
      <c r="Q3" s="1445"/>
      <c r="R3" s="1445"/>
      <c r="S3" s="1445"/>
      <c r="T3" s="1445"/>
      <c r="U3" s="1445"/>
      <c r="V3" s="1445"/>
      <c r="W3" s="1445"/>
      <c r="X3" s="1445"/>
      <c r="Y3" s="1445"/>
      <c r="Z3" s="1445"/>
      <c r="AA3" s="1445"/>
      <c r="AB3" s="1445"/>
      <c r="AC3" s="1445"/>
      <c r="AD3" s="1445"/>
      <c r="AE3" s="1445"/>
      <c r="AF3" s="1445"/>
      <c r="AG3" s="1445"/>
      <c r="AH3" s="1445"/>
      <c r="AI3" s="1445"/>
      <c r="AJ3" s="1445"/>
      <c r="AK3" s="1445"/>
      <c r="AL3" s="1445"/>
      <c r="AM3" s="1445"/>
      <c r="AN3" s="1445"/>
      <c r="AO3" s="1445"/>
      <c r="AP3" s="1445"/>
      <c r="AQ3" s="1445"/>
      <c r="AR3" s="1445"/>
      <c r="AS3" s="1445"/>
      <c r="AT3" s="1445"/>
      <c r="AU3" s="1445"/>
      <c r="AV3" s="1445"/>
      <c r="AW3" s="1445"/>
      <c r="AX3" s="1445"/>
      <c r="AY3" s="1445"/>
      <c r="AZ3" s="1445"/>
      <c r="BA3" s="1445"/>
      <c r="BB3" s="1445"/>
      <c r="BC3" s="1445"/>
      <c r="BD3" s="1445"/>
      <c r="BE3" s="1445"/>
      <c r="BF3" s="1445"/>
      <c r="BG3" s="1445"/>
      <c r="BH3" s="1445"/>
      <c r="BI3" s="1445"/>
      <c r="BJ3" s="1445"/>
      <c r="BK3" s="1445"/>
      <c r="BL3" s="1445"/>
      <c r="BM3" s="1319"/>
      <c r="BN3" s="374" t="s">
        <v>5</v>
      </c>
      <c r="BO3" s="377" t="s">
        <v>6</v>
      </c>
      <c r="BP3" s="145"/>
      <c r="BQ3" s="145"/>
      <c r="BR3" s="145"/>
      <c r="BS3" s="145"/>
      <c r="BT3" s="145"/>
      <c r="BU3" s="145"/>
      <c r="BV3" s="145"/>
      <c r="BW3" s="145"/>
      <c r="BX3" s="145"/>
      <c r="BY3" s="145"/>
      <c r="BZ3" s="145"/>
      <c r="CA3" s="145"/>
      <c r="CB3" s="145"/>
      <c r="CC3" s="145"/>
      <c r="CD3" s="145"/>
      <c r="CE3" s="145"/>
      <c r="CF3" s="145"/>
    </row>
    <row r="4" spans="1:84" ht="27" customHeight="1" x14ac:dyDescent="0.2">
      <c r="A4" s="1320"/>
      <c r="B4" s="1320"/>
      <c r="C4" s="1320"/>
      <c r="D4" s="1320"/>
      <c r="E4" s="1320"/>
      <c r="F4" s="1320"/>
      <c r="G4" s="1320"/>
      <c r="H4" s="1320"/>
      <c r="I4" s="1320"/>
      <c r="J4" s="1320"/>
      <c r="K4" s="1320"/>
      <c r="L4" s="1320"/>
      <c r="M4" s="1320"/>
      <c r="N4" s="1320"/>
      <c r="O4" s="1320"/>
      <c r="P4" s="1320"/>
      <c r="Q4" s="1320"/>
      <c r="R4" s="1320"/>
      <c r="S4" s="1320"/>
      <c r="T4" s="1320"/>
      <c r="U4" s="1320"/>
      <c r="V4" s="1320"/>
      <c r="W4" s="1320"/>
      <c r="X4" s="1320"/>
      <c r="Y4" s="1320"/>
      <c r="Z4" s="1320"/>
      <c r="AA4" s="1320"/>
      <c r="AB4" s="1320"/>
      <c r="AC4" s="1320"/>
      <c r="AD4" s="1320"/>
      <c r="AE4" s="1320"/>
      <c r="AF4" s="1320"/>
      <c r="AG4" s="1320"/>
      <c r="AH4" s="1320"/>
      <c r="AI4" s="1320"/>
      <c r="AJ4" s="1320"/>
      <c r="AK4" s="1320"/>
      <c r="AL4" s="1320"/>
      <c r="AM4" s="1320"/>
      <c r="AN4" s="1320"/>
      <c r="AO4" s="1320"/>
      <c r="AP4" s="1320"/>
      <c r="AQ4" s="1320"/>
      <c r="AR4" s="1320"/>
      <c r="AS4" s="1320"/>
      <c r="AT4" s="1320"/>
      <c r="AU4" s="1320"/>
      <c r="AV4" s="1320"/>
      <c r="AW4" s="1320"/>
      <c r="AX4" s="1320"/>
      <c r="AY4" s="1320"/>
      <c r="AZ4" s="1320"/>
      <c r="BA4" s="1320"/>
      <c r="BB4" s="1320"/>
      <c r="BC4" s="1320"/>
      <c r="BD4" s="1320"/>
      <c r="BE4" s="1320"/>
      <c r="BF4" s="1320"/>
      <c r="BG4" s="1320"/>
      <c r="BH4" s="1320"/>
      <c r="BI4" s="1320"/>
      <c r="BJ4" s="1320"/>
      <c r="BK4" s="1320"/>
      <c r="BL4" s="1320"/>
      <c r="BM4" s="1321"/>
      <c r="BN4" s="374" t="s">
        <v>7</v>
      </c>
      <c r="BO4" s="378" t="s">
        <v>8</v>
      </c>
      <c r="BP4" s="145"/>
      <c r="BQ4" s="145"/>
      <c r="BR4" s="145"/>
      <c r="BS4" s="145"/>
      <c r="BT4" s="145"/>
      <c r="BU4" s="145"/>
      <c r="BV4" s="145"/>
      <c r="BW4" s="145"/>
      <c r="BX4" s="145"/>
      <c r="BY4" s="145"/>
      <c r="BZ4" s="145"/>
      <c r="CA4" s="145"/>
      <c r="CB4" s="145"/>
      <c r="CC4" s="145"/>
      <c r="CD4" s="145"/>
      <c r="CE4" s="145"/>
      <c r="CF4" s="145"/>
    </row>
    <row r="5" spans="1:84" s="4" customFormat="1" ht="27" customHeight="1" x14ac:dyDescent="0.2">
      <c r="A5" s="1231" t="s">
        <v>9</v>
      </c>
      <c r="B5" s="1231"/>
      <c r="C5" s="1231"/>
      <c r="D5" s="1231"/>
      <c r="E5" s="1231"/>
      <c r="F5" s="1231"/>
      <c r="G5" s="1231"/>
      <c r="H5" s="1231"/>
      <c r="I5" s="1231"/>
      <c r="J5" s="1231"/>
      <c r="K5" s="7"/>
      <c r="L5" s="1233" t="s">
        <v>10</v>
      </c>
      <c r="M5" s="1233"/>
      <c r="N5" s="1233"/>
      <c r="O5" s="1233"/>
      <c r="P5" s="1233"/>
      <c r="Q5" s="1233"/>
      <c r="R5" s="1233"/>
      <c r="S5" s="1233"/>
      <c r="T5" s="1233"/>
      <c r="U5" s="1233"/>
      <c r="V5" s="1233"/>
      <c r="W5" s="1233"/>
      <c r="X5" s="1233"/>
      <c r="Y5" s="1233"/>
      <c r="Z5" s="1233"/>
      <c r="AA5" s="1233"/>
      <c r="AB5" s="1233"/>
      <c r="AC5" s="1233"/>
      <c r="AD5" s="1233"/>
      <c r="AE5" s="1233"/>
      <c r="AF5" s="1233"/>
      <c r="AG5" s="1233"/>
      <c r="AH5" s="1233"/>
      <c r="AI5" s="1233"/>
      <c r="AJ5" s="1233"/>
      <c r="AK5" s="1233"/>
      <c r="AL5" s="1233"/>
      <c r="AM5" s="1233"/>
      <c r="AN5" s="1233"/>
      <c r="AO5" s="1233"/>
      <c r="AP5" s="1233"/>
      <c r="AQ5" s="1233"/>
      <c r="AR5" s="1233"/>
      <c r="AS5" s="1233"/>
      <c r="AT5" s="1233"/>
      <c r="AU5" s="1233"/>
      <c r="AV5" s="1233"/>
      <c r="AW5" s="1233"/>
      <c r="AX5" s="1233"/>
      <c r="AY5" s="1233"/>
      <c r="AZ5" s="1233"/>
      <c r="BA5" s="1233"/>
      <c r="BB5" s="1233"/>
      <c r="BC5" s="1233"/>
      <c r="BD5" s="1233"/>
      <c r="BE5" s="1233"/>
      <c r="BF5" s="1233"/>
      <c r="BG5" s="1233"/>
      <c r="BH5" s="1233"/>
      <c r="BI5" s="1233"/>
      <c r="BJ5" s="1233"/>
      <c r="BK5" s="1233"/>
      <c r="BL5" s="1233"/>
      <c r="BM5" s="1233"/>
      <c r="BN5" s="1233"/>
      <c r="BO5" s="1233"/>
      <c r="BP5" s="3"/>
      <c r="BQ5" s="3"/>
      <c r="BR5" s="3"/>
      <c r="BS5" s="3"/>
      <c r="BT5" s="3"/>
      <c r="BU5" s="3"/>
      <c r="BV5" s="3"/>
      <c r="BW5" s="3"/>
      <c r="BX5" s="3"/>
      <c r="BY5" s="3"/>
      <c r="BZ5" s="3"/>
      <c r="CA5" s="3"/>
      <c r="CB5" s="3"/>
      <c r="CC5" s="3"/>
      <c r="CD5" s="3"/>
      <c r="CE5" s="3"/>
      <c r="CF5" s="3"/>
    </row>
    <row r="6" spans="1:84" s="4" customFormat="1" ht="27" customHeight="1" thickBot="1" x14ac:dyDescent="0.25">
      <c r="A6" s="1232"/>
      <c r="B6" s="1232"/>
      <c r="C6" s="1232"/>
      <c r="D6" s="1232"/>
      <c r="E6" s="1232"/>
      <c r="F6" s="1232"/>
      <c r="G6" s="1232"/>
      <c r="H6" s="1232"/>
      <c r="I6" s="1232"/>
      <c r="J6" s="1232"/>
      <c r="K6" s="8"/>
      <c r="L6" s="239"/>
      <c r="M6" s="10"/>
      <c r="N6" s="240"/>
      <c r="O6" s="8"/>
      <c r="P6" s="10"/>
      <c r="Q6" s="240"/>
      <c r="R6" s="240"/>
      <c r="S6" s="240"/>
      <c r="T6" s="10"/>
      <c r="U6" s="10"/>
      <c r="V6" s="10"/>
      <c r="W6" s="10"/>
      <c r="X6" s="10"/>
      <c r="Y6" s="1233" t="s">
        <v>11</v>
      </c>
      <c r="Z6" s="1233"/>
      <c r="AA6" s="1233"/>
      <c r="AB6" s="1233"/>
      <c r="AC6" s="1233"/>
      <c r="AD6" s="1233"/>
      <c r="AE6" s="1233"/>
      <c r="AF6" s="1233"/>
      <c r="AG6" s="1233"/>
      <c r="AH6" s="1233"/>
      <c r="AI6" s="1233"/>
      <c r="AJ6" s="1233"/>
      <c r="AK6" s="1233"/>
      <c r="AL6" s="1233"/>
      <c r="AM6" s="1233"/>
      <c r="AN6" s="1233"/>
      <c r="AO6" s="1233"/>
      <c r="AP6" s="1233"/>
      <c r="AQ6" s="1233"/>
      <c r="AR6" s="1233"/>
      <c r="AS6" s="1233"/>
      <c r="AT6" s="1233"/>
      <c r="AU6" s="1233"/>
      <c r="AV6" s="1233"/>
      <c r="AW6" s="1233"/>
      <c r="AX6" s="1233"/>
      <c r="AY6" s="1233"/>
      <c r="AZ6" s="1233"/>
      <c r="BA6" s="1233"/>
      <c r="BB6" s="1233"/>
      <c r="BC6" s="1233"/>
      <c r="BD6" s="1233"/>
      <c r="BE6" s="8"/>
      <c r="BF6" s="8"/>
      <c r="BG6" s="8"/>
      <c r="BH6" s="8"/>
      <c r="BI6" s="8"/>
      <c r="BJ6" s="8"/>
      <c r="BK6" s="8"/>
      <c r="BL6" s="8"/>
      <c r="BM6" s="8"/>
      <c r="BN6" s="8"/>
      <c r="BO6" s="541"/>
      <c r="BP6" s="3"/>
      <c r="BQ6" s="3"/>
      <c r="BR6" s="3"/>
      <c r="BS6" s="3"/>
      <c r="BT6" s="3"/>
      <c r="BU6" s="3"/>
      <c r="BV6" s="3"/>
      <c r="BW6" s="3"/>
      <c r="BX6" s="3"/>
      <c r="BY6" s="3"/>
      <c r="BZ6" s="3"/>
      <c r="CA6" s="3"/>
      <c r="CB6" s="3"/>
      <c r="CC6" s="3"/>
      <c r="CD6" s="3"/>
      <c r="CE6" s="3"/>
      <c r="CF6" s="3"/>
    </row>
    <row r="7" spans="1:84" s="4" customFormat="1" ht="43.5" customHeight="1" x14ac:dyDescent="0.2">
      <c r="A7" s="1234" t="s">
        <v>12</v>
      </c>
      <c r="B7" s="1221" t="s">
        <v>13</v>
      </c>
      <c r="C7" s="1221"/>
      <c r="D7" s="1221" t="s">
        <v>12</v>
      </c>
      <c r="E7" s="1221" t="s">
        <v>14</v>
      </c>
      <c r="F7" s="1221"/>
      <c r="G7" s="1237" t="s">
        <v>12</v>
      </c>
      <c r="H7" s="1221" t="s">
        <v>15</v>
      </c>
      <c r="I7" s="1221" t="s">
        <v>16</v>
      </c>
      <c r="J7" s="1222" t="s">
        <v>17</v>
      </c>
      <c r="K7" s="1223"/>
      <c r="L7" s="1221" t="s">
        <v>18</v>
      </c>
      <c r="M7" s="1221" t="s">
        <v>19</v>
      </c>
      <c r="N7" s="1221" t="s">
        <v>10</v>
      </c>
      <c r="O7" s="1226" t="s">
        <v>20</v>
      </c>
      <c r="P7" s="1253" t="s">
        <v>21</v>
      </c>
      <c r="Q7" s="1221" t="s">
        <v>22</v>
      </c>
      <c r="R7" s="1221" t="s">
        <v>23</v>
      </c>
      <c r="S7" s="1221" t="s">
        <v>24</v>
      </c>
      <c r="T7" s="1253" t="s">
        <v>21</v>
      </c>
      <c r="U7" s="1253" t="s">
        <v>25</v>
      </c>
      <c r="V7" s="1253" t="s">
        <v>26</v>
      </c>
      <c r="W7" s="1264" t="s">
        <v>12</v>
      </c>
      <c r="X7" s="1221" t="s">
        <v>27</v>
      </c>
      <c r="Y7" s="1240" t="s">
        <v>28</v>
      </c>
      <c r="Z7" s="1241"/>
      <c r="AA7" s="1241"/>
      <c r="AB7" s="1242"/>
      <c r="AC7" s="1243" t="s">
        <v>29</v>
      </c>
      <c r="AD7" s="1244"/>
      <c r="AE7" s="1244"/>
      <c r="AF7" s="1244"/>
      <c r="AG7" s="1244"/>
      <c r="AH7" s="1244"/>
      <c r="AI7" s="1244"/>
      <c r="AJ7" s="1245"/>
      <c r="AK7" s="1246" t="s">
        <v>30</v>
      </c>
      <c r="AL7" s="1247"/>
      <c r="AM7" s="1247"/>
      <c r="AN7" s="1247"/>
      <c r="AO7" s="1247"/>
      <c r="AP7" s="1247"/>
      <c r="AQ7" s="1247"/>
      <c r="AR7" s="1247"/>
      <c r="AS7" s="1247"/>
      <c r="AT7" s="1247"/>
      <c r="AU7" s="1247"/>
      <c r="AV7" s="1248"/>
      <c r="AW7" s="1254" t="s">
        <v>31</v>
      </c>
      <c r="AX7" s="1255"/>
      <c r="AY7" s="1255"/>
      <c r="AZ7" s="1255"/>
      <c r="BA7" s="1255"/>
      <c r="BB7" s="1256"/>
      <c r="BC7" s="1257" t="s">
        <v>32</v>
      </c>
      <c r="BD7" s="1258"/>
      <c r="BE7" s="1261" t="s">
        <v>33</v>
      </c>
      <c r="BF7" s="1262"/>
      <c r="BG7" s="1262"/>
      <c r="BH7" s="1262"/>
      <c r="BI7" s="1262"/>
      <c r="BJ7" s="1263"/>
      <c r="BK7" s="1266" t="s">
        <v>34</v>
      </c>
      <c r="BL7" s="1267"/>
      <c r="BM7" s="1266" t="s">
        <v>35</v>
      </c>
      <c r="BN7" s="1267"/>
      <c r="BO7" s="1270" t="s">
        <v>36</v>
      </c>
      <c r="BP7" s="3"/>
      <c r="BQ7" s="3"/>
      <c r="BR7" s="3"/>
      <c r="BS7" s="3"/>
      <c r="BT7" s="3"/>
      <c r="BU7" s="3"/>
      <c r="BV7" s="3"/>
      <c r="BW7" s="3"/>
      <c r="BX7" s="3"/>
      <c r="BY7" s="3"/>
      <c r="BZ7" s="3"/>
      <c r="CA7" s="3"/>
      <c r="CB7" s="3"/>
      <c r="CC7" s="3"/>
      <c r="CD7" s="3"/>
    </row>
    <row r="8" spans="1:84" s="4" customFormat="1" ht="120.75" customHeight="1" x14ac:dyDescent="0.2">
      <c r="A8" s="1235"/>
      <c r="B8" s="1221"/>
      <c r="C8" s="1221"/>
      <c r="D8" s="1221"/>
      <c r="E8" s="1221"/>
      <c r="F8" s="1221"/>
      <c r="G8" s="1238"/>
      <c r="H8" s="1221"/>
      <c r="I8" s="1221"/>
      <c r="J8" s="1224"/>
      <c r="K8" s="1225"/>
      <c r="L8" s="1221"/>
      <c r="M8" s="1221"/>
      <c r="N8" s="1221"/>
      <c r="O8" s="1226"/>
      <c r="P8" s="1253"/>
      <c r="Q8" s="1221"/>
      <c r="R8" s="1221"/>
      <c r="S8" s="1221"/>
      <c r="T8" s="1253"/>
      <c r="U8" s="1253"/>
      <c r="V8" s="1253"/>
      <c r="W8" s="1264"/>
      <c r="X8" s="1221"/>
      <c r="Y8" s="1249" t="s">
        <v>37</v>
      </c>
      <c r="Z8" s="1250"/>
      <c r="AA8" s="1251" t="s">
        <v>38</v>
      </c>
      <c r="AB8" s="1252"/>
      <c r="AC8" s="1249" t="s">
        <v>39</v>
      </c>
      <c r="AD8" s="1250"/>
      <c r="AE8" s="1249" t="s">
        <v>40</v>
      </c>
      <c r="AF8" s="1250"/>
      <c r="AG8" s="1249" t="s">
        <v>41</v>
      </c>
      <c r="AH8" s="1250"/>
      <c r="AI8" s="1249" t="s">
        <v>42</v>
      </c>
      <c r="AJ8" s="1250"/>
      <c r="AK8" s="1249" t="s">
        <v>43</v>
      </c>
      <c r="AL8" s="1250"/>
      <c r="AM8" s="1249" t="s">
        <v>44</v>
      </c>
      <c r="AN8" s="1250"/>
      <c r="AO8" s="1249" t="s">
        <v>45</v>
      </c>
      <c r="AP8" s="1250"/>
      <c r="AQ8" s="1249" t="s">
        <v>46</v>
      </c>
      <c r="AR8" s="1250"/>
      <c r="AS8" s="1249" t="s">
        <v>47</v>
      </c>
      <c r="AT8" s="1250"/>
      <c r="AU8" s="1249" t="s">
        <v>48</v>
      </c>
      <c r="AV8" s="1250"/>
      <c r="AW8" s="1249" t="s">
        <v>49</v>
      </c>
      <c r="AX8" s="1250"/>
      <c r="AY8" s="1249" t="s">
        <v>50</v>
      </c>
      <c r="AZ8" s="1250"/>
      <c r="BA8" s="1302" t="s">
        <v>51</v>
      </c>
      <c r="BB8" s="1302"/>
      <c r="BC8" s="1259"/>
      <c r="BD8" s="1260"/>
      <c r="BE8" s="1274" t="s">
        <v>52</v>
      </c>
      <c r="BF8" s="1273" t="s">
        <v>53</v>
      </c>
      <c r="BG8" s="1274" t="s">
        <v>54</v>
      </c>
      <c r="BH8" s="1275" t="s">
        <v>55</v>
      </c>
      <c r="BI8" s="1274" t="s">
        <v>56</v>
      </c>
      <c r="BJ8" s="1276" t="s">
        <v>57</v>
      </c>
      <c r="BK8" s="1509"/>
      <c r="BL8" s="1510"/>
      <c r="BM8" s="1268"/>
      <c r="BN8" s="1269"/>
      <c r="BO8" s="1271"/>
      <c r="BP8" s="3"/>
      <c r="BQ8" s="3"/>
      <c r="BR8" s="3"/>
      <c r="BS8" s="3"/>
      <c r="BT8" s="3"/>
      <c r="BU8" s="3"/>
      <c r="BV8" s="3"/>
      <c r="BW8" s="3"/>
      <c r="BX8" s="3"/>
      <c r="BY8" s="3"/>
      <c r="BZ8" s="3"/>
      <c r="CA8" s="3"/>
      <c r="CB8" s="3"/>
      <c r="CC8" s="3"/>
      <c r="CD8" s="3"/>
    </row>
    <row r="9" spans="1:84" s="4" customFormat="1" ht="21.75" customHeight="1" x14ac:dyDescent="0.2">
      <c r="A9" s="1236"/>
      <c r="B9" s="1221"/>
      <c r="C9" s="1221"/>
      <c r="D9" s="1221"/>
      <c r="E9" s="1221"/>
      <c r="F9" s="1221"/>
      <c r="G9" s="1239"/>
      <c r="H9" s="1221"/>
      <c r="I9" s="1221"/>
      <c r="J9" s="12" t="s">
        <v>58</v>
      </c>
      <c r="K9" s="12" t="s">
        <v>59</v>
      </c>
      <c r="L9" s="1221"/>
      <c r="M9" s="1221"/>
      <c r="N9" s="1221"/>
      <c r="O9" s="1226"/>
      <c r="P9" s="1253"/>
      <c r="Q9" s="1221"/>
      <c r="R9" s="1221"/>
      <c r="S9" s="1221"/>
      <c r="T9" s="1253"/>
      <c r="U9" s="1253"/>
      <c r="V9" s="1253"/>
      <c r="W9" s="1264"/>
      <c r="X9" s="1221"/>
      <c r="Y9" s="12" t="s">
        <v>58</v>
      </c>
      <c r="Z9" s="12" t="s">
        <v>60</v>
      </c>
      <c r="AA9" s="12" t="s">
        <v>58</v>
      </c>
      <c r="AB9" s="12" t="s">
        <v>60</v>
      </c>
      <c r="AC9" s="12" t="s">
        <v>58</v>
      </c>
      <c r="AD9" s="12" t="s">
        <v>60</v>
      </c>
      <c r="AE9" s="12" t="s">
        <v>58</v>
      </c>
      <c r="AF9" s="12" t="s">
        <v>60</v>
      </c>
      <c r="AG9" s="12" t="s">
        <v>58</v>
      </c>
      <c r="AH9" s="12" t="s">
        <v>60</v>
      </c>
      <c r="AI9" s="12" t="s">
        <v>58</v>
      </c>
      <c r="AJ9" s="12" t="s">
        <v>60</v>
      </c>
      <c r="AK9" s="12" t="s">
        <v>58</v>
      </c>
      <c r="AL9" s="12" t="s">
        <v>60</v>
      </c>
      <c r="AM9" s="12" t="s">
        <v>58</v>
      </c>
      <c r="AN9" s="12" t="s">
        <v>60</v>
      </c>
      <c r="AO9" s="12" t="s">
        <v>58</v>
      </c>
      <c r="AP9" s="12" t="s">
        <v>60</v>
      </c>
      <c r="AQ9" s="12" t="s">
        <v>58</v>
      </c>
      <c r="AR9" s="12" t="s">
        <v>60</v>
      </c>
      <c r="AS9" s="12" t="s">
        <v>58</v>
      </c>
      <c r="AT9" s="12" t="s">
        <v>60</v>
      </c>
      <c r="AU9" s="12" t="s">
        <v>58</v>
      </c>
      <c r="AV9" s="12" t="s">
        <v>60</v>
      </c>
      <c r="AW9" s="12" t="s">
        <v>58</v>
      </c>
      <c r="AX9" s="12" t="s">
        <v>60</v>
      </c>
      <c r="AY9" s="12" t="s">
        <v>58</v>
      </c>
      <c r="AZ9" s="12" t="s">
        <v>60</v>
      </c>
      <c r="BA9" s="12" t="s">
        <v>58</v>
      </c>
      <c r="BB9" s="12" t="s">
        <v>60</v>
      </c>
      <c r="BC9" s="12" t="s">
        <v>58</v>
      </c>
      <c r="BD9" s="12" t="s">
        <v>60</v>
      </c>
      <c r="BE9" s="1274"/>
      <c r="BF9" s="1273"/>
      <c r="BG9" s="1274"/>
      <c r="BH9" s="1275"/>
      <c r="BI9" s="1274"/>
      <c r="BJ9" s="1277"/>
      <c r="BK9" s="13" t="s">
        <v>58</v>
      </c>
      <c r="BL9" s="13" t="s">
        <v>60</v>
      </c>
      <c r="BM9" s="13" t="s">
        <v>58</v>
      </c>
      <c r="BN9" s="13" t="s">
        <v>60</v>
      </c>
      <c r="BO9" s="1272"/>
      <c r="BP9" s="3"/>
      <c r="BQ9" s="3"/>
      <c r="BR9" s="3"/>
      <c r="BS9" s="3"/>
      <c r="BT9" s="3"/>
      <c r="BU9" s="3"/>
      <c r="BV9" s="3"/>
      <c r="BW9" s="3"/>
      <c r="BX9" s="3"/>
      <c r="BY9" s="3"/>
      <c r="BZ9" s="3"/>
      <c r="CA9" s="3"/>
      <c r="CB9" s="3"/>
      <c r="CC9" s="3"/>
      <c r="CD9" s="3"/>
    </row>
    <row r="10" spans="1:84" s="4" customFormat="1" ht="27" customHeight="1" x14ac:dyDescent="0.2">
      <c r="A10" s="542">
        <v>2</v>
      </c>
      <c r="B10" s="456" t="s">
        <v>204</v>
      </c>
      <c r="C10" s="543"/>
      <c r="D10" s="307"/>
      <c r="E10" s="381"/>
      <c r="F10" s="381"/>
      <c r="G10" s="382"/>
      <c r="H10" s="307"/>
      <c r="I10" s="307"/>
      <c r="J10" s="383"/>
      <c r="K10" s="383"/>
      <c r="L10" s="305"/>
      <c r="M10" s="304"/>
      <c r="N10" s="544"/>
      <c r="O10" s="308"/>
      <c r="P10" s="309"/>
      <c r="Q10" s="544"/>
      <c r="R10" s="544"/>
      <c r="S10" s="544"/>
      <c r="T10" s="311"/>
      <c r="U10" s="311"/>
      <c r="V10" s="311"/>
      <c r="W10" s="312"/>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04"/>
      <c r="BE10" s="304"/>
      <c r="BF10" s="304"/>
      <c r="BG10" s="304"/>
      <c r="BH10" s="304"/>
      <c r="BI10" s="304"/>
      <c r="BJ10" s="304"/>
      <c r="BK10" s="313"/>
      <c r="BL10" s="313"/>
      <c r="BM10" s="313"/>
      <c r="BN10" s="313"/>
      <c r="BO10" s="384"/>
      <c r="BP10" s="3"/>
      <c r="BQ10" s="3"/>
      <c r="BR10" s="3"/>
      <c r="BS10" s="3"/>
      <c r="BT10" s="3"/>
      <c r="BU10" s="3"/>
      <c r="BV10" s="3"/>
      <c r="BW10" s="3"/>
      <c r="BX10" s="3"/>
      <c r="BY10" s="3"/>
      <c r="BZ10" s="3"/>
      <c r="CA10" s="3"/>
      <c r="CB10" s="3"/>
      <c r="CC10" s="3"/>
      <c r="CD10" s="3"/>
      <c r="CE10" s="3"/>
      <c r="CF10" s="3"/>
    </row>
    <row r="11" spans="1:84" s="3" customFormat="1" ht="27" customHeight="1" x14ac:dyDescent="0.2">
      <c r="A11" s="167"/>
      <c r="B11" s="253"/>
      <c r="C11" s="254"/>
      <c r="D11" s="545">
        <v>27</v>
      </c>
      <c r="E11" s="546" t="s">
        <v>212</v>
      </c>
      <c r="F11" s="450"/>
      <c r="G11" s="401"/>
      <c r="H11" s="259"/>
      <c r="I11" s="259"/>
      <c r="J11" s="261"/>
      <c r="K11" s="547"/>
      <c r="L11" s="548"/>
      <c r="M11" s="549"/>
      <c r="N11" s="550"/>
      <c r="O11" s="551"/>
      <c r="P11" s="552"/>
      <c r="Q11" s="550"/>
      <c r="R11" s="550"/>
      <c r="S11" s="550"/>
      <c r="T11" s="553"/>
      <c r="U11" s="553"/>
      <c r="V11" s="553"/>
      <c r="W11" s="554"/>
      <c r="X11" s="549"/>
      <c r="Y11" s="549"/>
      <c r="Z11" s="549"/>
      <c r="AA11" s="549"/>
      <c r="AB11" s="549"/>
      <c r="AC11" s="549"/>
      <c r="AD11" s="549"/>
      <c r="AE11" s="549"/>
      <c r="AF11" s="549"/>
      <c r="AG11" s="549"/>
      <c r="AH11" s="549"/>
      <c r="AI11" s="549"/>
      <c r="AJ11" s="549"/>
      <c r="AK11" s="549"/>
      <c r="AL11" s="549"/>
      <c r="AM11" s="549"/>
      <c r="AN11" s="549"/>
      <c r="AO11" s="549"/>
      <c r="AP11" s="549"/>
      <c r="AQ11" s="549"/>
      <c r="AR11" s="549"/>
      <c r="AS11" s="549"/>
      <c r="AT11" s="549"/>
      <c r="AU11" s="549"/>
      <c r="AV11" s="549"/>
      <c r="AW11" s="549"/>
      <c r="AX11" s="549"/>
      <c r="AY11" s="549"/>
      <c r="AZ11" s="549"/>
      <c r="BA11" s="549"/>
      <c r="BB11" s="549"/>
      <c r="BC11" s="549"/>
      <c r="BD11" s="549"/>
      <c r="BE11" s="549"/>
      <c r="BF11" s="549"/>
      <c r="BG11" s="549"/>
      <c r="BH11" s="549"/>
      <c r="BI11" s="549"/>
      <c r="BJ11" s="549"/>
      <c r="BK11" s="555"/>
      <c r="BL11" s="555"/>
      <c r="BM11" s="555"/>
      <c r="BN11" s="555"/>
      <c r="BO11" s="556"/>
    </row>
    <row r="12" spans="1:84" s="221" customFormat="1" ht="87.75" customHeight="1" x14ac:dyDescent="0.2">
      <c r="A12" s="557"/>
      <c r="B12" s="558"/>
      <c r="C12" s="559"/>
      <c r="D12" s="464"/>
      <c r="E12" s="560"/>
      <c r="F12" s="561"/>
      <c r="G12" s="562">
        <v>3502006</v>
      </c>
      <c r="H12" s="181" t="s">
        <v>454</v>
      </c>
      <c r="I12" s="213" t="s">
        <v>455</v>
      </c>
      <c r="J12" s="36">
        <v>1</v>
      </c>
      <c r="K12" s="36">
        <v>0</v>
      </c>
      <c r="L12" s="1408" t="s">
        <v>456</v>
      </c>
      <c r="M12" s="1413" t="s">
        <v>457</v>
      </c>
      <c r="N12" s="1296" t="s">
        <v>458</v>
      </c>
      <c r="O12" s="563">
        <f>(T12)/(P12)</f>
        <v>0.43333333333333335</v>
      </c>
      <c r="P12" s="1404">
        <f>+T12+T13</f>
        <v>75000000</v>
      </c>
      <c r="Q12" s="1296" t="s">
        <v>459</v>
      </c>
      <c r="R12" s="1468" t="s">
        <v>460</v>
      </c>
      <c r="S12" s="564" t="s">
        <v>461</v>
      </c>
      <c r="T12" s="565">
        <f>20000000+12500000</f>
        <v>32500000</v>
      </c>
      <c r="U12" s="566">
        <v>0</v>
      </c>
      <c r="V12" s="566">
        <v>0</v>
      </c>
      <c r="W12" s="1512" t="s">
        <v>70</v>
      </c>
      <c r="X12" s="567" t="s">
        <v>462</v>
      </c>
      <c r="Y12" s="1514">
        <v>295972</v>
      </c>
      <c r="Z12" s="1514">
        <v>0</v>
      </c>
      <c r="AA12" s="1514">
        <v>285580</v>
      </c>
      <c r="AB12" s="1514">
        <v>0</v>
      </c>
      <c r="AC12" s="1514">
        <v>135545</v>
      </c>
      <c r="AD12" s="1514">
        <v>0</v>
      </c>
      <c r="AE12" s="1514">
        <v>44254</v>
      </c>
      <c r="AF12" s="1514">
        <v>0</v>
      </c>
      <c r="AG12" s="1514">
        <v>309146</v>
      </c>
      <c r="AH12" s="1514">
        <v>0</v>
      </c>
      <c r="AI12" s="1514">
        <v>92607</v>
      </c>
      <c r="AJ12" s="1406">
        <v>0</v>
      </c>
      <c r="AK12" s="1406">
        <v>0</v>
      </c>
      <c r="AL12" s="1406">
        <v>0</v>
      </c>
      <c r="AM12" s="1406">
        <v>0</v>
      </c>
      <c r="AN12" s="1406">
        <v>0</v>
      </c>
      <c r="AO12" s="1406">
        <v>0</v>
      </c>
      <c r="AP12" s="1406">
        <v>0</v>
      </c>
      <c r="AQ12" s="1406">
        <v>0</v>
      </c>
      <c r="AR12" s="1406">
        <v>0</v>
      </c>
      <c r="AS12" s="1406">
        <v>0</v>
      </c>
      <c r="AT12" s="1406">
        <v>0</v>
      </c>
      <c r="AU12" s="1406">
        <v>0</v>
      </c>
      <c r="AV12" s="1406">
        <v>0</v>
      </c>
      <c r="AW12" s="1406">
        <v>0</v>
      </c>
      <c r="AX12" s="1406">
        <v>0</v>
      </c>
      <c r="AY12" s="1406">
        <v>0</v>
      </c>
      <c r="AZ12" s="1406">
        <v>0</v>
      </c>
      <c r="BA12" s="1406">
        <v>0</v>
      </c>
      <c r="BB12" s="1406">
        <v>0</v>
      </c>
      <c r="BC12" s="1514">
        <f>+Y12+AA12</f>
        <v>581552</v>
      </c>
      <c r="BD12" s="1406">
        <v>0</v>
      </c>
      <c r="BE12" s="1406"/>
      <c r="BF12" s="1309">
        <v>0</v>
      </c>
      <c r="BG12" s="1309">
        <v>0</v>
      </c>
      <c r="BH12" s="1406"/>
      <c r="BI12" s="1406"/>
      <c r="BJ12" s="1406"/>
      <c r="BK12" s="1423">
        <v>43832</v>
      </c>
      <c r="BL12" s="1406"/>
      <c r="BM12" s="1423">
        <v>44195</v>
      </c>
      <c r="BN12" s="1406"/>
      <c r="BO12" s="1517" t="s">
        <v>463</v>
      </c>
    </row>
    <row r="13" spans="1:84" s="221" customFormat="1" ht="87.75" customHeight="1" x14ac:dyDescent="0.2">
      <c r="A13" s="557"/>
      <c r="B13" s="558"/>
      <c r="C13" s="559"/>
      <c r="D13" s="568"/>
      <c r="E13" s="568"/>
      <c r="F13" s="569"/>
      <c r="G13" s="562">
        <v>3502007</v>
      </c>
      <c r="H13" s="181" t="s">
        <v>464</v>
      </c>
      <c r="I13" s="213" t="s">
        <v>465</v>
      </c>
      <c r="J13" s="36">
        <v>7</v>
      </c>
      <c r="K13" s="36">
        <v>0</v>
      </c>
      <c r="L13" s="1409"/>
      <c r="M13" s="1432"/>
      <c r="N13" s="1298"/>
      <c r="O13" s="563">
        <f>(T13)/(P12)</f>
        <v>0.56666666666666665</v>
      </c>
      <c r="P13" s="1405"/>
      <c r="Q13" s="1298"/>
      <c r="R13" s="1511"/>
      <c r="S13" s="570" t="s">
        <v>466</v>
      </c>
      <c r="T13" s="571">
        <f>30000000+12500000</f>
        <v>42500000</v>
      </c>
      <c r="U13" s="572">
        <v>0</v>
      </c>
      <c r="V13" s="572">
        <v>0</v>
      </c>
      <c r="W13" s="1513"/>
      <c r="X13" s="573" t="s">
        <v>462</v>
      </c>
      <c r="Y13" s="1515"/>
      <c r="Z13" s="1515"/>
      <c r="AA13" s="1515"/>
      <c r="AB13" s="1515"/>
      <c r="AC13" s="1515"/>
      <c r="AD13" s="1515"/>
      <c r="AE13" s="1515"/>
      <c r="AF13" s="1515"/>
      <c r="AG13" s="1515"/>
      <c r="AH13" s="1515"/>
      <c r="AI13" s="1515"/>
      <c r="AJ13" s="1470"/>
      <c r="AK13" s="1470"/>
      <c r="AL13" s="1470"/>
      <c r="AM13" s="1470"/>
      <c r="AN13" s="1470"/>
      <c r="AO13" s="1470"/>
      <c r="AP13" s="1470"/>
      <c r="AQ13" s="1470"/>
      <c r="AR13" s="1470"/>
      <c r="AS13" s="1470"/>
      <c r="AT13" s="1470"/>
      <c r="AU13" s="1470"/>
      <c r="AV13" s="1470"/>
      <c r="AW13" s="1470"/>
      <c r="AX13" s="1470"/>
      <c r="AY13" s="1470"/>
      <c r="AZ13" s="1470"/>
      <c r="BA13" s="1470"/>
      <c r="BB13" s="1470"/>
      <c r="BC13" s="1515"/>
      <c r="BD13" s="1470"/>
      <c r="BE13" s="1470"/>
      <c r="BF13" s="1311"/>
      <c r="BG13" s="1311"/>
      <c r="BH13" s="1470"/>
      <c r="BI13" s="1470"/>
      <c r="BJ13" s="1470"/>
      <c r="BK13" s="1516"/>
      <c r="BL13" s="1470"/>
      <c r="BM13" s="1516"/>
      <c r="BN13" s="1470"/>
      <c r="BO13" s="1518"/>
    </row>
    <row r="14" spans="1:84" s="3" customFormat="1" ht="102.75" customHeight="1" x14ac:dyDescent="0.2">
      <c r="A14" s="28"/>
      <c r="B14" s="65"/>
      <c r="C14" s="66"/>
      <c r="D14" s="574"/>
      <c r="E14" s="574"/>
      <c r="F14" s="575"/>
      <c r="G14" s="576">
        <v>3502022</v>
      </c>
      <c r="H14" s="32" t="s">
        <v>467</v>
      </c>
      <c r="I14" s="40" t="s">
        <v>468</v>
      </c>
      <c r="J14" s="34">
        <v>14</v>
      </c>
      <c r="K14" s="34">
        <v>10</v>
      </c>
      <c r="L14" s="1281" t="s">
        <v>469</v>
      </c>
      <c r="M14" s="1449" t="s">
        <v>470</v>
      </c>
      <c r="N14" s="1287" t="s">
        <v>471</v>
      </c>
      <c r="O14" s="38">
        <f>(T14)/(P14)</f>
        <v>0.90458015267175573</v>
      </c>
      <c r="P14" s="1452">
        <f>+T14+T15</f>
        <v>209600000</v>
      </c>
      <c r="Q14" s="1519" t="s">
        <v>472</v>
      </c>
      <c r="R14" s="1455" t="s">
        <v>473</v>
      </c>
      <c r="S14" s="577" t="s">
        <v>467</v>
      </c>
      <c r="T14" s="565">
        <f>100000000+89600000</f>
        <v>189600000</v>
      </c>
      <c r="U14" s="578">
        <v>52013333</v>
      </c>
      <c r="V14" s="578">
        <v>52013333</v>
      </c>
      <c r="W14" s="1303" t="s">
        <v>191</v>
      </c>
      <c r="X14" s="1293" t="s">
        <v>71</v>
      </c>
      <c r="Y14" s="1480">
        <v>295972</v>
      </c>
      <c r="Z14" s="1480">
        <v>1103</v>
      </c>
      <c r="AA14" s="1480">
        <v>285580</v>
      </c>
      <c r="AB14" s="1480">
        <v>1104</v>
      </c>
      <c r="AC14" s="1480">
        <v>135545</v>
      </c>
      <c r="AD14" s="1480">
        <v>0</v>
      </c>
      <c r="AE14" s="1480">
        <v>44254</v>
      </c>
      <c r="AF14" s="1480">
        <v>0</v>
      </c>
      <c r="AG14" s="1480">
        <v>309146</v>
      </c>
      <c r="AH14" s="1480">
        <v>2207</v>
      </c>
      <c r="AI14" s="1480">
        <v>92607</v>
      </c>
      <c r="AJ14" s="1303">
        <v>0</v>
      </c>
      <c r="AK14" s="1303">
        <v>0</v>
      </c>
      <c r="AL14" s="1303">
        <v>0</v>
      </c>
      <c r="AM14" s="1303">
        <v>0</v>
      </c>
      <c r="AN14" s="1303">
        <v>0</v>
      </c>
      <c r="AO14" s="1303">
        <v>0</v>
      </c>
      <c r="AP14" s="1303">
        <v>0</v>
      </c>
      <c r="AQ14" s="1303">
        <v>0</v>
      </c>
      <c r="AR14" s="1303">
        <v>0</v>
      </c>
      <c r="AS14" s="1303">
        <v>0</v>
      </c>
      <c r="AT14" s="1303">
        <v>0</v>
      </c>
      <c r="AU14" s="1303">
        <v>0</v>
      </c>
      <c r="AV14" s="1303">
        <v>0</v>
      </c>
      <c r="AW14" s="1303">
        <v>0</v>
      </c>
      <c r="AX14" s="1303">
        <v>0</v>
      </c>
      <c r="AY14" s="1303">
        <v>0</v>
      </c>
      <c r="AZ14" s="1303">
        <v>0</v>
      </c>
      <c r="BA14" s="1303">
        <v>0</v>
      </c>
      <c r="BB14" s="1303">
        <v>0</v>
      </c>
      <c r="BC14" s="1480">
        <f>+Y14+AA14</f>
        <v>581552</v>
      </c>
      <c r="BD14" s="1480">
        <f>SUM(Z14,AB14)</f>
        <v>2207</v>
      </c>
      <c r="BE14" s="1303">
        <v>4</v>
      </c>
      <c r="BF14" s="1309">
        <f>U14</f>
        <v>52013333</v>
      </c>
      <c r="BG14" s="1309">
        <f>V14</f>
        <v>52013333</v>
      </c>
      <c r="BH14" s="1312">
        <f>BG14/BF14</f>
        <v>1</v>
      </c>
      <c r="BI14" s="1524" t="s">
        <v>72</v>
      </c>
      <c r="BJ14" s="1306" t="s">
        <v>474</v>
      </c>
      <c r="BK14" s="1306">
        <v>43832</v>
      </c>
      <c r="BL14" s="1306">
        <v>43886</v>
      </c>
      <c r="BM14" s="1306">
        <v>44195</v>
      </c>
      <c r="BN14" s="1306">
        <v>44002</v>
      </c>
      <c r="BO14" s="1458" t="s">
        <v>463</v>
      </c>
    </row>
    <row r="15" spans="1:84" s="3" customFormat="1" ht="100.5" customHeight="1" x14ac:dyDescent="0.2">
      <c r="A15" s="28"/>
      <c r="B15" s="65"/>
      <c r="C15" s="66"/>
      <c r="D15" s="574"/>
      <c r="E15" s="574"/>
      <c r="F15" s="575"/>
      <c r="G15" s="576">
        <v>3502047</v>
      </c>
      <c r="H15" s="32" t="s">
        <v>475</v>
      </c>
      <c r="I15" s="40" t="s">
        <v>476</v>
      </c>
      <c r="J15" s="34">
        <v>1</v>
      </c>
      <c r="K15" s="34">
        <v>0</v>
      </c>
      <c r="L15" s="1282"/>
      <c r="M15" s="1450"/>
      <c r="N15" s="1288"/>
      <c r="O15" s="38">
        <f>(T15)/(P14)</f>
        <v>9.5419847328244281E-2</v>
      </c>
      <c r="P15" s="1453"/>
      <c r="Q15" s="1520"/>
      <c r="R15" s="1456"/>
      <c r="S15" s="577" t="s">
        <v>475</v>
      </c>
      <c r="T15" s="571">
        <v>20000000</v>
      </c>
      <c r="U15" s="579">
        <v>0</v>
      </c>
      <c r="V15" s="579">
        <v>0</v>
      </c>
      <c r="W15" s="1304"/>
      <c r="X15" s="1294"/>
      <c r="Y15" s="1521"/>
      <c r="Z15" s="1481"/>
      <c r="AA15" s="1521"/>
      <c r="AB15" s="1481"/>
      <c r="AC15" s="1521"/>
      <c r="AD15" s="1481"/>
      <c r="AE15" s="1521"/>
      <c r="AF15" s="1481"/>
      <c r="AG15" s="1521"/>
      <c r="AH15" s="1481"/>
      <c r="AI15" s="1521"/>
      <c r="AJ15" s="1305"/>
      <c r="AK15" s="1304"/>
      <c r="AL15" s="1305"/>
      <c r="AM15" s="1304"/>
      <c r="AN15" s="1305"/>
      <c r="AO15" s="1304"/>
      <c r="AP15" s="1305"/>
      <c r="AQ15" s="1304"/>
      <c r="AR15" s="1305"/>
      <c r="AS15" s="1304"/>
      <c r="AT15" s="1305"/>
      <c r="AU15" s="1304"/>
      <c r="AV15" s="1305"/>
      <c r="AW15" s="1304"/>
      <c r="AX15" s="1305"/>
      <c r="AY15" s="1304"/>
      <c r="AZ15" s="1305"/>
      <c r="BA15" s="1304"/>
      <c r="BB15" s="1305"/>
      <c r="BC15" s="1521"/>
      <c r="BD15" s="1521"/>
      <c r="BE15" s="1305"/>
      <c r="BF15" s="1311"/>
      <c r="BG15" s="1311"/>
      <c r="BH15" s="1314"/>
      <c r="BI15" s="1525"/>
      <c r="BJ15" s="1308"/>
      <c r="BK15" s="1308"/>
      <c r="BL15" s="1308"/>
      <c r="BM15" s="1308"/>
      <c r="BN15" s="1308"/>
      <c r="BO15" s="1459"/>
    </row>
    <row r="16" spans="1:84" s="3" customFormat="1" ht="87.75" customHeight="1" x14ac:dyDescent="0.2">
      <c r="A16" s="28"/>
      <c r="B16" s="65"/>
      <c r="C16" s="66"/>
      <c r="D16" s="574"/>
      <c r="E16" s="574"/>
      <c r="F16" s="575"/>
      <c r="G16" s="1522">
        <v>3502039</v>
      </c>
      <c r="H16" s="1299" t="s">
        <v>477</v>
      </c>
      <c r="I16" s="32" t="s">
        <v>276</v>
      </c>
      <c r="J16" s="34">
        <v>12</v>
      </c>
      <c r="K16" s="34">
        <v>12</v>
      </c>
      <c r="L16" s="1281" t="s">
        <v>478</v>
      </c>
      <c r="M16" s="1449" t="s">
        <v>479</v>
      </c>
      <c r="N16" s="1287" t="s">
        <v>480</v>
      </c>
      <c r="O16" s="1312">
        <f>(T16)/(P16)</f>
        <v>0.91998347511302225</v>
      </c>
      <c r="P16" s="1526">
        <f>+T16+T18</f>
        <v>456404937</v>
      </c>
      <c r="Q16" s="1293" t="s">
        <v>481</v>
      </c>
      <c r="R16" s="1455" t="s">
        <v>482</v>
      </c>
      <c r="S16" s="1299" t="s">
        <v>477</v>
      </c>
      <c r="T16" s="1452">
        <f>434485000-14600000-236245001+236245001</f>
        <v>419885000</v>
      </c>
      <c r="U16" s="1529">
        <v>93839999</v>
      </c>
      <c r="V16" s="1529">
        <v>84533333</v>
      </c>
      <c r="W16" s="1303" t="s">
        <v>191</v>
      </c>
      <c r="X16" s="1293" t="s">
        <v>71</v>
      </c>
      <c r="Y16" s="1480">
        <v>6041</v>
      </c>
      <c r="Z16" s="1480">
        <v>1103</v>
      </c>
      <c r="AA16" s="1480">
        <v>6016</v>
      </c>
      <c r="AB16" s="1480">
        <v>1104</v>
      </c>
      <c r="AC16" s="1480">
        <v>0</v>
      </c>
      <c r="AD16" s="1480">
        <v>0</v>
      </c>
      <c r="AE16" s="1480">
        <v>0</v>
      </c>
      <c r="AF16" s="1480">
        <v>0</v>
      </c>
      <c r="AG16" s="1530">
        <v>12057</v>
      </c>
      <c r="AH16" s="1530">
        <v>2207</v>
      </c>
      <c r="AI16" s="1480">
        <v>0</v>
      </c>
      <c r="AJ16" s="196"/>
      <c r="AK16" s="1281">
        <v>0</v>
      </c>
      <c r="AL16" s="196"/>
      <c r="AM16" s="1281">
        <v>0</v>
      </c>
      <c r="AN16" s="196"/>
      <c r="AO16" s="1281">
        <v>0</v>
      </c>
      <c r="AP16" s="196"/>
      <c r="AQ16" s="1281">
        <v>0</v>
      </c>
      <c r="AR16" s="196"/>
      <c r="AS16" s="1281">
        <v>0</v>
      </c>
      <c r="AT16" s="196"/>
      <c r="AU16" s="1281">
        <v>0</v>
      </c>
      <c r="AV16" s="196"/>
      <c r="AW16" s="1281">
        <v>0</v>
      </c>
      <c r="AX16" s="196"/>
      <c r="AY16" s="1281">
        <v>0</v>
      </c>
      <c r="AZ16" s="196"/>
      <c r="BA16" s="1281">
        <v>0</v>
      </c>
      <c r="BB16" s="196"/>
      <c r="BC16" s="1480">
        <f>+Y16+AA16</f>
        <v>12057</v>
      </c>
      <c r="BD16" s="1480">
        <f>AH16</f>
        <v>2207</v>
      </c>
      <c r="BE16" s="1281">
        <v>12</v>
      </c>
      <c r="BF16" s="1533">
        <f>U16</f>
        <v>93839999</v>
      </c>
      <c r="BG16" s="1533">
        <f>V16</f>
        <v>84533333</v>
      </c>
      <c r="BH16" s="1312">
        <f>BG16/BF16</f>
        <v>0.90082410380247335</v>
      </c>
      <c r="BI16" s="1281" t="s">
        <v>72</v>
      </c>
      <c r="BJ16" s="1281" t="s">
        <v>483</v>
      </c>
      <c r="BK16" s="1306">
        <v>43832</v>
      </c>
      <c r="BL16" s="1492">
        <v>43886</v>
      </c>
      <c r="BM16" s="1306">
        <v>44195</v>
      </c>
      <c r="BN16" s="1492">
        <v>44002</v>
      </c>
      <c r="BO16" s="1458" t="s">
        <v>463</v>
      </c>
    </row>
    <row r="17" spans="1:67" s="3" customFormat="1" ht="87.75" customHeight="1" x14ac:dyDescent="0.2">
      <c r="A17" s="28"/>
      <c r="B17" s="65"/>
      <c r="C17" s="66"/>
      <c r="D17" s="574"/>
      <c r="E17" s="574"/>
      <c r="F17" s="575"/>
      <c r="G17" s="1523"/>
      <c r="H17" s="1301"/>
      <c r="I17" s="32" t="s">
        <v>484</v>
      </c>
      <c r="J17" s="34">
        <v>1</v>
      </c>
      <c r="K17" s="34">
        <v>0</v>
      </c>
      <c r="L17" s="1282"/>
      <c r="M17" s="1450"/>
      <c r="N17" s="1288"/>
      <c r="O17" s="1314"/>
      <c r="P17" s="1527"/>
      <c r="Q17" s="1294"/>
      <c r="R17" s="1456"/>
      <c r="S17" s="1301"/>
      <c r="T17" s="1454"/>
      <c r="U17" s="1529"/>
      <c r="V17" s="1529"/>
      <c r="W17" s="1304"/>
      <c r="X17" s="1294"/>
      <c r="Y17" s="1521"/>
      <c r="Z17" s="1521"/>
      <c r="AA17" s="1521"/>
      <c r="AB17" s="1521"/>
      <c r="AC17" s="1521"/>
      <c r="AD17" s="1521"/>
      <c r="AE17" s="1521"/>
      <c r="AF17" s="1521"/>
      <c r="AG17" s="1531"/>
      <c r="AH17" s="1531"/>
      <c r="AI17" s="1521"/>
      <c r="AJ17" s="439"/>
      <c r="AK17" s="1282"/>
      <c r="AL17" s="439"/>
      <c r="AM17" s="1282"/>
      <c r="AN17" s="439"/>
      <c r="AO17" s="1282"/>
      <c r="AP17" s="439"/>
      <c r="AQ17" s="1282"/>
      <c r="AR17" s="439"/>
      <c r="AS17" s="1282"/>
      <c r="AT17" s="439"/>
      <c r="AU17" s="1282"/>
      <c r="AV17" s="439"/>
      <c r="AW17" s="1282"/>
      <c r="AX17" s="439"/>
      <c r="AY17" s="1282"/>
      <c r="AZ17" s="439"/>
      <c r="BA17" s="1282"/>
      <c r="BB17" s="439"/>
      <c r="BC17" s="1521"/>
      <c r="BD17" s="1282"/>
      <c r="BE17" s="1282"/>
      <c r="BF17" s="1282"/>
      <c r="BG17" s="1282"/>
      <c r="BH17" s="1313"/>
      <c r="BI17" s="1282"/>
      <c r="BJ17" s="1282"/>
      <c r="BK17" s="1307"/>
      <c r="BL17" s="1282"/>
      <c r="BM17" s="1307"/>
      <c r="BN17" s="1282"/>
      <c r="BO17" s="1459"/>
    </row>
    <row r="18" spans="1:67" s="3" customFormat="1" ht="99" customHeight="1" x14ac:dyDescent="0.2">
      <c r="A18" s="28"/>
      <c r="B18" s="65"/>
      <c r="C18" s="66"/>
      <c r="D18" s="574"/>
      <c r="E18" s="574"/>
      <c r="F18" s="575"/>
      <c r="G18" s="576">
        <v>3502047</v>
      </c>
      <c r="H18" s="32" t="s">
        <v>475</v>
      </c>
      <c r="I18" s="40" t="s">
        <v>476</v>
      </c>
      <c r="J18" s="34">
        <v>1</v>
      </c>
      <c r="K18" s="34">
        <v>0</v>
      </c>
      <c r="L18" s="1283"/>
      <c r="M18" s="1451"/>
      <c r="N18" s="1289"/>
      <c r="O18" s="38">
        <f>(T18)/(P16)</f>
        <v>8.0016524886977719E-2</v>
      </c>
      <c r="P18" s="1528"/>
      <c r="Q18" s="1294"/>
      <c r="R18" s="1456"/>
      <c r="S18" s="32" t="s">
        <v>475</v>
      </c>
      <c r="T18" s="571">
        <v>36519937</v>
      </c>
      <c r="U18" s="580">
        <v>0</v>
      </c>
      <c r="V18" s="580">
        <v>0</v>
      </c>
      <c r="W18" s="1305"/>
      <c r="X18" s="1295"/>
      <c r="Y18" s="1481"/>
      <c r="Z18" s="1481"/>
      <c r="AA18" s="1481"/>
      <c r="AB18" s="1481"/>
      <c r="AC18" s="1481"/>
      <c r="AD18" s="1481"/>
      <c r="AE18" s="1481"/>
      <c r="AF18" s="1481"/>
      <c r="AG18" s="1532"/>
      <c r="AH18" s="1532"/>
      <c r="AI18" s="1481"/>
      <c r="AJ18" s="106"/>
      <c r="AK18" s="1283"/>
      <c r="AL18" s="106"/>
      <c r="AM18" s="1283"/>
      <c r="AN18" s="106"/>
      <c r="AO18" s="1283"/>
      <c r="AP18" s="106"/>
      <c r="AQ18" s="1283"/>
      <c r="AR18" s="106"/>
      <c r="AS18" s="1283"/>
      <c r="AT18" s="106"/>
      <c r="AU18" s="1283"/>
      <c r="AV18" s="106"/>
      <c r="AW18" s="1283"/>
      <c r="AX18" s="106"/>
      <c r="AY18" s="1283"/>
      <c r="AZ18" s="106"/>
      <c r="BA18" s="1283"/>
      <c r="BB18" s="106"/>
      <c r="BC18" s="1481"/>
      <c r="BD18" s="1283"/>
      <c r="BE18" s="1283"/>
      <c r="BF18" s="1283"/>
      <c r="BG18" s="1283"/>
      <c r="BH18" s="1314"/>
      <c r="BI18" s="1283"/>
      <c r="BJ18" s="1283"/>
      <c r="BK18" s="1308"/>
      <c r="BL18" s="1283"/>
      <c r="BM18" s="1308"/>
      <c r="BN18" s="1283"/>
      <c r="BO18" s="1460"/>
    </row>
    <row r="19" spans="1:67" s="3" customFormat="1" ht="129" customHeight="1" x14ac:dyDescent="0.2">
      <c r="A19" s="28"/>
      <c r="B19" s="65"/>
      <c r="C19" s="66"/>
      <c r="D19" s="574"/>
      <c r="E19" s="574"/>
      <c r="F19" s="575"/>
      <c r="G19" s="581">
        <v>3502046</v>
      </c>
      <c r="H19" s="70" t="s">
        <v>485</v>
      </c>
      <c r="I19" s="40" t="s">
        <v>486</v>
      </c>
      <c r="J19" s="34">
        <v>1</v>
      </c>
      <c r="K19" s="34">
        <v>0.42</v>
      </c>
      <c r="L19" s="36" t="s">
        <v>487</v>
      </c>
      <c r="M19" s="408" t="s">
        <v>488</v>
      </c>
      <c r="N19" s="32" t="s">
        <v>489</v>
      </c>
      <c r="O19" s="38">
        <f>+T19/P19</f>
        <v>1</v>
      </c>
      <c r="P19" s="582">
        <f>+T19</f>
        <v>545981904.85000002</v>
      </c>
      <c r="Q19" s="40" t="s">
        <v>490</v>
      </c>
      <c r="R19" s="41" t="s">
        <v>491</v>
      </c>
      <c r="S19" s="32" t="s">
        <v>485</v>
      </c>
      <c r="T19" s="393">
        <v>545981904.85000002</v>
      </c>
      <c r="U19" s="393">
        <v>232026666</v>
      </c>
      <c r="V19" s="393">
        <v>228426666</v>
      </c>
      <c r="W19" s="204" t="s">
        <v>492</v>
      </c>
      <c r="X19" s="201" t="s">
        <v>493</v>
      </c>
      <c r="Y19" s="583">
        <v>6041</v>
      </c>
      <c r="Z19" s="583">
        <v>3015</v>
      </c>
      <c r="AA19" s="583">
        <v>6016</v>
      </c>
      <c r="AB19" s="583">
        <v>3005</v>
      </c>
      <c r="AC19" s="583">
        <v>0</v>
      </c>
      <c r="AD19" s="583">
        <v>0</v>
      </c>
      <c r="AE19" s="583">
        <v>0</v>
      </c>
      <c r="AF19" s="583">
        <v>0</v>
      </c>
      <c r="AG19" s="583">
        <v>12057</v>
      </c>
      <c r="AH19" s="583">
        <f>Z19+AB19</f>
        <v>6020</v>
      </c>
      <c r="AI19" s="583">
        <v>0</v>
      </c>
      <c r="AJ19" s="584">
        <v>0</v>
      </c>
      <c r="AK19" s="584">
        <v>0</v>
      </c>
      <c r="AL19" s="584">
        <v>0</v>
      </c>
      <c r="AM19" s="584">
        <v>0</v>
      </c>
      <c r="AN19" s="584">
        <v>0</v>
      </c>
      <c r="AO19" s="584">
        <v>0</v>
      </c>
      <c r="AP19" s="584">
        <v>0</v>
      </c>
      <c r="AQ19" s="584">
        <v>0</v>
      </c>
      <c r="AR19" s="584">
        <v>0</v>
      </c>
      <c r="AS19" s="584">
        <v>0</v>
      </c>
      <c r="AT19" s="584">
        <v>0</v>
      </c>
      <c r="AU19" s="584">
        <v>0</v>
      </c>
      <c r="AV19" s="584">
        <v>0</v>
      </c>
      <c r="AW19" s="584">
        <v>0</v>
      </c>
      <c r="AX19" s="584">
        <v>0</v>
      </c>
      <c r="AY19" s="584">
        <v>0</v>
      </c>
      <c r="AZ19" s="584">
        <v>0</v>
      </c>
      <c r="BA19" s="584">
        <v>0</v>
      </c>
      <c r="BB19" s="584">
        <v>0</v>
      </c>
      <c r="BC19" s="583">
        <f>+Y19+AA19</f>
        <v>12057</v>
      </c>
      <c r="BD19" s="583">
        <f>AH19</f>
        <v>6020</v>
      </c>
      <c r="BE19" s="584">
        <v>3</v>
      </c>
      <c r="BF19" s="585">
        <f>U19</f>
        <v>232026666</v>
      </c>
      <c r="BG19" s="585">
        <f>V19</f>
        <v>228426666</v>
      </c>
      <c r="BH19" s="586">
        <f>BG19/BF19</f>
        <v>0.98448454196208635</v>
      </c>
      <c r="BI19" s="204" t="s">
        <v>494</v>
      </c>
      <c r="BJ19" s="587" t="s">
        <v>495</v>
      </c>
      <c r="BK19" s="277">
        <v>43832</v>
      </c>
      <c r="BL19" s="277">
        <v>43860</v>
      </c>
      <c r="BM19" s="277">
        <v>44195</v>
      </c>
      <c r="BN19" s="277">
        <v>44002</v>
      </c>
      <c r="BO19" s="317" t="s">
        <v>463</v>
      </c>
    </row>
    <row r="20" spans="1:67" s="3" customFormat="1" ht="27" customHeight="1" x14ac:dyDescent="0.2">
      <c r="A20" s="14"/>
      <c r="B20" s="192"/>
      <c r="C20" s="279"/>
      <c r="D20" s="16">
        <v>28</v>
      </c>
      <c r="E20" s="16" t="s">
        <v>496</v>
      </c>
      <c r="F20" s="259"/>
      <c r="G20" s="401"/>
      <c r="H20" s="259"/>
      <c r="I20" s="387"/>
      <c r="J20" s="588"/>
      <c r="K20" s="588"/>
      <c r="L20" s="548"/>
      <c r="M20" s="549"/>
      <c r="N20" s="589"/>
      <c r="O20" s="551"/>
      <c r="P20" s="552"/>
      <c r="Q20" s="589"/>
      <c r="R20" s="589"/>
      <c r="S20" s="589"/>
      <c r="T20" s="267"/>
      <c r="U20" s="267"/>
      <c r="V20" s="267"/>
      <c r="W20" s="268"/>
      <c r="X20" s="266"/>
      <c r="Y20" s="590"/>
      <c r="Z20" s="590"/>
      <c r="AA20" s="590"/>
      <c r="AB20" s="590"/>
      <c r="AC20" s="590"/>
      <c r="AD20" s="590"/>
      <c r="AE20" s="590"/>
      <c r="AF20" s="590"/>
      <c r="AG20" s="590"/>
      <c r="AH20" s="590"/>
      <c r="AI20" s="590"/>
      <c r="AJ20" s="262"/>
      <c r="AK20" s="262"/>
      <c r="AL20" s="262"/>
      <c r="AM20" s="262"/>
      <c r="AN20" s="262"/>
      <c r="AO20" s="262"/>
      <c r="AP20" s="262"/>
      <c r="AQ20" s="262"/>
      <c r="AR20" s="262"/>
      <c r="AS20" s="262"/>
      <c r="AT20" s="262"/>
      <c r="AU20" s="262"/>
      <c r="AV20" s="262"/>
      <c r="AW20" s="262"/>
      <c r="AX20" s="262"/>
      <c r="AY20" s="262"/>
      <c r="AZ20" s="262"/>
      <c r="BA20" s="262"/>
      <c r="BB20" s="262"/>
      <c r="BC20" s="590"/>
      <c r="BD20" s="262"/>
      <c r="BE20" s="262"/>
      <c r="BF20" s="262"/>
      <c r="BG20" s="262"/>
      <c r="BH20" s="262"/>
      <c r="BI20" s="262"/>
      <c r="BJ20" s="262"/>
      <c r="BK20" s="269"/>
      <c r="BL20" s="269"/>
      <c r="BM20" s="269"/>
      <c r="BN20" s="269"/>
      <c r="BO20" s="282"/>
    </row>
    <row r="21" spans="1:67" s="3" customFormat="1" ht="87.75" customHeight="1" x14ac:dyDescent="0.2">
      <c r="A21" s="28"/>
      <c r="B21" s="65"/>
      <c r="C21" s="66"/>
      <c r="D21" s="330"/>
      <c r="E21" s="591"/>
      <c r="F21" s="592"/>
      <c r="G21" s="37">
        <v>3602018</v>
      </c>
      <c r="H21" s="32" t="s">
        <v>497</v>
      </c>
      <c r="I21" s="33" t="s">
        <v>498</v>
      </c>
      <c r="J21" s="407">
        <v>3</v>
      </c>
      <c r="K21" s="407">
        <v>0</v>
      </c>
      <c r="L21" s="1478" t="s">
        <v>499</v>
      </c>
      <c r="M21" s="1449" t="s">
        <v>500</v>
      </c>
      <c r="N21" s="1299" t="s">
        <v>501</v>
      </c>
      <c r="O21" s="563">
        <f>(T21)/($P$21)</f>
        <v>0.60655967236641761</v>
      </c>
      <c r="P21" s="1452">
        <f>SUM(T21:T24)</f>
        <v>285685000</v>
      </c>
      <c r="Q21" s="1287" t="s">
        <v>502</v>
      </c>
      <c r="R21" s="1535" t="s">
        <v>503</v>
      </c>
      <c r="S21" s="32" t="s">
        <v>497</v>
      </c>
      <c r="T21" s="410">
        <v>173285000</v>
      </c>
      <c r="U21" s="393">
        <v>0</v>
      </c>
      <c r="V21" s="393">
        <v>0</v>
      </c>
      <c r="W21" s="1303" t="s">
        <v>70</v>
      </c>
      <c r="X21" s="1293" t="s">
        <v>71</v>
      </c>
      <c r="Y21" s="1504">
        <v>295972</v>
      </c>
      <c r="Z21" s="1504">
        <v>1103</v>
      </c>
      <c r="AA21" s="1504">
        <v>285580</v>
      </c>
      <c r="AB21" s="1504">
        <v>1104</v>
      </c>
      <c r="AC21" s="1504">
        <v>135545</v>
      </c>
      <c r="AD21" s="1504">
        <v>0</v>
      </c>
      <c r="AE21" s="1504">
        <v>44254</v>
      </c>
      <c r="AF21" s="1504">
        <v>0</v>
      </c>
      <c r="AG21" s="1504">
        <v>309146</v>
      </c>
      <c r="AH21" s="1504">
        <f>Z21+AB21</f>
        <v>2207</v>
      </c>
      <c r="AI21" s="1504">
        <v>92607</v>
      </c>
      <c r="AJ21" s="1472">
        <v>0</v>
      </c>
      <c r="AK21" s="1472">
        <v>0</v>
      </c>
      <c r="AL21" s="1472">
        <v>0</v>
      </c>
      <c r="AM21" s="1472">
        <v>0</v>
      </c>
      <c r="AN21" s="1472">
        <v>0</v>
      </c>
      <c r="AO21" s="1472">
        <v>0</v>
      </c>
      <c r="AP21" s="1472">
        <v>0</v>
      </c>
      <c r="AQ21" s="1472">
        <v>0</v>
      </c>
      <c r="AR21" s="1472">
        <v>0</v>
      </c>
      <c r="AS21" s="1472">
        <v>0</v>
      </c>
      <c r="AT21" s="1472">
        <v>0</v>
      </c>
      <c r="AU21" s="1472">
        <v>0</v>
      </c>
      <c r="AV21" s="1472">
        <v>0</v>
      </c>
      <c r="AW21" s="1472">
        <v>44.35</v>
      </c>
      <c r="AX21" s="1472">
        <v>0</v>
      </c>
      <c r="AY21" s="1472">
        <v>21.44</v>
      </c>
      <c r="AZ21" s="1472">
        <v>0</v>
      </c>
      <c r="BA21" s="1472">
        <v>75687</v>
      </c>
      <c r="BB21" s="1472">
        <v>0</v>
      </c>
      <c r="BC21" s="1504">
        <f>+Y21+AA21</f>
        <v>581552</v>
      </c>
      <c r="BD21" s="1504">
        <f>AH21</f>
        <v>2207</v>
      </c>
      <c r="BE21" s="1472">
        <v>2</v>
      </c>
      <c r="BF21" s="1540">
        <f>SUM(U21:U24)</f>
        <v>24400000</v>
      </c>
      <c r="BG21" s="1540">
        <f>SUM(V21:V24)</f>
        <v>24400000</v>
      </c>
      <c r="BH21" s="1542">
        <f>BG21/BF21</f>
        <v>1</v>
      </c>
      <c r="BI21" s="1478" t="s">
        <v>72</v>
      </c>
      <c r="BJ21" s="1478" t="s">
        <v>474</v>
      </c>
      <c r="BK21" s="1306">
        <v>43832</v>
      </c>
      <c r="BL21" s="1541">
        <v>43886</v>
      </c>
      <c r="BM21" s="1306">
        <v>44195</v>
      </c>
      <c r="BN21" s="1541">
        <v>44002</v>
      </c>
      <c r="BO21" s="1287" t="s">
        <v>463</v>
      </c>
    </row>
    <row r="22" spans="1:67" s="4" customFormat="1" ht="81" customHeight="1" x14ac:dyDescent="0.2">
      <c r="A22" s="283"/>
      <c r="B22" s="91"/>
      <c r="C22" s="89"/>
      <c r="F22" s="89"/>
      <c r="G22" s="595">
        <v>3602032</v>
      </c>
      <c r="H22" s="32" t="s">
        <v>504</v>
      </c>
      <c r="I22" s="33" t="s">
        <v>505</v>
      </c>
      <c r="J22" s="92">
        <v>14</v>
      </c>
      <c r="K22" s="92" t="s">
        <v>506</v>
      </c>
      <c r="L22" s="1534"/>
      <c r="M22" s="1450"/>
      <c r="N22" s="1300"/>
      <c r="O22" s="563">
        <f t="shared" ref="O22:O24" si="0">(T22)/($P$21)</f>
        <v>0.26042669373610794</v>
      </c>
      <c r="P22" s="1453"/>
      <c r="Q22" s="1288"/>
      <c r="R22" s="1536"/>
      <c r="S22" s="32" t="s">
        <v>504</v>
      </c>
      <c r="T22" s="410">
        <v>74400000</v>
      </c>
      <c r="U22" s="410">
        <v>24400000</v>
      </c>
      <c r="V22" s="410">
        <v>24400000</v>
      </c>
      <c r="W22" s="1304"/>
      <c r="X22" s="1294"/>
      <c r="Y22" s="1538"/>
      <c r="Z22" s="1538"/>
      <c r="AA22" s="1538"/>
      <c r="AB22" s="1538"/>
      <c r="AC22" s="1538"/>
      <c r="AD22" s="1538"/>
      <c r="AE22" s="1538"/>
      <c r="AF22" s="1538"/>
      <c r="AG22" s="1538"/>
      <c r="AH22" s="1538"/>
      <c r="AI22" s="1538"/>
      <c r="AJ22" s="1539"/>
      <c r="AK22" s="1539"/>
      <c r="AL22" s="1539"/>
      <c r="AM22" s="1539"/>
      <c r="AN22" s="1539"/>
      <c r="AO22" s="1539"/>
      <c r="AP22" s="1539"/>
      <c r="AQ22" s="1539"/>
      <c r="AR22" s="1539"/>
      <c r="AS22" s="1539"/>
      <c r="AT22" s="1539"/>
      <c r="AU22" s="1539"/>
      <c r="AV22" s="1539"/>
      <c r="AW22" s="1539"/>
      <c r="AX22" s="1539"/>
      <c r="AY22" s="1539"/>
      <c r="AZ22" s="1539"/>
      <c r="BA22" s="1539"/>
      <c r="BB22" s="1539"/>
      <c r="BC22" s="1538"/>
      <c r="BD22" s="1539"/>
      <c r="BE22" s="1539"/>
      <c r="BF22" s="1539"/>
      <c r="BG22" s="1539"/>
      <c r="BH22" s="1543"/>
      <c r="BI22" s="1534"/>
      <c r="BJ22" s="1534"/>
      <c r="BK22" s="1307"/>
      <c r="BL22" s="1539"/>
      <c r="BM22" s="1307"/>
      <c r="BN22" s="1539"/>
      <c r="BO22" s="1288"/>
    </row>
    <row r="23" spans="1:67" s="4" customFormat="1" ht="79.5" customHeight="1" x14ac:dyDescent="0.2">
      <c r="A23" s="283"/>
      <c r="B23" s="91"/>
      <c r="C23" s="89"/>
      <c r="F23" s="89"/>
      <c r="G23" s="595">
        <v>3602029</v>
      </c>
      <c r="H23" s="32" t="s">
        <v>507</v>
      </c>
      <c r="I23" s="33" t="s">
        <v>508</v>
      </c>
      <c r="J23" s="92">
        <v>5</v>
      </c>
      <c r="K23" s="92">
        <v>0</v>
      </c>
      <c r="L23" s="1534"/>
      <c r="M23" s="1450"/>
      <c r="N23" s="1300"/>
      <c r="O23" s="563">
        <f t="shared" si="0"/>
        <v>7.0007175735512892E-2</v>
      </c>
      <c r="P23" s="1453"/>
      <c r="Q23" s="1288"/>
      <c r="R23" s="1536"/>
      <c r="S23" s="32" t="s">
        <v>507</v>
      </c>
      <c r="T23" s="410">
        <v>20000000</v>
      </c>
      <c r="U23" s="596">
        <v>0</v>
      </c>
      <c r="V23" s="596">
        <v>0</v>
      </c>
      <c r="W23" s="1304"/>
      <c r="X23" s="1294"/>
      <c r="Y23" s="1538"/>
      <c r="Z23" s="1538"/>
      <c r="AA23" s="1538"/>
      <c r="AB23" s="1538"/>
      <c r="AC23" s="1538"/>
      <c r="AD23" s="1538"/>
      <c r="AE23" s="1538"/>
      <c r="AF23" s="1538"/>
      <c r="AG23" s="1538"/>
      <c r="AH23" s="1538"/>
      <c r="AI23" s="1538"/>
      <c r="AJ23" s="1539"/>
      <c r="AK23" s="1539"/>
      <c r="AL23" s="1539"/>
      <c r="AM23" s="1539"/>
      <c r="AN23" s="1539"/>
      <c r="AO23" s="1539"/>
      <c r="AP23" s="1539"/>
      <c r="AQ23" s="1539"/>
      <c r="AR23" s="1539"/>
      <c r="AS23" s="1539"/>
      <c r="AT23" s="1539"/>
      <c r="AU23" s="1539"/>
      <c r="AV23" s="1539"/>
      <c r="AW23" s="1539"/>
      <c r="AX23" s="1539"/>
      <c r="AY23" s="1539"/>
      <c r="AZ23" s="1539"/>
      <c r="BA23" s="1539"/>
      <c r="BB23" s="1539"/>
      <c r="BC23" s="1538"/>
      <c r="BD23" s="1539"/>
      <c r="BE23" s="1539"/>
      <c r="BF23" s="1539"/>
      <c r="BG23" s="1539"/>
      <c r="BH23" s="1543"/>
      <c r="BI23" s="1534"/>
      <c r="BJ23" s="1534"/>
      <c r="BK23" s="1307"/>
      <c r="BL23" s="1539"/>
      <c r="BM23" s="1307"/>
      <c r="BN23" s="1539"/>
      <c r="BO23" s="1288"/>
    </row>
    <row r="24" spans="1:67" s="4" customFormat="1" ht="83.25" customHeight="1" x14ac:dyDescent="0.2">
      <c r="A24" s="283"/>
      <c r="B24" s="91"/>
      <c r="C24" s="89"/>
      <c r="D24" s="103"/>
      <c r="E24" s="103"/>
      <c r="F24" s="104"/>
      <c r="G24" s="595">
        <v>3602030</v>
      </c>
      <c r="H24" s="32" t="s">
        <v>509</v>
      </c>
      <c r="I24" s="33" t="s">
        <v>510</v>
      </c>
      <c r="J24" s="92">
        <v>1</v>
      </c>
      <c r="K24" s="92">
        <v>0</v>
      </c>
      <c r="L24" s="1479"/>
      <c r="M24" s="1451"/>
      <c r="N24" s="1301"/>
      <c r="O24" s="563">
        <f t="shared" si="0"/>
        <v>6.3006458161961598E-2</v>
      </c>
      <c r="P24" s="1454"/>
      <c r="Q24" s="1289"/>
      <c r="R24" s="1537"/>
      <c r="S24" s="32" t="s">
        <v>509</v>
      </c>
      <c r="T24" s="410">
        <v>18000000</v>
      </c>
      <c r="U24" s="410">
        <v>0</v>
      </c>
      <c r="V24" s="410">
        <v>0</v>
      </c>
      <c r="W24" s="1305"/>
      <c r="X24" s="1295"/>
      <c r="Y24" s="1505"/>
      <c r="Z24" s="1505"/>
      <c r="AA24" s="1505"/>
      <c r="AB24" s="1505"/>
      <c r="AC24" s="1505"/>
      <c r="AD24" s="1505"/>
      <c r="AE24" s="1505"/>
      <c r="AF24" s="1505"/>
      <c r="AG24" s="1505"/>
      <c r="AH24" s="1505"/>
      <c r="AI24" s="1505"/>
      <c r="AJ24" s="1473"/>
      <c r="AK24" s="1473"/>
      <c r="AL24" s="1473"/>
      <c r="AM24" s="1473"/>
      <c r="AN24" s="1473"/>
      <c r="AO24" s="1473"/>
      <c r="AP24" s="1473"/>
      <c r="AQ24" s="1473"/>
      <c r="AR24" s="1473"/>
      <c r="AS24" s="1473"/>
      <c r="AT24" s="1473"/>
      <c r="AU24" s="1473"/>
      <c r="AV24" s="1473"/>
      <c r="AW24" s="1473"/>
      <c r="AX24" s="1473"/>
      <c r="AY24" s="1473"/>
      <c r="AZ24" s="1473"/>
      <c r="BA24" s="1473"/>
      <c r="BB24" s="1473"/>
      <c r="BC24" s="1505"/>
      <c r="BD24" s="1473"/>
      <c r="BE24" s="1473"/>
      <c r="BF24" s="1473"/>
      <c r="BG24" s="1473"/>
      <c r="BH24" s="1544"/>
      <c r="BI24" s="1479"/>
      <c r="BJ24" s="1479"/>
      <c r="BK24" s="1308"/>
      <c r="BL24" s="1473"/>
      <c r="BM24" s="1308"/>
      <c r="BN24" s="1473"/>
      <c r="BO24" s="1289"/>
    </row>
    <row r="25" spans="1:67" s="4" customFormat="1" ht="27" customHeight="1" x14ac:dyDescent="0.2">
      <c r="A25" s="484"/>
      <c r="B25" s="485"/>
      <c r="C25" s="486"/>
      <c r="D25" s="487"/>
      <c r="E25" s="487"/>
      <c r="F25" s="488"/>
      <c r="G25" s="119"/>
      <c r="H25" s="40"/>
      <c r="I25" s="40"/>
      <c r="J25" s="114"/>
      <c r="K25" s="114"/>
      <c r="L25" s="34"/>
      <c r="M25" s="115"/>
      <c r="N25" s="113"/>
      <c r="O25" s="116"/>
      <c r="P25" s="344">
        <f>SUM(P12:P24)</f>
        <v>1572671841.8499999</v>
      </c>
      <c r="Q25" s="118"/>
      <c r="R25" s="118"/>
      <c r="S25" s="118"/>
      <c r="T25" s="344">
        <f>SUM(T12:T24)</f>
        <v>1572671841.8499999</v>
      </c>
      <c r="U25" s="344">
        <f t="shared" ref="U25:V25" si="1">SUM(U12:U24)</f>
        <v>402279998</v>
      </c>
      <c r="V25" s="344">
        <f t="shared" si="1"/>
        <v>389373332</v>
      </c>
      <c r="W25" s="110"/>
      <c r="X25" s="92"/>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344">
        <f t="shared" ref="BF25:BG25" si="2">SUM(BF12:BF24)</f>
        <v>402279998</v>
      </c>
      <c r="BG25" s="344">
        <f t="shared" si="2"/>
        <v>389373332</v>
      </c>
      <c r="BH25" s="372">
        <f>BG25/BF25</f>
        <v>0.96791621242873727</v>
      </c>
      <c r="BI25" s="119"/>
      <c r="BJ25" s="119"/>
      <c r="BK25" s="122"/>
      <c r="BL25" s="122"/>
      <c r="BM25" s="123"/>
      <c r="BN25" s="123"/>
      <c r="BO25" s="124"/>
    </row>
    <row r="26" spans="1:67" s="4" customFormat="1" ht="109.5" customHeight="1" x14ac:dyDescent="0.2">
      <c r="A26" s="127"/>
      <c r="B26" s="347"/>
      <c r="C26" s="348"/>
      <c r="D26" s="103"/>
      <c r="E26" s="103"/>
      <c r="F26" s="103"/>
      <c r="G26" s="490"/>
      <c r="H26" s="489"/>
      <c r="I26" s="489"/>
      <c r="J26" s="3"/>
      <c r="K26" s="3"/>
      <c r="L26" s="29"/>
      <c r="M26" s="126"/>
      <c r="N26" s="125"/>
      <c r="O26" s="127"/>
      <c r="P26" s="597"/>
      <c r="Q26" s="136"/>
      <c r="R26" s="136"/>
      <c r="S26" s="136"/>
      <c r="T26" s="598"/>
      <c r="U26" s="598"/>
      <c r="V26" s="598"/>
      <c r="W26" s="131"/>
      <c r="X26" s="132"/>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4"/>
      <c r="BL26" s="134"/>
      <c r="BM26" s="135"/>
      <c r="BN26" s="135"/>
      <c r="BO26" s="136"/>
    </row>
    <row r="27" spans="1:67" s="4" customFormat="1" ht="27" customHeight="1" x14ac:dyDescent="0.25">
      <c r="A27" s="127"/>
      <c r="B27" s="140" t="s">
        <v>511</v>
      </c>
      <c r="C27" s="125"/>
      <c r="G27" s="133"/>
      <c r="H27" s="489"/>
      <c r="I27" s="489"/>
      <c r="J27" s="3"/>
      <c r="K27" s="3"/>
      <c r="L27" s="29"/>
      <c r="M27" s="126"/>
      <c r="N27" s="125"/>
      <c r="O27" s="127"/>
      <c r="P27" s="597"/>
      <c r="Q27" s="136"/>
      <c r="R27" s="136"/>
      <c r="S27" s="136"/>
      <c r="T27" s="599"/>
      <c r="U27" s="599"/>
      <c r="V27" s="599"/>
      <c r="W27" s="131"/>
      <c r="X27" s="132"/>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4"/>
      <c r="BL27" s="134"/>
      <c r="BM27" s="135"/>
      <c r="BN27" s="135"/>
      <c r="BO27" s="136"/>
    </row>
    <row r="28" spans="1:67" s="4" customFormat="1" ht="27" customHeight="1" x14ac:dyDescent="0.25">
      <c r="A28" s="127"/>
      <c r="B28" s="140" t="s">
        <v>512</v>
      </c>
      <c r="C28" s="125"/>
      <c r="G28" s="133"/>
      <c r="H28" s="489"/>
      <c r="I28" s="489"/>
      <c r="J28" s="3"/>
      <c r="K28" s="3"/>
      <c r="L28" s="29"/>
      <c r="M28" s="126"/>
      <c r="N28" s="125"/>
      <c r="O28" s="127"/>
      <c r="P28" s="597"/>
      <c r="Q28" s="136"/>
      <c r="R28" s="136"/>
      <c r="S28" s="136"/>
      <c r="T28" s="598"/>
      <c r="U28" s="598"/>
      <c r="V28" s="598"/>
      <c r="W28" s="131"/>
      <c r="X28" s="132"/>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4"/>
      <c r="BL28" s="134"/>
      <c r="BM28" s="135"/>
      <c r="BN28" s="135"/>
      <c r="BO28" s="136"/>
    </row>
    <row r="29" spans="1:67" s="4" customFormat="1" ht="27" customHeight="1" x14ac:dyDescent="0.2">
      <c r="A29" s="127"/>
      <c r="B29" s="137"/>
      <c r="C29" s="125"/>
      <c r="G29" s="133"/>
      <c r="H29" s="489"/>
      <c r="I29" s="489"/>
      <c r="J29" s="3"/>
      <c r="K29" s="3"/>
      <c r="L29" s="29"/>
      <c r="M29" s="126"/>
      <c r="N29" s="125"/>
      <c r="O29" s="127"/>
      <c r="P29" s="137"/>
      <c r="Q29" s="125"/>
      <c r="R29" s="125"/>
      <c r="S29" s="125"/>
      <c r="T29" s="141"/>
      <c r="U29" s="141"/>
      <c r="V29" s="141"/>
      <c r="W29" s="131"/>
      <c r="X29" s="132"/>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4"/>
      <c r="BL29" s="134"/>
      <c r="BM29" s="135"/>
      <c r="BN29" s="135"/>
      <c r="BO29" s="136"/>
    </row>
    <row r="30" spans="1:67" ht="27" customHeight="1" x14ac:dyDescent="0.2">
      <c r="G30" s="346"/>
      <c r="L30" s="600"/>
      <c r="T30" s="238"/>
      <c r="U30" s="238"/>
      <c r="V30" s="238"/>
      <c r="BK30" s="491"/>
      <c r="BL30" s="491"/>
    </row>
    <row r="31" spans="1:67" ht="27" customHeight="1" x14ac:dyDescent="0.2">
      <c r="G31" s="346"/>
      <c r="L31" s="600"/>
      <c r="BK31" s="491"/>
      <c r="BL31" s="491"/>
    </row>
    <row r="32" spans="1:67" ht="27" customHeight="1" x14ac:dyDescent="0.2">
      <c r="G32" s="346"/>
      <c r="L32" s="600"/>
      <c r="BK32" s="491"/>
      <c r="BL32" s="491"/>
    </row>
    <row r="33" spans="7:64" ht="27" customHeight="1" x14ac:dyDescent="0.2">
      <c r="G33" s="346"/>
      <c r="L33" s="600"/>
      <c r="BK33" s="491"/>
      <c r="BL33" s="491"/>
    </row>
  </sheetData>
  <sheetProtection password="A60F" sheet="1" objects="1" scenarios="1"/>
  <mergeCells count="255">
    <mergeCell ref="BM21:BM24"/>
    <mergeCell ref="BN21:BN24"/>
    <mergeCell ref="BO21:BO24"/>
    <mergeCell ref="BG21:BG24"/>
    <mergeCell ref="BH21:BH24"/>
    <mergeCell ref="BI21:BI24"/>
    <mergeCell ref="BJ21:BJ24"/>
    <mergeCell ref="BK21:BK24"/>
    <mergeCell ref="BL21:BL24"/>
    <mergeCell ref="BA21:BA24"/>
    <mergeCell ref="BB21:BB24"/>
    <mergeCell ref="BC21:BC24"/>
    <mergeCell ref="BD21:BD24"/>
    <mergeCell ref="BE21:BE24"/>
    <mergeCell ref="BF21:BF24"/>
    <mergeCell ref="AU21:AU24"/>
    <mergeCell ref="AV21:AV24"/>
    <mergeCell ref="AW21:AW24"/>
    <mergeCell ref="AX21:AX24"/>
    <mergeCell ref="AY21:AY24"/>
    <mergeCell ref="AZ21:AZ24"/>
    <mergeCell ref="AO21:AO24"/>
    <mergeCell ref="AP21:AP24"/>
    <mergeCell ref="AQ21:AQ24"/>
    <mergeCell ref="AR21:AR24"/>
    <mergeCell ref="AS21:AS24"/>
    <mergeCell ref="AT21:AT24"/>
    <mergeCell ref="AI21:AI24"/>
    <mergeCell ref="AJ21:AJ24"/>
    <mergeCell ref="AK21:AK24"/>
    <mergeCell ref="AL21:AL24"/>
    <mergeCell ref="AM21:AM24"/>
    <mergeCell ref="AN21:AN24"/>
    <mergeCell ref="AC21:AC24"/>
    <mergeCell ref="AD21:AD24"/>
    <mergeCell ref="AE21:AE24"/>
    <mergeCell ref="AF21:AF24"/>
    <mergeCell ref="AG21:AG24"/>
    <mergeCell ref="AH21:AH24"/>
    <mergeCell ref="W21:W24"/>
    <mergeCell ref="X21:X24"/>
    <mergeCell ref="Y21:Y24"/>
    <mergeCell ref="Z21:Z24"/>
    <mergeCell ref="AA21:AA24"/>
    <mergeCell ref="AB21:AB24"/>
    <mergeCell ref="L21:L24"/>
    <mergeCell ref="M21:M24"/>
    <mergeCell ref="N21:N24"/>
    <mergeCell ref="P21:P24"/>
    <mergeCell ref="Q21:Q24"/>
    <mergeCell ref="R21:R24"/>
    <mergeCell ref="BJ16:BJ18"/>
    <mergeCell ref="BK16:BK18"/>
    <mergeCell ref="BL16:BL18"/>
    <mergeCell ref="AS16:AS18"/>
    <mergeCell ref="AU16:AU18"/>
    <mergeCell ref="AW16:AW18"/>
    <mergeCell ref="AY16:AY18"/>
    <mergeCell ref="BA16:BA18"/>
    <mergeCell ref="BC16:BC18"/>
    <mergeCell ref="AH16:AH18"/>
    <mergeCell ref="AI16:AI18"/>
    <mergeCell ref="AK16:AK18"/>
    <mergeCell ref="AM16:AM18"/>
    <mergeCell ref="AO16:AO18"/>
    <mergeCell ref="AQ16:AQ18"/>
    <mergeCell ref="AB16:AB18"/>
    <mergeCell ref="AC16:AC18"/>
    <mergeCell ref="AD16:AD18"/>
    <mergeCell ref="BM16:BM18"/>
    <mergeCell ref="BN16:BN18"/>
    <mergeCell ref="BO16:BO18"/>
    <mergeCell ref="BD16:BD18"/>
    <mergeCell ref="BE16:BE18"/>
    <mergeCell ref="BF16:BF18"/>
    <mergeCell ref="BG16:BG18"/>
    <mergeCell ref="BH16:BH18"/>
    <mergeCell ref="BI16:BI18"/>
    <mergeCell ref="AE16:AE18"/>
    <mergeCell ref="AF16:AF18"/>
    <mergeCell ref="AG16:AG18"/>
    <mergeCell ref="V16:V17"/>
    <mergeCell ref="W16:W18"/>
    <mergeCell ref="X16:X18"/>
    <mergeCell ref="Y16:Y18"/>
    <mergeCell ref="Z16:Z18"/>
    <mergeCell ref="AA16:AA18"/>
    <mergeCell ref="P16:P18"/>
    <mergeCell ref="Q16:Q18"/>
    <mergeCell ref="R16:R18"/>
    <mergeCell ref="S16:S17"/>
    <mergeCell ref="T16:T17"/>
    <mergeCell ref="U16:U17"/>
    <mergeCell ref="BL14:BL15"/>
    <mergeCell ref="BM14:BM15"/>
    <mergeCell ref="BN14:BN15"/>
    <mergeCell ref="AY14:AY15"/>
    <mergeCell ref="AN14:AN15"/>
    <mergeCell ref="AO14:AO15"/>
    <mergeCell ref="AP14:AP15"/>
    <mergeCell ref="AQ14:AQ15"/>
    <mergeCell ref="AR14:AR15"/>
    <mergeCell ref="AS14:AS15"/>
    <mergeCell ref="AH14:AH15"/>
    <mergeCell ref="AI14:AI15"/>
    <mergeCell ref="AJ14:AJ15"/>
    <mergeCell ref="AK14:AK15"/>
    <mergeCell ref="AL14:AL15"/>
    <mergeCell ref="AM14:AM15"/>
    <mergeCell ref="AB14:AB15"/>
    <mergeCell ref="AC14:AC15"/>
    <mergeCell ref="BO14:BO15"/>
    <mergeCell ref="G16:G17"/>
    <mergeCell ref="H16:H17"/>
    <mergeCell ref="L16:L18"/>
    <mergeCell ref="M16:M18"/>
    <mergeCell ref="N16:N18"/>
    <mergeCell ref="O16:O17"/>
    <mergeCell ref="BF14:BF15"/>
    <mergeCell ref="BG14:BG15"/>
    <mergeCell ref="BH14:BH15"/>
    <mergeCell ref="BI14:BI15"/>
    <mergeCell ref="BJ14:BJ15"/>
    <mergeCell ref="BK14:BK15"/>
    <mergeCell ref="AZ14:AZ15"/>
    <mergeCell ref="BA14:BA15"/>
    <mergeCell ref="BB14:BB15"/>
    <mergeCell ref="BC14:BC15"/>
    <mergeCell ref="BD14:BD15"/>
    <mergeCell ref="BE14:BE15"/>
    <mergeCell ref="AT14:AT15"/>
    <mergeCell ref="AU14:AU15"/>
    <mergeCell ref="AV14:AV15"/>
    <mergeCell ref="AW14:AW15"/>
    <mergeCell ref="AX14:AX15"/>
    <mergeCell ref="AD14:AD15"/>
    <mergeCell ref="AE14:AE15"/>
    <mergeCell ref="AF14:AF15"/>
    <mergeCell ref="AG14:AG15"/>
    <mergeCell ref="R14:R15"/>
    <mergeCell ref="W14:W15"/>
    <mergeCell ref="X14:X15"/>
    <mergeCell ref="Y14:Y15"/>
    <mergeCell ref="Z14:Z15"/>
    <mergeCell ref="AA14:AA15"/>
    <mergeCell ref="BK12:BK13"/>
    <mergeCell ref="BL12:BL13"/>
    <mergeCell ref="BM12:BM13"/>
    <mergeCell ref="BN12:BN13"/>
    <mergeCell ref="BO12:BO13"/>
    <mergeCell ref="L14:L15"/>
    <mergeCell ref="M14:M15"/>
    <mergeCell ref="N14:N15"/>
    <mergeCell ref="P14:P15"/>
    <mergeCell ref="Q14:Q15"/>
    <mergeCell ref="BE12:BE13"/>
    <mergeCell ref="BF12:BF13"/>
    <mergeCell ref="BG12:BG13"/>
    <mergeCell ref="BH12:BH13"/>
    <mergeCell ref="BI12:BI13"/>
    <mergeCell ref="BJ12:BJ13"/>
    <mergeCell ref="AY12:AY13"/>
    <mergeCell ref="AZ12:AZ13"/>
    <mergeCell ref="BA12:BA13"/>
    <mergeCell ref="BB12:BB13"/>
    <mergeCell ref="BC12:BC13"/>
    <mergeCell ref="BD12:BD13"/>
    <mergeCell ref="AS12:AS13"/>
    <mergeCell ref="AT12:AT13"/>
    <mergeCell ref="AU12:AU13"/>
    <mergeCell ref="AV12:AV13"/>
    <mergeCell ref="AW12:AW13"/>
    <mergeCell ref="AX12:AX13"/>
    <mergeCell ref="AM12:AM13"/>
    <mergeCell ref="AN12:AN13"/>
    <mergeCell ref="AO12:AO13"/>
    <mergeCell ref="AP12:AP13"/>
    <mergeCell ref="AQ12:AQ13"/>
    <mergeCell ref="AR12:AR13"/>
    <mergeCell ref="AG12:AG13"/>
    <mergeCell ref="AH12:AH13"/>
    <mergeCell ref="AI12:AI13"/>
    <mergeCell ref="AJ12:AJ13"/>
    <mergeCell ref="AK12:AK13"/>
    <mergeCell ref="AL12:AL13"/>
    <mergeCell ref="AA12:AA13"/>
    <mergeCell ref="AB12:AB13"/>
    <mergeCell ref="AC12:AC13"/>
    <mergeCell ref="AD12:AD13"/>
    <mergeCell ref="AE12:AE13"/>
    <mergeCell ref="AF12:AF13"/>
    <mergeCell ref="BK7:BL8"/>
    <mergeCell ref="BM7:BN8"/>
    <mergeCell ref="BO7:BO9"/>
    <mergeCell ref="BF8:BF9"/>
    <mergeCell ref="BG8:BG9"/>
    <mergeCell ref="BH8:BH9"/>
    <mergeCell ref="BI8:BI9"/>
    <mergeCell ref="BJ8:BJ9"/>
    <mergeCell ref="L12:L13"/>
    <mergeCell ref="M12:M13"/>
    <mergeCell ref="N12:N13"/>
    <mergeCell ref="P12:P13"/>
    <mergeCell ref="Q12:Q13"/>
    <mergeCell ref="R12:R13"/>
    <mergeCell ref="W12:W13"/>
    <mergeCell ref="Y12:Y13"/>
    <mergeCell ref="Z12:Z13"/>
    <mergeCell ref="AS8:AT8"/>
    <mergeCell ref="AU8:AV8"/>
    <mergeCell ref="AW8:AX8"/>
    <mergeCell ref="AY8:AZ8"/>
    <mergeCell ref="BA8:BB8"/>
    <mergeCell ref="BE8:BE9"/>
    <mergeCell ref="AG8:AH8"/>
    <mergeCell ref="P7:P9"/>
    <mergeCell ref="Q7:Q9"/>
    <mergeCell ref="R7:R9"/>
    <mergeCell ref="S7:S9"/>
    <mergeCell ref="T7:T9"/>
    <mergeCell ref="U7:U9"/>
    <mergeCell ref="AW7:BB7"/>
    <mergeCell ref="BC7:BD8"/>
    <mergeCell ref="BE7:BJ7"/>
    <mergeCell ref="AI8:AJ8"/>
    <mergeCell ref="AK8:AL8"/>
    <mergeCell ref="AM8:AN8"/>
    <mergeCell ref="AO8:AP8"/>
    <mergeCell ref="AQ8:AR8"/>
    <mergeCell ref="V7:V9"/>
    <mergeCell ref="W7:W9"/>
    <mergeCell ref="I7:I9"/>
    <mergeCell ref="J7:K8"/>
    <mergeCell ref="L7:L9"/>
    <mergeCell ref="M7:M9"/>
    <mergeCell ref="N7:N9"/>
    <mergeCell ref="O7:O9"/>
    <mergeCell ref="A1:BM4"/>
    <mergeCell ref="A5:J6"/>
    <mergeCell ref="L5:BO5"/>
    <mergeCell ref="Y6:BD6"/>
    <mergeCell ref="A7:A9"/>
    <mergeCell ref="B7:C9"/>
    <mergeCell ref="D7:D9"/>
    <mergeCell ref="E7:F9"/>
    <mergeCell ref="G7:G9"/>
    <mergeCell ref="H7:H9"/>
    <mergeCell ref="X7:X9"/>
    <mergeCell ref="Y7:AB7"/>
    <mergeCell ref="AC7:AJ7"/>
    <mergeCell ref="AK7:AV7"/>
    <mergeCell ref="Y8:Z8"/>
    <mergeCell ref="AA8:AB8"/>
    <mergeCell ref="AC8:AD8"/>
    <mergeCell ref="AE8:AF8"/>
  </mergeCells>
  <pageMargins left="1.1023622047244095" right="0.11811023622047245" top="0.35433070866141736" bottom="0.35433070866141736" header="0.31496062992125984" footer="0.31496062992125984"/>
  <pageSetup paperSize="5" scale="65"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I66"/>
  <sheetViews>
    <sheetView showGridLines="0" zoomScale="60" zoomScaleNormal="60" workbookViewId="0">
      <selection activeCell="P12" sqref="P12:P14"/>
    </sheetView>
  </sheetViews>
  <sheetFormatPr baseColWidth="10" defaultColWidth="11.42578125" defaultRowHeight="27" customHeight="1" x14ac:dyDescent="0.2"/>
  <cols>
    <col min="1" max="1" width="13.140625" style="222" customWidth="1"/>
    <col min="2" max="2" width="4" style="146" customWidth="1"/>
    <col min="3" max="3" width="15.42578125" style="146" customWidth="1"/>
    <col min="4" max="4" width="14.7109375" style="146" customWidth="1"/>
    <col min="5" max="5" width="10" style="146" customWidth="1"/>
    <col min="6" max="6" width="22.42578125" style="146" customWidth="1"/>
    <col min="7" max="7" width="14.7109375" style="146" customWidth="1"/>
    <col min="8" max="8" width="35.28515625" style="223" customWidth="1"/>
    <col min="9" max="9" width="36.85546875" style="223" customWidth="1"/>
    <col min="10" max="11" width="21.140625" style="145" customWidth="1"/>
    <col min="12" max="12" width="34.140625" style="600" customWidth="1"/>
    <col min="13" max="13" width="21.42578125" style="230" customWidth="1"/>
    <col min="14" max="14" width="38.7109375" style="223" customWidth="1"/>
    <col min="15" max="15" width="17.28515625" style="226" customWidth="1"/>
    <col min="16" max="16" width="33.140625" style="227" customWidth="1"/>
    <col min="17" max="17" width="39" style="223" customWidth="1"/>
    <col min="18" max="18" width="60.42578125" style="223" customWidth="1"/>
    <col min="19" max="19" width="36" style="223" customWidth="1"/>
    <col min="20" max="22" width="29.42578125" style="235" customWidth="1"/>
    <col min="23" max="23" width="21" style="229" customWidth="1"/>
    <col min="24" max="24" width="33" style="230" customWidth="1"/>
    <col min="25" max="25" width="9.85546875" style="346" customWidth="1"/>
    <col min="26" max="26" width="14" style="346" bestFit="1" customWidth="1"/>
    <col min="27" max="54" width="9.85546875" style="346" customWidth="1"/>
    <col min="55" max="55" width="11.28515625" style="346" customWidth="1"/>
    <col min="56" max="56" width="19.28515625" style="346" customWidth="1"/>
    <col min="57" max="57" width="20.28515625" style="346" customWidth="1"/>
    <col min="58" max="58" width="26" style="346" customWidth="1"/>
    <col min="59" max="59" width="28" style="346" customWidth="1"/>
    <col min="60" max="62" width="20.28515625" style="346" customWidth="1"/>
    <col min="63" max="64" width="19.28515625" style="231" customWidth="1"/>
    <col min="65" max="66" width="20.7109375" style="232" customWidth="1"/>
    <col min="67" max="67" width="28.85546875" style="233" customWidth="1"/>
    <col min="68" max="16384" width="11.42578125" style="146"/>
  </cols>
  <sheetData>
    <row r="1" spans="1:87" ht="27" customHeight="1" x14ac:dyDescent="0.2">
      <c r="A1" s="1318" t="s">
        <v>1013</v>
      </c>
      <c r="B1" s="1318"/>
      <c r="C1" s="1318"/>
      <c r="D1" s="1318"/>
      <c r="E1" s="1318"/>
      <c r="F1" s="1318"/>
      <c r="G1" s="1318"/>
      <c r="H1" s="1318"/>
      <c r="I1" s="1318"/>
      <c r="J1" s="1318"/>
      <c r="K1" s="1318"/>
      <c r="L1" s="1318"/>
      <c r="M1" s="1318"/>
      <c r="N1" s="1318"/>
      <c r="O1" s="1318"/>
      <c r="P1" s="1318"/>
      <c r="Q1" s="1318"/>
      <c r="R1" s="1318"/>
      <c r="S1" s="1318"/>
      <c r="T1" s="1318"/>
      <c r="U1" s="1318"/>
      <c r="V1" s="1318"/>
      <c r="W1" s="1318"/>
      <c r="X1" s="1318"/>
      <c r="Y1" s="1318"/>
      <c r="Z1" s="1318"/>
      <c r="AA1" s="1318"/>
      <c r="AB1" s="1318"/>
      <c r="AC1" s="1318"/>
      <c r="AD1" s="1318"/>
      <c r="AE1" s="1318"/>
      <c r="AF1" s="1318"/>
      <c r="AG1" s="1318"/>
      <c r="AH1" s="1318"/>
      <c r="AI1" s="1318"/>
      <c r="AJ1" s="1318"/>
      <c r="AK1" s="1318"/>
      <c r="AL1" s="1318"/>
      <c r="AM1" s="1318"/>
      <c r="AN1" s="1318"/>
      <c r="AO1" s="1318"/>
      <c r="AP1" s="1318"/>
      <c r="AQ1" s="1318"/>
      <c r="AR1" s="1318"/>
      <c r="AS1" s="1318"/>
      <c r="AT1" s="1318"/>
      <c r="AU1" s="1318"/>
      <c r="AV1" s="1318"/>
      <c r="AW1" s="1318"/>
      <c r="AX1" s="1318"/>
      <c r="AY1" s="1318"/>
      <c r="AZ1" s="1318"/>
      <c r="BA1" s="1318"/>
      <c r="BB1" s="1318"/>
      <c r="BC1" s="1318"/>
      <c r="BD1" s="1318"/>
      <c r="BE1" s="1318"/>
      <c r="BF1" s="1318"/>
      <c r="BG1" s="1318"/>
      <c r="BH1" s="1318"/>
      <c r="BI1" s="1318"/>
      <c r="BJ1" s="1318"/>
      <c r="BK1" s="1318"/>
      <c r="BL1" s="1318"/>
      <c r="BM1" s="1319"/>
      <c r="BN1" s="143" t="s">
        <v>1</v>
      </c>
      <c r="BO1" s="144" t="s">
        <v>131</v>
      </c>
      <c r="BP1" s="145"/>
      <c r="BQ1" s="145"/>
      <c r="BR1" s="145"/>
      <c r="BS1" s="145"/>
      <c r="BT1" s="145"/>
      <c r="BU1" s="145"/>
      <c r="BV1" s="145"/>
      <c r="BW1" s="145"/>
      <c r="BX1" s="145"/>
      <c r="BY1" s="145"/>
      <c r="BZ1" s="145"/>
      <c r="CA1" s="145"/>
      <c r="CB1" s="145"/>
      <c r="CC1" s="145"/>
      <c r="CD1" s="145"/>
      <c r="CE1" s="145"/>
      <c r="CF1" s="145"/>
      <c r="CG1" s="145"/>
      <c r="CH1" s="145"/>
      <c r="CI1" s="145"/>
    </row>
    <row r="2" spans="1:87" ht="27" customHeight="1" x14ac:dyDescent="0.2">
      <c r="A2" s="1318"/>
      <c r="B2" s="1318"/>
      <c r="C2" s="1318"/>
      <c r="D2" s="1318"/>
      <c r="E2" s="1318"/>
      <c r="F2" s="1318"/>
      <c r="G2" s="1318"/>
      <c r="H2" s="1318"/>
      <c r="I2" s="1318"/>
      <c r="J2" s="1318"/>
      <c r="K2" s="1318"/>
      <c r="L2" s="1318"/>
      <c r="M2" s="1318"/>
      <c r="N2" s="1318"/>
      <c r="O2" s="1318"/>
      <c r="P2" s="1318"/>
      <c r="Q2" s="1318"/>
      <c r="R2" s="1318"/>
      <c r="S2" s="1318"/>
      <c r="T2" s="1318"/>
      <c r="U2" s="1318"/>
      <c r="V2" s="1318"/>
      <c r="W2" s="1318"/>
      <c r="X2" s="1318"/>
      <c r="Y2" s="1318"/>
      <c r="Z2" s="1318"/>
      <c r="AA2" s="1318"/>
      <c r="AB2" s="1318"/>
      <c r="AC2" s="1318"/>
      <c r="AD2" s="1318"/>
      <c r="AE2" s="1318"/>
      <c r="AF2" s="1318"/>
      <c r="AG2" s="1318"/>
      <c r="AH2" s="1318"/>
      <c r="AI2" s="1318"/>
      <c r="AJ2" s="1318"/>
      <c r="AK2" s="1318"/>
      <c r="AL2" s="1318"/>
      <c r="AM2" s="1318"/>
      <c r="AN2" s="1318"/>
      <c r="AO2" s="1318"/>
      <c r="AP2" s="1318"/>
      <c r="AQ2" s="1318"/>
      <c r="AR2" s="1318"/>
      <c r="AS2" s="1318"/>
      <c r="AT2" s="1318"/>
      <c r="AU2" s="1318"/>
      <c r="AV2" s="1318"/>
      <c r="AW2" s="1318"/>
      <c r="AX2" s="1318"/>
      <c r="AY2" s="1318"/>
      <c r="AZ2" s="1318"/>
      <c r="BA2" s="1318"/>
      <c r="BB2" s="1318"/>
      <c r="BC2" s="1318"/>
      <c r="BD2" s="1318"/>
      <c r="BE2" s="1318"/>
      <c r="BF2" s="1318"/>
      <c r="BG2" s="1318"/>
      <c r="BH2" s="1318"/>
      <c r="BI2" s="1318"/>
      <c r="BJ2" s="1318"/>
      <c r="BK2" s="1318"/>
      <c r="BL2" s="1318"/>
      <c r="BM2" s="1319"/>
      <c r="BN2" s="143" t="s">
        <v>3</v>
      </c>
      <c r="BO2" s="144" t="s">
        <v>4</v>
      </c>
      <c r="BP2" s="145"/>
      <c r="BQ2" s="145"/>
      <c r="BR2" s="145"/>
      <c r="BS2" s="145"/>
      <c r="BT2" s="145"/>
      <c r="BU2" s="145"/>
      <c r="BV2" s="145"/>
      <c r="BW2" s="145"/>
      <c r="BX2" s="145"/>
      <c r="BY2" s="145"/>
      <c r="BZ2" s="145"/>
      <c r="CA2" s="145"/>
      <c r="CB2" s="145"/>
      <c r="CC2" s="145"/>
      <c r="CD2" s="145"/>
      <c r="CE2" s="145"/>
      <c r="CF2" s="145"/>
      <c r="CG2" s="145"/>
      <c r="CH2" s="145"/>
      <c r="CI2" s="145"/>
    </row>
    <row r="3" spans="1:87" ht="27" customHeight="1" x14ac:dyDescent="0.2">
      <c r="A3" s="1318"/>
      <c r="B3" s="1318"/>
      <c r="C3" s="1318"/>
      <c r="D3" s="1318"/>
      <c r="E3" s="1318"/>
      <c r="F3" s="1318"/>
      <c r="G3" s="1318"/>
      <c r="H3" s="1318"/>
      <c r="I3" s="1318"/>
      <c r="J3" s="1318"/>
      <c r="K3" s="1318"/>
      <c r="L3" s="1318"/>
      <c r="M3" s="1318"/>
      <c r="N3" s="1318"/>
      <c r="O3" s="1318"/>
      <c r="P3" s="1318"/>
      <c r="Q3" s="1318"/>
      <c r="R3" s="1318"/>
      <c r="S3" s="1318"/>
      <c r="T3" s="1318"/>
      <c r="U3" s="1318"/>
      <c r="V3" s="1318"/>
      <c r="W3" s="1318"/>
      <c r="X3" s="1318"/>
      <c r="Y3" s="1318"/>
      <c r="Z3" s="1318"/>
      <c r="AA3" s="1318"/>
      <c r="AB3" s="1318"/>
      <c r="AC3" s="1318"/>
      <c r="AD3" s="1318"/>
      <c r="AE3" s="1318"/>
      <c r="AF3" s="1318"/>
      <c r="AG3" s="1318"/>
      <c r="AH3" s="1318"/>
      <c r="AI3" s="1318"/>
      <c r="AJ3" s="1318"/>
      <c r="AK3" s="1318"/>
      <c r="AL3" s="1318"/>
      <c r="AM3" s="1318"/>
      <c r="AN3" s="1318"/>
      <c r="AO3" s="1318"/>
      <c r="AP3" s="1318"/>
      <c r="AQ3" s="1318"/>
      <c r="AR3" s="1318"/>
      <c r="AS3" s="1318"/>
      <c r="AT3" s="1318"/>
      <c r="AU3" s="1318"/>
      <c r="AV3" s="1318"/>
      <c r="AW3" s="1318"/>
      <c r="AX3" s="1318"/>
      <c r="AY3" s="1318"/>
      <c r="AZ3" s="1318"/>
      <c r="BA3" s="1318"/>
      <c r="BB3" s="1318"/>
      <c r="BC3" s="1318"/>
      <c r="BD3" s="1318"/>
      <c r="BE3" s="1318"/>
      <c r="BF3" s="1318"/>
      <c r="BG3" s="1318"/>
      <c r="BH3" s="1318"/>
      <c r="BI3" s="1318"/>
      <c r="BJ3" s="1318"/>
      <c r="BK3" s="1318"/>
      <c r="BL3" s="1318"/>
      <c r="BM3" s="1319"/>
      <c r="BN3" s="143" t="s">
        <v>5</v>
      </c>
      <c r="BO3" s="147" t="s">
        <v>6</v>
      </c>
      <c r="BP3" s="145"/>
      <c r="BQ3" s="145"/>
      <c r="BR3" s="145"/>
      <c r="BS3" s="145"/>
      <c r="BT3" s="145"/>
      <c r="BU3" s="145"/>
      <c r="BV3" s="145"/>
      <c r="BW3" s="145"/>
      <c r="BX3" s="145"/>
      <c r="BY3" s="145"/>
      <c r="BZ3" s="145"/>
      <c r="CA3" s="145"/>
      <c r="CB3" s="145"/>
      <c r="CC3" s="145"/>
      <c r="CD3" s="145"/>
      <c r="CE3" s="145"/>
      <c r="CF3" s="145"/>
      <c r="CG3" s="145"/>
      <c r="CH3" s="145"/>
      <c r="CI3" s="145"/>
    </row>
    <row r="4" spans="1:87" ht="27" customHeight="1" x14ac:dyDescent="0.2">
      <c r="A4" s="1320"/>
      <c r="B4" s="1320"/>
      <c r="C4" s="1320"/>
      <c r="D4" s="1320"/>
      <c r="E4" s="1320"/>
      <c r="F4" s="1320"/>
      <c r="G4" s="1320"/>
      <c r="H4" s="1320"/>
      <c r="I4" s="1320"/>
      <c r="J4" s="1320"/>
      <c r="K4" s="1320"/>
      <c r="L4" s="1320"/>
      <c r="M4" s="1320"/>
      <c r="N4" s="1320"/>
      <c r="O4" s="1320"/>
      <c r="P4" s="1320"/>
      <c r="Q4" s="1320"/>
      <c r="R4" s="1320"/>
      <c r="S4" s="1320"/>
      <c r="T4" s="1320"/>
      <c r="U4" s="1320"/>
      <c r="V4" s="1320"/>
      <c r="W4" s="1320"/>
      <c r="X4" s="1320"/>
      <c r="Y4" s="1320"/>
      <c r="Z4" s="1320"/>
      <c r="AA4" s="1320"/>
      <c r="AB4" s="1320"/>
      <c r="AC4" s="1320"/>
      <c r="AD4" s="1320"/>
      <c r="AE4" s="1320"/>
      <c r="AF4" s="1320"/>
      <c r="AG4" s="1320"/>
      <c r="AH4" s="1320"/>
      <c r="AI4" s="1320"/>
      <c r="AJ4" s="1320"/>
      <c r="AK4" s="1320"/>
      <c r="AL4" s="1320"/>
      <c r="AM4" s="1320"/>
      <c r="AN4" s="1320"/>
      <c r="AO4" s="1320"/>
      <c r="AP4" s="1320"/>
      <c r="AQ4" s="1320"/>
      <c r="AR4" s="1320"/>
      <c r="AS4" s="1320"/>
      <c r="AT4" s="1320"/>
      <c r="AU4" s="1320"/>
      <c r="AV4" s="1320"/>
      <c r="AW4" s="1320"/>
      <c r="AX4" s="1320"/>
      <c r="AY4" s="1320"/>
      <c r="AZ4" s="1320"/>
      <c r="BA4" s="1320"/>
      <c r="BB4" s="1320"/>
      <c r="BC4" s="1320"/>
      <c r="BD4" s="1320"/>
      <c r="BE4" s="1320"/>
      <c r="BF4" s="1320"/>
      <c r="BG4" s="1320"/>
      <c r="BH4" s="1320"/>
      <c r="BI4" s="1320"/>
      <c r="BJ4" s="1320"/>
      <c r="BK4" s="1320"/>
      <c r="BL4" s="1320"/>
      <c r="BM4" s="1321"/>
      <c r="BN4" s="143" t="s">
        <v>7</v>
      </c>
      <c r="BO4" s="148" t="s">
        <v>8</v>
      </c>
      <c r="BP4" s="145"/>
      <c r="BQ4" s="145"/>
      <c r="BR4" s="145"/>
      <c r="BS4" s="145"/>
      <c r="BT4" s="145"/>
      <c r="BU4" s="145"/>
      <c r="BV4" s="145"/>
      <c r="BW4" s="145"/>
      <c r="BX4" s="145"/>
      <c r="BY4" s="145"/>
      <c r="BZ4" s="145"/>
      <c r="CA4" s="145"/>
      <c r="CB4" s="145"/>
      <c r="CC4" s="145"/>
      <c r="CD4" s="145"/>
      <c r="CE4" s="145"/>
      <c r="CF4" s="145"/>
      <c r="CG4" s="145"/>
      <c r="CH4" s="145"/>
      <c r="CI4" s="145"/>
    </row>
    <row r="5" spans="1:87" s="4" customFormat="1" ht="27" customHeight="1" x14ac:dyDescent="0.2">
      <c r="A5" s="1231" t="s">
        <v>9</v>
      </c>
      <c r="B5" s="1231"/>
      <c r="C5" s="1231"/>
      <c r="D5" s="1231"/>
      <c r="E5" s="1231"/>
      <c r="F5" s="1231"/>
      <c r="G5" s="1231"/>
      <c r="H5" s="1231"/>
      <c r="I5" s="1231"/>
      <c r="J5" s="1231"/>
      <c r="K5" s="922"/>
      <c r="L5" s="1233" t="s">
        <v>10</v>
      </c>
      <c r="M5" s="1233"/>
      <c r="N5" s="1233"/>
      <c r="O5" s="1233"/>
      <c r="P5" s="1233"/>
      <c r="Q5" s="1233"/>
      <c r="R5" s="1233"/>
      <c r="S5" s="1233"/>
      <c r="T5" s="1233"/>
      <c r="U5" s="1233"/>
      <c r="V5" s="1233"/>
      <c r="W5" s="1233"/>
      <c r="X5" s="1233"/>
      <c r="Y5" s="1233"/>
      <c r="Z5" s="1233"/>
      <c r="AA5" s="1233"/>
      <c r="AB5" s="1233"/>
      <c r="AC5" s="1233"/>
      <c r="AD5" s="1233"/>
      <c r="AE5" s="1233"/>
      <c r="AF5" s="1233"/>
      <c r="AG5" s="1233"/>
      <c r="AH5" s="1233"/>
      <c r="AI5" s="1233"/>
      <c r="AJ5" s="1233"/>
      <c r="AK5" s="1233"/>
      <c r="AL5" s="1233"/>
      <c r="AM5" s="1233"/>
      <c r="AN5" s="1233"/>
      <c r="AO5" s="1233"/>
      <c r="AP5" s="1233"/>
      <c r="AQ5" s="1233"/>
      <c r="AR5" s="1233"/>
      <c r="AS5" s="1233"/>
      <c r="AT5" s="1233"/>
      <c r="AU5" s="1233"/>
      <c r="AV5" s="1233"/>
      <c r="AW5" s="1233"/>
      <c r="AX5" s="1233"/>
      <c r="AY5" s="1233"/>
      <c r="AZ5" s="1233"/>
      <c r="BA5" s="1233"/>
      <c r="BB5" s="1233"/>
      <c r="BC5" s="1233"/>
      <c r="BD5" s="1233"/>
      <c r="BE5" s="1233"/>
      <c r="BF5" s="1233"/>
      <c r="BG5" s="1233"/>
      <c r="BH5" s="1233"/>
      <c r="BI5" s="1233"/>
      <c r="BJ5" s="1233"/>
      <c r="BK5" s="1233"/>
      <c r="BL5" s="1233"/>
      <c r="BM5" s="1233"/>
      <c r="BN5" s="1233"/>
      <c r="BO5" s="1233"/>
      <c r="BP5" s="3"/>
      <c r="BQ5" s="3"/>
      <c r="BR5" s="3"/>
      <c r="BS5" s="3"/>
      <c r="BT5" s="3"/>
      <c r="BU5" s="3"/>
      <c r="BV5" s="3"/>
      <c r="BW5" s="3"/>
      <c r="BX5" s="3"/>
      <c r="BY5" s="3"/>
      <c r="BZ5" s="3"/>
      <c r="CA5" s="3"/>
      <c r="CB5" s="3"/>
      <c r="CC5" s="3"/>
      <c r="CD5" s="3"/>
      <c r="CE5" s="3"/>
      <c r="CF5" s="3"/>
    </row>
    <row r="6" spans="1:87" s="4" customFormat="1" ht="27" customHeight="1" thickBot="1" x14ac:dyDescent="0.25">
      <c r="A6" s="1232"/>
      <c r="B6" s="1232"/>
      <c r="C6" s="1232"/>
      <c r="D6" s="1232"/>
      <c r="E6" s="1232"/>
      <c r="F6" s="1232"/>
      <c r="G6" s="1232"/>
      <c r="H6" s="1232"/>
      <c r="I6" s="1232"/>
      <c r="J6" s="1232"/>
      <c r="K6" s="923"/>
      <c r="L6" s="239"/>
      <c r="M6" s="10"/>
      <c r="N6" s="240"/>
      <c r="O6" s="923"/>
      <c r="P6" s="10"/>
      <c r="Q6" s="240"/>
      <c r="R6" s="240"/>
      <c r="S6" s="240"/>
      <c r="T6" s="10"/>
      <c r="U6" s="10"/>
      <c r="V6" s="10"/>
      <c r="W6" s="10"/>
      <c r="X6" s="10"/>
      <c r="Y6" s="1233" t="s">
        <v>11</v>
      </c>
      <c r="Z6" s="1233"/>
      <c r="AA6" s="1233"/>
      <c r="AB6" s="1233"/>
      <c r="AC6" s="1233"/>
      <c r="AD6" s="1233"/>
      <c r="AE6" s="1233"/>
      <c r="AF6" s="1233"/>
      <c r="AG6" s="1233"/>
      <c r="AH6" s="1233"/>
      <c r="AI6" s="1233"/>
      <c r="AJ6" s="1233"/>
      <c r="AK6" s="1233"/>
      <c r="AL6" s="1233"/>
      <c r="AM6" s="1233"/>
      <c r="AN6" s="1233"/>
      <c r="AO6" s="1233"/>
      <c r="AP6" s="1233"/>
      <c r="AQ6" s="1233"/>
      <c r="AR6" s="1233"/>
      <c r="AS6" s="1233"/>
      <c r="AT6" s="1233"/>
      <c r="AU6" s="1233"/>
      <c r="AV6" s="1233"/>
      <c r="AW6" s="1233"/>
      <c r="AX6" s="1233"/>
      <c r="AY6" s="1233"/>
      <c r="AZ6" s="1233"/>
      <c r="BA6" s="1233"/>
      <c r="BB6" s="1233"/>
      <c r="BC6" s="1233"/>
      <c r="BD6" s="1233"/>
      <c r="BE6" s="923"/>
      <c r="BF6" s="923"/>
      <c r="BG6" s="923"/>
      <c r="BH6" s="923"/>
      <c r="BI6" s="923"/>
      <c r="BJ6" s="923"/>
      <c r="BK6" s="923"/>
      <c r="BL6" s="923"/>
      <c r="BM6" s="923"/>
      <c r="BN6" s="923"/>
      <c r="BO6" s="541"/>
      <c r="BP6" s="3"/>
      <c r="BQ6" s="3"/>
      <c r="BR6" s="3"/>
      <c r="BS6" s="3"/>
      <c r="BT6" s="3"/>
      <c r="BU6" s="3"/>
      <c r="BV6" s="3"/>
      <c r="BW6" s="3"/>
      <c r="BX6" s="3"/>
      <c r="BY6" s="3"/>
      <c r="BZ6" s="3"/>
      <c r="CA6" s="3"/>
      <c r="CB6" s="3"/>
      <c r="CC6" s="3"/>
      <c r="CD6" s="3"/>
      <c r="CE6" s="3"/>
      <c r="CF6" s="3"/>
    </row>
    <row r="7" spans="1:87" s="4" customFormat="1" ht="43.5" customHeight="1" x14ac:dyDescent="0.2">
      <c r="A7" s="1234" t="s">
        <v>12</v>
      </c>
      <c r="B7" s="1221" t="s">
        <v>13</v>
      </c>
      <c r="C7" s="1221"/>
      <c r="D7" s="1221" t="s">
        <v>12</v>
      </c>
      <c r="E7" s="1221" t="s">
        <v>14</v>
      </c>
      <c r="F7" s="1221"/>
      <c r="G7" s="1237" t="s">
        <v>12</v>
      </c>
      <c r="H7" s="1221" t="s">
        <v>15</v>
      </c>
      <c r="I7" s="1221" t="s">
        <v>16</v>
      </c>
      <c r="J7" s="1222" t="s">
        <v>17</v>
      </c>
      <c r="K7" s="1223"/>
      <c r="L7" s="1221" t="s">
        <v>18</v>
      </c>
      <c r="M7" s="1221" t="s">
        <v>19</v>
      </c>
      <c r="N7" s="1221" t="s">
        <v>10</v>
      </c>
      <c r="O7" s="1226" t="s">
        <v>20</v>
      </c>
      <c r="P7" s="1253" t="s">
        <v>21</v>
      </c>
      <c r="Q7" s="1221" t="s">
        <v>22</v>
      </c>
      <c r="R7" s="1221" t="s">
        <v>23</v>
      </c>
      <c r="S7" s="1221" t="s">
        <v>24</v>
      </c>
      <c r="T7" s="1253" t="s">
        <v>21</v>
      </c>
      <c r="U7" s="1253" t="s">
        <v>25</v>
      </c>
      <c r="V7" s="1253" t="s">
        <v>26</v>
      </c>
      <c r="W7" s="1264" t="s">
        <v>12</v>
      </c>
      <c r="X7" s="1221" t="s">
        <v>27</v>
      </c>
      <c r="Y7" s="1240" t="s">
        <v>28</v>
      </c>
      <c r="Z7" s="1241"/>
      <c r="AA7" s="1241"/>
      <c r="AB7" s="1242"/>
      <c r="AC7" s="1243" t="s">
        <v>29</v>
      </c>
      <c r="AD7" s="1244"/>
      <c r="AE7" s="1244"/>
      <c r="AF7" s="1244"/>
      <c r="AG7" s="1244"/>
      <c r="AH7" s="1244"/>
      <c r="AI7" s="1244"/>
      <c r="AJ7" s="1245"/>
      <c r="AK7" s="1246" t="s">
        <v>30</v>
      </c>
      <c r="AL7" s="1247"/>
      <c r="AM7" s="1247"/>
      <c r="AN7" s="1247"/>
      <c r="AO7" s="1247"/>
      <c r="AP7" s="1247"/>
      <c r="AQ7" s="1247"/>
      <c r="AR7" s="1247"/>
      <c r="AS7" s="1247"/>
      <c r="AT7" s="1247"/>
      <c r="AU7" s="1247"/>
      <c r="AV7" s="1248"/>
      <c r="AW7" s="1254" t="s">
        <v>31</v>
      </c>
      <c r="AX7" s="1255"/>
      <c r="AY7" s="1255"/>
      <c r="AZ7" s="1255"/>
      <c r="BA7" s="1255"/>
      <c r="BB7" s="1256"/>
      <c r="BC7" s="1257" t="s">
        <v>32</v>
      </c>
      <c r="BD7" s="1258"/>
      <c r="BE7" s="1261" t="s">
        <v>33</v>
      </c>
      <c r="BF7" s="1262"/>
      <c r="BG7" s="1262"/>
      <c r="BH7" s="1262"/>
      <c r="BI7" s="1262"/>
      <c r="BJ7" s="1263"/>
      <c r="BK7" s="1266" t="s">
        <v>34</v>
      </c>
      <c r="BL7" s="1267"/>
      <c r="BM7" s="1266" t="s">
        <v>35</v>
      </c>
      <c r="BN7" s="1267"/>
      <c r="BO7" s="1270" t="s">
        <v>36</v>
      </c>
      <c r="BP7" s="3"/>
      <c r="BQ7" s="3"/>
      <c r="BR7" s="3"/>
      <c r="BS7" s="3"/>
      <c r="BT7" s="3"/>
      <c r="BU7" s="3"/>
      <c r="BV7" s="3"/>
      <c r="BW7" s="3"/>
      <c r="BX7" s="3"/>
      <c r="BY7" s="3"/>
      <c r="BZ7" s="3"/>
      <c r="CA7" s="3"/>
      <c r="CB7" s="3"/>
      <c r="CC7" s="3"/>
      <c r="CD7" s="3"/>
    </row>
    <row r="8" spans="1:87" s="4" customFormat="1" ht="120.75" customHeight="1" x14ac:dyDescent="0.2">
      <c r="A8" s="1235"/>
      <c r="B8" s="1221"/>
      <c r="C8" s="1221"/>
      <c r="D8" s="1221"/>
      <c r="E8" s="1221"/>
      <c r="F8" s="1221"/>
      <c r="G8" s="1238"/>
      <c r="H8" s="1221"/>
      <c r="I8" s="1221"/>
      <c r="J8" s="1224"/>
      <c r="K8" s="1225"/>
      <c r="L8" s="1221"/>
      <c r="M8" s="1221"/>
      <c r="N8" s="1221"/>
      <c r="O8" s="1226"/>
      <c r="P8" s="1253"/>
      <c r="Q8" s="1221"/>
      <c r="R8" s="1221"/>
      <c r="S8" s="1221"/>
      <c r="T8" s="1253"/>
      <c r="U8" s="1253"/>
      <c r="V8" s="1253"/>
      <c r="W8" s="1264"/>
      <c r="X8" s="1221"/>
      <c r="Y8" s="1249" t="s">
        <v>37</v>
      </c>
      <c r="Z8" s="1250"/>
      <c r="AA8" s="1251" t="s">
        <v>38</v>
      </c>
      <c r="AB8" s="1252"/>
      <c r="AC8" s="1249" t="s">
        <v>39</v>
      </c>
      <c r="AD8" s="1250"/>
      <c r="AE8" s="1249" t="s">
        <v>40</v>
      </c>
      <c r="AF8" s="1250"/>
      <c r="AG8" s="1249" t="s">
        <v>41</v>
      </c>
      <c r="AH8" s="1250"/>
      <c r="AI8" s="1249" t="s">
        <v>42</v>
      </c>
      <c r="AJ8" s="1250"/>
      <c r="AK8" s="1249" t="s">
        <v>43</v>
      </c>
      <c r="AL8" s="1250"/>
      <c r="AM8" s="1249" t="s">
        <v>44</v>
      </c>
      <c r="AN8" s="1250"/>
      <c r="AO8" s="1249" t="s">
        <v>45</v>
      </c>
      <c r="AP8" s="1250"/>
      <c r="AQ8" s="1249" t="s">
        <v>46</v>
      </c>
      <c r="AR8" s="1250"/>
      <c r="AS8" s="1249" t="s">
        <v>47</v>
      </c>
      <c r="AT8" s="1250"/>
      <c r="AU8" s="1249" t="s">
        <v>48</v>
      </c>
      <c r="AV8" s="1250"/>
      <c r="AW8" s="1249" t="s">
        <v>49</v>
      </c>
      <c r="AX8" s="1250"/>
      <c r="AY8" s="1249" t="s">
        <v>50</v>
      </c>
      <c r="AZ8" s="1250"/>
      <c r="BA8" s="1302" t="s">
        <v>51</v>
      </c>
      <c r="BB8" s="1302"/>
      <c r="BC8" s="1259"/>
      <c r="BD8" s="1260"/>
      <c r="BE8" s="1274" t="s">
        <v>52</v>
      </c>
      <c r="BF8" s="1273" t="s">
        <v>53</v>
      </c>
      <c r="BG8" s="1274" t="s">
        <v>54</v>
      </c>
      <c r="BH8" s="1275" t="s">
        <v>55</v>
      </c>
      <c r="BI8" s="1274" t="s">
        <v>56</v>
      </c>
      <c r="BJ8" s="1276" t="s">
        <v>57</v>
      </c>
      <c r="BK8" s="1509"/>
      <c r="BL8" s="1510"/>
      <c r="BM8" s="1268"/>
      <c r="BN8" s="1269"/>
      <c r="BO8" s="1271"/>
      <c r="BP8" s="3"/>
      <c r="BQ8" s="3"/>
      <c r="BR8" s="3"/>
      <c r="BS8" s="3"/>
      <c r="BT8" s="3"/>
      <c r="BU8" s="3"/>
      <c r="BV8" s="3"/>
      <c r="BW8" s="3"/>
      <c r="BX8" s="3"/>
      <c r="BY8" s="3"/>
      <c r="BZ8" s="3"/>
      <c r="CA8" s="3"/>
      <c r="CB8" s="3"/>
      <c r="CC8" s="3"/>
      <c r="CD8" s="3"/>
    </row>
    <row r="9" spans="1:87" s="4" customFormat="1" ht="21.75" customHeight="1" x14ac:dyDescent="0.2">
      <c r="A9" s="1236"/>
      <c r="B9" s="1221"/>
      <c r="C9" s="1221"/>
      <c r="D9" s="1221"/>
      <c r="E9" s="1221"/>
      <c r="F9" s="1221"/>
      <c r="G9" s="1239"/>
      <c r="H9" s="1221"/>
      <c r="I9" s="1221"/>
      <c r="J9" s="921" t="s">
        <v>58</v>
      </c>
      <c r="K9" s="921" t="s">
        <v>59</v>
      </c>
      <c r="L9" s="1221"/>
      <c r="M9" s="1221"/>
      <c r="N9" s="1221"/>
      <c r="O9" s="1226"/>
      <c r="P9" s="1253"/>
      <c r="Q9" s="1221"/>
      <c r="R9" s="1221"/>
      <c r="S9" s="1221"/>
      <c r="T9" s="1253"/>
      <c r="U9" s="1253"/>
      <c r="V9" s="1253"/>
      <c r="W9" s="1264"/>
      <c r="X9" s="1221"/>
      <c r="Y9" s="921" t="s">
        <v>58</v>
      </c>
      <c r="Z9" s="921" t="s">
        <v>60</v>
      </c>
      <c r="AA9" s="921" t="s">
        <v>58</v>
      </c>
      <c r="AB9" s="921" t="s">
        <v>60</v>
      </c>
      <c r="AC9" s="921" t="s">
        <v>58</v>
      </c>
      <c r="AD9" s="921" t="s">
        <v>60</v>
      </c>
      <c r="AE9" s="921" t="s">
        <v>58</v>
      </c>
      <c r="AF9" s="921" t="s">
        <v>60</v>
      </c>
      <c r="AG9" s="921" t="s">
        <v>58</v>
      </c>
      <c r="AH9" s="921" t="s">
        <v>60</v>
      </c>
      <c r="AI9" s="921" t="s">
        <v>58</v>
      </c>
      <c r="AJ9" s="921" t="s">
        <v>60</v>
      </c>
      <c r="AK9" s="921" t="s">
        <v>58</v>
      </c>
      <c r="AL9" s="921" t="s">
        <v>60</v>
      </c>
      <c r="AM9" s="921" t="s">
        <v>58</v>
      </c>
      <c r="AN9" s="921" t="s">
        <v>60</v>
      </c>
      <c r="AO9" s="921" t="s">
        <v>58</v>
      </c>
      <c r="AP9" s="921" t="s">
        <v>60</v>
      </c>
      <c r="AQ9" s="921" t="s">
        <v>58</v>
      </c>
      <c r="AR9" s="921" t="s">
        <v>60</v>
      </c>
      <c r="AS9" s="921" t="s">
        <v>58</v>
      </c>
      <c r="AT9" s="921" t="s">
        <v>60</v>
      </c>
      <c r="AU9" s="921" t="s">
        <v>58</v>
      </c>
      <c r="AV9" s="921" t="s">
        <v>60</v>
      </c>
      <c r="AW9" s="921" t="s">
        <v>58</v>
      </c>
      <c r="AX9" s="921" t="s">
        <v>60</v>
      </c>
      <c r="AY9" s="921" t="s">
        <v>58</v>
      </c>
      <c r="AZ9" s="921" t="s">
        <v>60</v>
      </c>
      <c r="BA9" s="921" t="s">
        <v>58</v>
      </c>
      <c r="BB9" s="921" t="s">
        <v>60</v>
      </c>
      <c r="BC9" s="921" t="s">
        <v>58</v>
      </c>
      <c r="BD9" s="921" t="s">
        <v>60</v>
      </c>
      <c r="BE9" s="1274"/>
      <c r="BF9" s="1273"/>
      <c r="BG9" s="1274"/>
      <c r="BH9" s="1275"/>
      <c r="BI9" s="1274"/>
      <c r="BJ9" s="1277"/>
      <c r="BK9" s="924" t="s">
        <v>58</v>
      </c>
      <c r="BL9" s="924" t="s">
        <v>60</v>
      </c>
      <c r="BM9" s="924" t="s">
        <v>58</v>
      </c>
      <c r="BN9" s="924" t="s">
        <v>60</v>
      </c>
      <c r="BO9" s="1272"/>
      <c r="BP9" s="3"/>
      <c r="BQ9" s="3"/>
      <c r="BR9" s="3"/>
      <c r="BS9" s="3"/>
      <c r="BT9" s="3"/>
      <c r="BU9" s="3"/>
      <c r="BV9" s="3"/>
      <c r="BW9" s="3"/>
      <c r="BX9" s="3"/>
      <c r="BY9" s="3"/>
      <c r="BZ9" s="3"/>
      <c r="CA9" s="3"/>
      <c r="CB9" s="3"/>
      <c r="CC9" s="3"/>
      <c r="CD9" s="3"/>
    </row>
    <row r="10" spans="1:87" s="91" customFormat="1" ht="27" customHeight="1" x14ac:dyDescent="0.2">
      <c r="A10" s="611">
        <v>2</v>
      </c>
      <c r="B10" s="612" t="s">
        <v>204</v>
      </c>
      <c r="C10" s="612"/>
      <c r="D10" s="158"/>
      <c r="E10" s="158"/>
      <c r="F10" s="158"/>
      <c r="G10" s="158"/>
      <c r="H10" s="159"/>
      <c r="I10" s="159"/>
      <c r="J10" s="158"/>
      <c r="K10" s="158"/>
      <c r="L10" s="982"/>
      <c r="M10" s="160"/>
      <c r="N10" s="159"/>
      <c r="O10" s="162"/>
      <c r="P10" s="163"/>
      <c r="Q10" s="159"/>
      <c r="R10" s="159"/>
      <c r="S10" s="159"/>
      <c r="T10" s="164"/>
      <c r="U10" s="164"/>
      <c r="V10" s="164"/>
      <c r="W10" s="165"/>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6"/>
      <c r="BL10" s="166"/>
      <c r="BM10" s="166"/>
      <c r="BN10" s="166"/>
      <c r="BO10" s="161"/>
      <c r="BP10" s="3"/>
      <c r="BQ10" s="3"/>
      <c r="BR10" s="3"/>
      <c r="BS10" s="3"/>
      <c r="BT10" s="3"/>
      <c r="BU10" s="3"/>
      <c r="BV10" s="3"/>
      <c r="BW10" s="3"/>
      <c r="BX10" s="3"/>
      <c r="BY10" s="3"/>
      <c r="BZ10" s="3"/>
      <c r="CA10" s="3"/>
      <c r="CB10" s="3"/>
      <c r="CC10" s="3"/>
      <c r="CD10" s="3"/>
      <c r="CE10" s="3"/>
      <c r="CF10" s="3"/>
      <c r="CG10" s="3"/>
      <c r="CH10" s="3"/>
      <c r="CI10" s="3"/>
    </row>
    <row r="11" spans="1:87" s="3" customFormat="1" ht="27" customHeight="1" x14ac:dyDescent="0.2">
      <c r="A11" s="1594"/>
      <c r="B11" s="1595"/>
      <c r="C11" s="1596"/>
      <c r="D11" s="492">
        <v>4</v>
      </c>
      <c r="E11" s="1376" t="s">
        <v>854</v>
      </c>
      <c r="F11" s="1376"/>
      <c r="G11" s="1377"/>
      <c r="H11" s="1377"/>
      <c r="I11" s="1377"/>
      <c r="J11" s="1377"/>
      <c r="K11" s="1377"/>
      <c r="L11" s="1377"/>
      <c r="M11" s="1377"/>
      <c r="N11" s="983"/>
      <c r="O11" s="170"/>
      <c r="P11" s="171"/>
      <c r="Q11" s="983"/>
      <c r="R11" s="983"/>
      <c r="S11" s="983"/>
      <c r="T11" s="172"/>
      <c r="U11" s="172"/>
      <c r="V11" s="172"/>
      <c r="W11" s="173"/>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6"/>
      <c r="BL11" s="176"/>
      <c r="BM11" s="176"/>
      <c r="BN11" s="176"/>
      <c r="BO11" s="169"/>
      <c r="BP11" s="177"/>
      <c r="BQ11" s="177"/>
    </row>
    <row r="12" spans="1:87" s="3" customFormat="1" ht="147.75" customHeight="1" x14ac:dyDescent="0.2">
      <c r="A12" s="615"/>
      <c r="B12" s="616"/>
      <c r="C12" s="616"/>
      <c r="D12" s="617"/>
      <c r="E12" s="618"/>
      <c r="F12" s="619"/>
      <c r="G12" s="984">
        <v>1702011</v>
      </c>
      <c r="H12" s="939" t="s">
        <v>1014</v>
      </c>
      <c r="I12" s="937" t="s">
        <v>1015</v>
      </c>
      <c r="J12" s="34">
        <v>30</v>
      </c>
      <c r="K12" s="35"/>
      <c r="L12" s="1557" t="s">
        <v>1016</v>
      </c>
      <c r="M12" s="1498" t="s">
        <v>1017</v>
      </c>
      <c r="N12" s="1499" t="s">
        <v>1018</v>
      </c>
      <c r="O12" s="38">
        <f>+T12/P12</f>
        <v>0.47175689506063545</v>
      </c>
      <c r="P12" s="1567">
        <f>+T12+T13+T14</f>
        <v>415150265</v>
      </c>
      <c r="Q12" s="1293" t="s">
        <v>1019</v>
      </c>
      <c r="R12" s="1287" t="s">
        <v>1020</v>
      </c>
      <c r="S12" s="939" t="s">
        <v>1014</v>
      </c>
      <c r="T12" s="183">
        <v>195850000</v>
      </c>
      <c r="U12" s="985">
        <v>160049999</v>
      </c>
      <c r="V12" s="985">
        <v>134699999</v>
      </c>
      <c r="W12" s="1597" t="s">
        <v>70</v>
      </c>
      <c r="X12" s="1556" t="s">
        <v>1021</v>
      </c>
      <c r="Y12" s="1587">
        <v>170</v>
      </c>
      <c r="Z12" s="1584">
        <v>30</v>
      </c>
      <c r="AA12" s="1587">
        <v>200</v>
      </c>
      <c r="AB12" s="1584">
        <v>45</v>
      </c>
      <c r="AC12" s="1587">
        <v>0</v>
      </c>
      <c r="AD12" s="1584"/>
      <c r="AE12" s="1587">
        <v>0</v>
      </c>
      <c r="AF12" s="1584"/>
      <c r="AG12" s="1587">
        <v>300</v>
      </c>
      <c r="AH12" s="1584"/>
      <c r="AI12" s="1587">
        <v>10</v>
      </c>
      <c r="AJ12" s="1584"/>
      <c r="AK12" s="1587">
        <v>0</v>
      </c>
      <c r="AL12" s="1584"/>
      <c r="AM12" s="1587">
        <v>0</v>
      </c>
      <c r="AN12" s="1584"/>
      <c r="AO12" s="1587">
        <v>0</v>
      </c>
      <c r="AP12" s="1584"/>
      <c r="AQ12" s="1587">
        <v>0</v>
      </c>
      <c r="AR12" s="1584"/>
      <c r="AS12" s="1587">
        <v>0</v>
      </c>
      <c r="AT12" s="1584"/>
      <c r="AU12" s="1587">
        <v>0</v>
      </c>
      <c r="AV12" s="1584"/>
      <c r="AW12" s="1587">
        <v>0</v>
      </c>
      <c r="AX12" s="1584"/>
      <c r="AY12" s="1587">
        <v>0</v>
      </c>
      <c r="AZ12" s="1584"/>
      <c r="BA12" s="1587">
        <v>0</v>
      </c>
      <c r="BB12" s="1584"/>
      <c r="BC12" s="1587">
        <v>370</v>
      </c>
      <c r="BD12" s="1584"/>
      <c r="BE12" s="1588">
        <v>16</v>
      </c>
      <c r="BF12" s="1591">
        <f>SUM(U12:U14)</f>
        <v>160049999</v>
      </c>
      <c r="BG12" s="1591">
        <f>SUM(V12:V14)</f>
        <v>134699999</v>
      </c>
      <c r="BH12" s="1575">
        <f>BG12/BF12</f>
        <v>0.84161199526155572</v>
      </c>
      <c r="BI12" s="1578" t="s">
        <v>72</v>
      </c>
      <c r="BJ12" s="1581" t="s">
        <v>1022</v>
      </c>
      <c r="BK12" s="1571">
        <v>43857</v>
      </c>
      <c r="BL12" s="1571">
        <v>43857</v>
      </c>
      <c r="BM12" s="1571">
        <v>44006</v>
      </c>
      <c r="BN12" s="1571"/>
      <c r="BO12" s="1546" t="s">
        <v>1023</v>
      </c>
      <c r="BP12" s="191"/>
      <c r="BQ12" s="177"/>
    </row>
    <row r="13" spans="1:87" s="3" customFormat="1" ht="146.25" customHeight="1" x14ac:dyDescent="0.2">
      <c r="A13" s="615"/>
      <c r="B13" s="616"/>
      <c r="C13" s="616"/>
      <c r="D13" s="615"/>
      <c r="E13" s="616"/>
      <c r="F13" s="622"/>
      <c r="G13" s="984">
        <v>1702007</v>
      </c>
      <c r="H13" s="939" t="s">
        <v>1024</v>
      </c>
      <c r="I13" s="937" t="s">
        <v>1025</v>
      </c>
      <c r="J13" s="34">
        <v>5</v>
      </c>
      <c r="K13" s="35"/>
      <c r="L13" s="1557"/>
      <c r="M13" s="1498"/>
      <c r="N13" s="1499"/>
      <c r="O13" s="38">
        <f>+T13/P12</f>
        <v>0.31313962909309478</v>
      </c>
      <c r="P13" s="1567"/>
      <c r="Q13" s="1294"/>
      <c r="R13" s="1288"/>
      <c r="S13" s="939" t="s">
        <v>1024</v>
      </c>
      <c r="T13" s="183">
        <v>130000000</v>
      </c>
      <c r="U13" s="183"/>
      <c r="V13" s="183"/>
      <c r="W13" s="1597"/>
      <c r="X13" s="1556"/>
      <c r="Y13" s="1587"/>
      <c r="Z13" s="1585"/>
      <c r="AA13" s="1587"/>
      <c r="AB13" s="1585"/>
      <c r="AC13" s="1587"/>
      <c r="AD13" s="1585"/>
      <c r="AE13" s="1587"/>
      <c r="AF13" s="1585"/>
      <c r="AG13" s="1587"/>
      <c r="AH13" s="1585"/>
      <c r="AI13" s="1587"/>
      <c r="AJ13" s="1585"/>
      <c r="AK13" s="1587"/>
      <c r="AL13" s="1585"/>
      <c r="AM13" s="1587"/>
      <c r="AN13" s="1585"/>
      <c r="AO13" s="1587"/>
      <c r="AP13" s="1585"/>
      <c r="AQ13" s="1587"/>
      <c r="AR13" s="1585"/>
      <c r="AS13" s="1587"/>
      <c r="AT13" s="1585"/>
      <c r="AU13" s="1587"/>
      <c r="AV13" s="1585"/>
      <c r="AW13" s="1587"/>
      <c r="AX13" s="1585"/>
      <c r="AY13" s="1587"/>
      <c r="AZ13" s="1585"/>
      <c r="BA13" s="1587"/>
      <c r="BB13" s="1585"/>
      <c r="BC13" s="1587"/>
      <c r="BD13" s="1585"/>
      <c r="BE13" s="1589"/>
      <c r="BF13" s="1592"/>
      <c r="BG13" s="1592"/>
      <c r="BH13" s="1576"/>
      <c r="BI13" s="1579"/>
      <c r="BJ13" s="1582"/>
      <c r="BK13" s="1572"/>
      <c r="BL13" s="1572"/>
      <c r="BM13" s="1572"/>
      <c r="BN13" s="1572"/>
      <c r="BO13" s="1546" t="s">
        <v>1026</v>
      </c>
      <c r="BP13" s="191"/>
      <c r="BQ13" s="177"/>
    </row>
    <row r="14" spans="1:87" s="4" customFormat="1" ht="117" customHeight="1" x14ac:dyDescent="0.2">
      <c r="A14" s="615"/>
      <c r="B14" s="616"/>
      <c r="C14" s="616"/>
      <c r="D14" s="615"/>
      <c r="E14" s="616"/>
      <c r="F14" s="622"/>
      <c r="G14" s="984">
        <v>1702009</v>
      </c>
      <c r="H14" s="939" t="s">
        <v>1027</v>
      </c>
      <c r="I14" s="937" t="s">
        <v>1028</v>
      </c>
      <c r="J14" s="92">
        <v>100</v>
      </c>
      <c r="K14" s="114"/>
      <c r="L14" s="1557"/>
      <c r="M14" s="1498"/>
      <c r="N14" s="1499"/>
      <c r="O14" s="285">
        <f>+T14/P12</f>
        <v>0.21510347584626979</v>
      </c>
      <c r="P14" s="1567"/>
      <c r="Q14" s="1295"/>
      <c r="R14" s="1289"/>
      <c r="S14" s="939" t="s">
        <v>1027</v>
      </c>
      <c r="T14" s="940">
        <v>89300265</v>
      </c>
      <c r="U14" s="940"/>
      <c r="V14" s="940"/>
      <c r="W14" s="1597"/>
      <c r="X14" s="1556"/>
      <c r="Y14" s="1587"/>
      <c r="Z14" s="1586"/>
      <c r="AA14" s="1587"/>
      <c r="AB14" s="1586"/>
      <c r="AC14" s="1587"/>
      <c r="AD14" s="1586"/>
      <c r="AE14" s="1587"/>
      <c r="AF14" s="1586"/>
      <c r="AG14" s="1587"/>
      <c r="AH14" s="1586"/>
      <c r="AI14" s="1587"/>
      <c r="AJ14" s="1586"/>
      <c r="AK14" s="1587"/>
      <c r="AL14" s="1586"/>
      <c r="AM14" s="1587"/>
      <c r="AN14" s="1586"/>
      <c r="AO14" s="1587"/>
      <c r="AP14" s="1586"/>
      <c r="AQ14" s="1587"/>
      <c r="AR14" s="1586"/>
      <c r="AS14" s="1587"/>
      <c r="AT14" s="1586"/>
      <c r="AU14" s="1587"/>
      <c r="AV14" s="1586"/>
      <c r="AW14" s="1587"/>
      <c r="AX14" s="1586"/>
      <c r="AY14" s="1587"/>
      <c r="AZ14" s="1586"/>
      <c r="BA14" s="1587"/>
      <c r="BB14" s="1586"/>
      <c r="BC14" s="1587"/>
      <c r="BD14" s="1586"/>
      <c r="BE14" s="1590"/>
      <c r="BF14" s="1593"/>
      <c r="BG14" s="1593"/>
      <c r="BH14" s="1577"/>
      <c r="BI14" s="1580"/>
      <c r="BJ14" s="1583"/>
      <c r="BK14" s="1573"/>
      <c r="BL14" s="1573"/>
      <c r="BM14" s="1573"/>
      <c r="BN14" s="1573"/>
      <c r="BO14" s="1546" t="s">
        <v>1026</v>
      </c>
      <c r="BP14" s="91"/>
      <c r="BQ14" s="91"/>
    </row>
    <row r="15" spans="1:87" s="4" customFormat="1" ht="261.75" customHeight="1" x14ac:dyDescent="0.2">
      <c r="A15" s="615"/>
      <c r="B15" s="616"/>
      <c r="C15" s="616"/>
      <c r="D15" s="615"/>
      <c r="E15" s="616"/>
      <c r="F15" s="622"/>
      <c r="G15" s="986">
        <v>1702017</v>
      </c>
      <c r="H15" s="939" t="s">
        <v>1029</v>
      </c>
      <c r="I15" s="937" t="s">
        <v>1030</v>
      </c>
      <c r="J15" s="92">
        <v>250</v>
      </c>
      <c r="K15" s="114"/>
      <c r="L15" s="34" t="s">
        <v>1031</v>
      </c>
      <c r="M15" s="938" t="s">
        <v>1032</v>
      </c>
      <c r="N15" s="939" t="s">
        <v>1033</v>
      </c>
      <c r="O15" s="285">
        <f>+T15/P15</f>
        <v>1</v>
      </c>
      <c r="P15" s="987">
        <f>+T15</f>
        <v>110000000</v>
      </c>
      <c r="Q15" s="988" t="s">
        <v>1034</v>
      </c>
      <c r="R15" s="40" t="s">
        <v>1035</v>
      </c>
      <c r="S15" s="939" t="s">
        <v>1029</v>
      </c>
      <c r="T15" s="940">
        <v>110000000</v>
      </c>
      <c r="U15" s="989">
        <v>51466666</v>
      </c>
      <c r="V15" s="989">
        <v>49666666</v>
      </c>
      <c r="W15" s="110" t="s">
        <v>70</v>
      </c>
      <c r="X15" s="40" t="s">
        <v>1021</v>
      </c>
      <c r="Y15" s="942">
        <v>2608</v>
      </c>
      <c r="Z15" s="942">
        <v>125</v>
      </c>
      <c r="AA15" s="942">
        <v>2992</v>
      </c>
      <c r="AB15" s="942">
        <v>225</v>
      </c>
      <c r="AC15" s="942">
        <v>1100</v>
      </c>
      <c r="AD15" s="942"/>
      <c r="AE15" s="942">
        <v>465</v>
      </c>
      <c r="AF15" s="942"/>
      <c r="AG15" s="942">
        <v>3441</v>
      </c>
      <c r="AH15" s="942"/>
      <c r="AI15" s="942">
        <v>594</v>
      </c>
      <c r="AJ15" s="942"/>
      <c r="AK15" s="942">
        <v>40</v>
      </c>
      <c r="AL15" s="942"/>
      <c r="AM15" s="942">
        <v>50</v>
      </c>
      <c r="AN15" s="942"/>
      <c r="AO15" s="942">
        <v>0</v>
      </c>
      <c r="AP15" s="942"/>
      <c r="AQ15" s="942">
        <v>0</v>
      </c>
      <c r="AR15" s="942"/>
      <c r="AS15" s="942">
        <v>0</v>
      </c>
      <c r="AT15" s="942"/>
      <c r="AU15" s="942">
        <v>0</v>
      </c>
      <c r="AV15" s="942"/>
      <c r="AW15" s="942">
        <v>80</v>
      </c>
      <c r="AX15" s="942"/>
      <c r="AY15" s="942">
        <v>10</v>
      </c>
      <c r="AZ15" s="942"/>
      <c r="BA15" s="942">
        <v>0</v>
      </c>
      <c r="BB15" s="942"/>
      <c r="BC15" s="942">
        <v>5600</v>
      </c>
      <c r="BD15" s="942"/>
      <c r="BE15" s="92">
        <v>5</v>
      </c>
      <c r="BF15" s="665">
        <f>SUM(U15)</f>
        <v>51466666</v>
      </c>
      <c r="BG15" s="665">
        <f>SUM(V15)</f>
        <v>49666666</v>
      </c>
      <c r="BH15" s="513">
        <f>BG15/BF15</f>
        <v>0.965025906282719</v>
      </c>
      <c r="BI15" s="407" t="s">
        <v>72</v>
      </c>
      <c r="BJ15" s="92" t="s">
        <v>1036</v>
      </c>
      <c r="BK15" s="48">
        <v>43864</v>
      </c>
      <c r="BL15" s="48">
        <v>43864</v>
      </c>
      <c r="BM15" s="48">
        <v>43984</v>
      </c>
      <c r="BN15" s="48"/>
      <c r="BO15" s="414" t="s">
        <v>1023</v>
      </c>
    </row>
    <row r="16" spans="1:87" s="4" customFormat="1" ht="88.5" customHeight="1" x14ac:dyDescent="0.2">
      <c r="A16" s="615"/>
      <c r="B16" s="616"/>
      <c r="C16" s="616"/>
      <c r="D16" s="615"/>
      <c r="E16" s="616"/>
      <c r="F16" s="622"/>
      <c r="G16" s="1574">
        <v>1702038</v>
      </c>
      <c r="H16" s="1499" t="s">
        <v>1037</v>
      </c>
      <c r="I16" s="937" t="s">
        <v>1038</v>
      </c>
      <c r="J16" s="92">
        <v>30</v>
      </c>
      <c r="K16" s="114"/>
      <c r="L16" s="1557" t="s">
        <v>1039</v>
      </c>
      <c r="M16" s="1496" t="s">
        <v>1040</v>
      </c>
      <c r="N16" s="1499" t="s">
        <v>1041</v>
      </c>
      <c r="O16" s="1550">
        <f>+T16/164004155</f>
        <v>0.67805693703308922</v>
      </c>
      <c r="P16" s="1568">
        <f>+T16+T17</f>
        <v>111204155</v>
      </c>
      <c r="Q16" s="1293" t="s">
        <v>1042</v>
      </c>
      <c r="R16" s="1293" t="s">
        <v>1043</v>
      </c>
      <c r="S16" s="1499" t="s">
        <v>1037</v>
      </c>
      <c r="T16" s="1490">
        <v>111204155</v>
      </c>
      <c r="U16" s="1419">
        <v>26400000</v>
      </c>
      <c r="V16" s="1419">
        <v>22800000</v>
      </c>
      <c r="W16" s="1555" t="s">
        <v>70</v>
      </c>
      <c r="X16" s="1293" t="s">
        <v>151</v>
      </c>
      <c r="Y16" s="1554">
        <v>100</v>
      </c>
      <c r="Z16" s="1472">
        <v>20</v>
      </c>
      <c r="AA16" s="1554">
        <v>60</v>
      </c>
      <c r="AB16" s="1472">
        <v>15</v>
      </c>
      <c r="AC16" s="1554">
        <v>0</v>
      </c>
      <c r="AD16" s="1472"/>
      <c r="AE16" s="1554">
        <v>0</v>
      </c>
      <c r="AF16" s="1472"/>
      <c r="AG16" s="1554">
        <v>110</v>
      </c>
      <c r="AH16" s="1472"/>
      <c r="AI16" s="1554">
        <v>50</v>
      </c>
      <c r="AJ16" s="1472"/>
      <c r="AK16" s="1554">
        <v>0</v>
      </c>
      <c r="AL16" s="1472"/>
      <c r="AM16" s="1554">
        <v>0</v>
      </c>
      <c r="AN16" s="1472"/>
      <c r="AO16" s="1472">
        <v>0</v>
      </c>
      <c r="AP16" s="1472"/>
      <c r="AQ16" s="1554">
        <v>0</v>
      </c>
      <c r="AR16" s="1472"/>
      <c r="AS16" s="1554">
        <v>0</v>
      </c>
      <c r="AT16" s="1472"/>
      <c r="AU16" s="1554">
        <v>0</v>
      </c>
      <c r="AV16" s="1472"/>
      <c r="AW16" s="1554">
        <v>0</v>
      </c>
      <c r="AX16" s="1472"/>
      <c r="AY16" s="1554">
        <v>0</v>
      </c>
      <c r="AZ16" s="1472"/>
      <c r="BA16" s="1554">
        <v>0</v>
      </c>
      <c r="BB16" s="1472"/>
      <c r="BC16" s="1554">
        <v>160</v>
      </c>
      <c r="BD16" s="1472"/>
      <c r="BE16" s="1430">
        <v>5</v>
      </c>
      <c r="BF16" s="1540">
        <f t="shared" ref="BF16:BG16" si="0">SUM(U16)</f>
        <v>26400000</v>
      </c>
      <c r="BG16" s="1540">
        <f t="shared" si="0"/>
        <v>22800000</v>
      </c>
      <c r="BH16" s="1542">
        <f>BG16/BF16</f>
        <v>0.86363636363636365</v>
      </c>
      <c r="BI16" s="1478" t="s">
        <v>72</v>
      </c>
      <c r="BJ16" s="1281" t="s">
        <v>1022</v>
      </c>
      <c r="BK16" s="1545">
        <v>43874</v>
      </c>
      <c r="BL16" s="1545">
        <v>43874</v>
      </c>
      <c r="BM16" s="1545">
        <v>44001</v>
      </c>
      <c r="BN16" s="1545"/>
      <c r="BO16" s="1546" t="s">
        <v>1023</v>
      </c>
    </row>
    <row r="17" spans="1:67" s="4" customFormat="1" ht="85.5" customHeight="1" x14ac:dyDescent="0.2">
      <c r="A17" s="615"/>
      <c r="B17" s="616"/>
      <c r="C17" s="616"/>
      <c r="D17" s="615"/>
      <c r="E17" s="616"/>
      <c r="F17" s="622"/>
      <c r="G17" s="1574"/>
      <c r="H17" s="1499"/>
      <c r="I17" s="937" t="s">
        <v>1044</v>
      </c>
      <c r="J17" s="92">
        <v>60</v>
      </c>
      <c r="K17" s="114"/>
      <c r="L17" s="1557"/>
      <c r="M17" s="1496"/>
      <c r="N17" s="1499"/>
      <c r="O17" s="1551"/>
      <c r="P17" s="1568"/>
      <c r="Q17" s="1295"/>
      <c r="R17" s="1295"/>
      <c r="S17" s="1499"/>
      <c r="T17" s="1491"/>
      <c r="U17" s="1570"/>
      <c r="V17" s="1570"/>
      <c r="W17" s="1555"/>
      <c r="X17" s="1295"/>
      <c r="Y17" s="1554"/>
      <c r="Z17" s="1473"/>
      <c r="AA17" s="1554"/>
      <c r="AB17" s="1473"/>
      <c r="AC17" s="1554"/>
      <c r="AD17" s="1473"/>
      <c r="AE17" s="1554"/>
      <c r="AF17" s="1473"/>
      <c r="AG17" s="1554"/>
      <c r="AH17" s="1473"/>
      <c r="AI17" s="1554"/>
      <c r="AJ17" s="1473"/>
      <c r="AK17" s="1554"/>
      <c r="AL17" s="1473"/>
      <c r="AM17" s="1554"/>
      <c r="AN17" s="1473"/>
      <c r="AO17" s="1473"/>
      <c r="AP17" s="1473"/>
      <c r="AQ17" s="1554"/>
      <c r="AR17" s="1473"/>
      <c r="AS17" s="1554"/>
      <c r="AT17" s="1473"/>
      <c r="AU17" s="1554"/>
      <c r="AV17" s="1473"/>
      <c r="AW17" s="1554"/>
      <c r="AX17" s="1473"/>
      <c r="AY17" s="1554"/>
      <c r="AZ17" s="1473"/>
      <c r="BA17" s="1554"/>
      <c r="BB17" s="1473"/>
      <c r="BC17" s="1554"/>
      <c r="BD17" s="1473"/>
      <c r="BE17" s="1431"/>
      <c r="BF17" s="1569"/>
      <c r="BG17" s="1569"/>
      <c r="BH17" s="1544"/>
      <c r="BI17" s="1479"/>
      <c r="BJ17" s="1283"/>
      <c r="BK17" s="1545"/>
      <c r="BL17" s="1545"/>
      <c r="BM17" s="1545"/>
      <c r="BN17" s="1545"/>
      <c r="BO17" s="1546"/>
    </row>
    <row r="18" spans="1:67" s="4" customFormat="1" ht="80.25" customHeight="1" x14ac:dyDescent="0.2">
      <c r="A18" s="615"/>
      <c r="B18" s="616"/>
      <c r="C18" s="616"/>
      <c r="D18" s="615"/>
      <c r="E18" s="616"/>
      <c r="F18" s="622"/>
      <c r="G18" s="984">
        <v>1702023</v>
      </c>
      <c r="H18" s="939" t="s">
        <v>475</v>
      </c>
      <c r="I18" s="937" t="s">
        <v>1045</v>
      </c>
      <c r="J18" s="92">
        <v>1</v>
      </c>
      <c r="K18" s="114"/>
      <c r="L18" s="1281" t="s">
        <v>1046</v>
      </c>
      <c r="M18" s="1496" t="s">
        <v>1047</v>
      </c>
      <c r="N18" s="1565" t="s">
        <v>1048</v>
      </c>
      <c r="O18" s="285">
        <f>+T18/150000000</f>
        <v>0.33333333333333331</v>
      </c>
      <c r="P18" s="1568">
        <f>+T18+T19</f>
        <v>100000000</v>
      </c>
      <c r="Q18" s="1296" t="s">
        <v>1049</v>
      </c>
      <c r="R18" s="1296" t="s">
        <v>1050</v>
      </c>
      <c r="S18" s="939" t="s">
        <v>475</v>
      </c>
      <c r="T18" s="940">
        <v>50000000</v>
      </c>
      <c r="U18" s="934"/>
      <c r="V18" s="934"/>
      <c r="W18" s="1438" t="s">
        <v>70</v>
      </c>
      <c r="X18" s="1293" t="s">
        <v>151</v>
      </c>
      <c r="Y18" s="1562">
        <v>65000</v>
      </c>
      <c r="Z18" s="1562"/>
      <c r="AA18" s="1562">
        <v>65000</v>
      </c>
      <c r="AB18" s="1562"/>
      <c r="AC18" s="1562">
        <v>22000</v>
      </c>
      <c r="AD18" s="1562"/>
      <c r="AE18" s="1562">
        <v>14000</v>
      </c>
      <c r="AF18" s="1562"/>
      <c r="AG18" s="1562">
        <v>79000</v>
      </c>
      <c r="AH18" s="1562"/>
      <c r="AI18" s="1562">
        <v>15000</v>
      </c>
      <c r="AJ18" s="1562"/>
      <c r="AK18" s="1562"/>
      <c r="AL18" s="1562"/>
      <c r="AM18" s="1562"/>
      <c r="AN18" s="1562"/>
      <c r="AO18" s="1562"/>
      <c r="AP18" s="1562"/>
      <c r="AQ18" s="1562"/>
      <c r="AR18" s="1562"/>
      <c r="AS18" s="1562"/>
      <c r="AT18" s="1562"/>
      <c r="AU18" s="1562"/>
      <c r="AV18" s="1562"/>
      <c r="AW18" s="1562"/>
      <c r="AX18" s="1562"/>
      <c r="AY18" s="1562"/>
      <c r="AZ18" s="1562"/>
      <c r="BA18" s="1562"/>
      <c r="BB18" s="1562"/>
      <c r="BC18" s="1562">
        <v>130000</v>
      </c>
      <c r="BD18" s="1562"/>
      <c r="BE18" s="1562"/>
      <c r="BF18" s="1562"/>
      <c r="BG18" s="1562"/>
      <c r="BH18" s="1562"/>
      <c r="BI18" s="1562"/>
      <c r="BJ18" s="1562"/>
      <c r="BK18" s="1315">
        <v>44033</v>
      </c>
      <c r="BL18" s="1562"/>
      <c r="BM18" s="1315">
        <v>44195</v>
      </c>
      <c r="BN18" s="1562"/>
      <c r="BO18" s="1458" t="s">
        <v>1023</v>
      </c>
    </row>
    <row r="19" spans="1:67" s="4" customFormat="1" ht="93.75" customHeight="1" x14ac:dyDescent="0.2">
      <c r="A19" s="615"/>
      <c r="B19" s="616"/>
      <c r="C19" s="616"/>
      <c r="D19" s="615"/>
      <c r="E19" s="616"/>
      <c r="F19" s="622"/>
      <c r="G19" s="984">
        <v>1702024</v>
      </c>
      <c r="H19" s="939" t="s">
        <v>1051</v>
      </c>
      <c r="I19" s="937" t="s">
        <v>1052</v>
      </c>
      <c r="J19" s="92">
        <v>12</v>
      </c>
      <c r="K19" s="114"/>
      <c r="L19" s="1283"/>
      <c r="M19" s="1496"/>
      <c r="N19" s="1565"/>
      <c r="O19" s="285">
        <f>+T19/150000000</f>
        <v>0.33333333333333331</v>
      </c>
      <c r="P19" s="1568"/>
      <c r="Q19" s="1298"/>
      <c r="R19" s="1298"/>
      <c r="S19" s="939" t="s">
        <v>1051</v>
      </c>
      <c r="T19" s="940">
        <v>50000000</v>
      </c>
      <c r="U19" s="935"/>
      <c r="V19" s="935"/>
      <c r="W19" s="1439"/>
      <c r="X19" s="1295"/>
      <c r="Y19" s="1566"/>
      <c r="Z19" s="1566"/>
      <c r="AA19" s="1566"/>
      <c r="AB19" s="1566"/>
      <c r="AC19" s="1566"/>
      <c r="AD19" s="1566"/>
      <c r="AE19" s="1566"/>
      <c r="AF19" s="1566"/>
      <c r="AG19" s="1566"/>
      <c r="AH19" s="1566"/>
      <c r="AI19" s="1566"/>
      <c r="AJ19" s="1566"/>
      <c r="AK19" s="1566"/>
      <c r="AL19" s="1566"/>
      <c r="AM19" s="1566"/>
      <c r="AN19" s="1566"/>
      <c r="AO19" s="1566"/>
      <c r="AP19" s="1566"/>
      <c r="AQ19" s="1566"/>
      <c r="AR19" s="1566"/>
      <c r="AS19" s="1566"/>
      <c r="AT19" s="1566"/>
      <c r="AU19" s="1566"/>
      <c r="AV19" s="1566"/>
      <c r="AW19" s="1566"/>
      <c r="AX19" s="1566"/>
      <c r="AY19" s="1566"/>
      <c r="AZ19" s="1566"/>
      <c r="BA19" s="1566"/>
      <c r="BB19" s="1566"/>
      <c r="BC19" s="1566"/>
      <c r="BD19" s="1566"/>
      <c r="BE19" s="1566"/>
      <c r="BF19" s="1566"/>
      <c r="BG19" s="1566"/>
      <c r="BH19" s="1566"/>
      <c r="BI19" s="1566"/>
      <c r="BJ19" s="1566"/>
      <c r="BK19" s="1317"/>
      <c r="BL19" s="1566"/>
      <c r="BM19" s="1317"/>
      <c r="BN19" s="1566"/>
      <c r="BO19" s="1460"/>
    </row>
    <row r="20" spans="1:67" s="4" customFormat="1" ht="63.75" customHeight="1" x14ac:dyDescent="0.2">
      <c r="A20" s="615"/>
      <c r="B20" s="616"/>
      <c r="C20" s="616"/>
      <c r="D20" s="615"/>
      <c r="E20" s="616"/>
      <c r="F20" s="622"/>
      <c r="G20" s="984">
        <v>1702014</v>
      </c>
      <c r="H20" s="939" t="s">
        <v>1053</v>
      </c>
      <c r="I20" s="937" t="s">
        <v>1054</v>
      </c>
      <c r="J20" s="92">
        <v>25</v>
      </c>
      <c r="K20" s="114"/>
      <c r="L20" s="1281" t="s">
        <v>1055</v>
      </c>
      <c r="M20" s="1496" t="s">
        <v>1056</v>
      </c>
      <c r="N20" s="1556" t="s">
        <v>1057</v>
      </c>
      <c r="O20" s="285">
        <f>+T20/169000000</f>
        <v>0.29585798816568049</v>
      </c>
      <c r="P20" s="1567">
        <f>+T20+T21+T22</f>
        <v>79000000</v>
      </c>
      <c r="Q20" s="1296" t="s">
        <v>1058</v>
      </c>
      <c r="R20" s="1296" t="s">
        <v>1059</v>
      </c>
      <c r="S20" s="939" t="s">
        <v>1053</v>
      </c>
      <c r="T20" s="940">
        <v>50000000</v>
      </c>
      <c r="U20" s="934"/>
      <c r="V20" s="934"/>
      <c r="W20" s="1438" t="s">
        <v>70</v>
      </c>
      <c r="X20" s="1293" t="s">
        <v>151</v>
      </c>
      <c r="Y20" s="1562">
        <v>25000</v>
      </c>
      <c r="Z20" s="1562"/>
      <c r="AA20" s="1562">
        <v>25000</v>
      </c>
      <c r="AB20" s="1562"/>
      <c r="AC20" s="1562">
        <v>10000</v>
      </c>
      <c r="AD20" s="1562"/>
      <c r="AE20" s="1562">
        <v>10000</v>
      </c>
      <c r="AF20" s="1562"/>
      <c r="AG20" s="1562">
        <v>20000</v>
      </c>
      <c r="AH20" s="1562"/>
      <c r="AI20" s="1562">
        <v>10000</v>
      </c>
      <c r="AJ20" s="1562"/>
      <c r="AK20" s="1562"/>
      <c r="AL20" s="1562"/>
      <c r="AM20" s="1562"/>
      <c r="AN20" s="1562"/>
      <c r="AO20" s="1562"/>
      <c r="AP20" s="1562"/>
      <c r="AQ20" s="1562"/>
      <c r="AR20" s="1562"/>
      <c r="AS20" s="1562"/>
      <c r="AT20" s="1562"/>
      <c r="AU20" s="1562"/>
      <c r="AV20" s="1562"/>
      <c r="AW20" s="1562"/>
      <c r="AX20" s="1562"/>
      <c r="AY20" s="1562"/>
      <c r="AZ20" s="1562"/>
      <c r="BA20" s="1562"/>
      <c r="BB20" s="1562"/>
      <c r="BC20" s="1562">
        <v>50000</v>
      </c>
      <c r="BD20" s="1562"/>
      <c r="BE20" s="1562"/>
      <c r="BF20" s="1562"/>
      <c r="BG20" s="1562"/>
      <c r="BH20" s="1562"/>
      <c r="BI20" s="1562"/>
      <c r="BJ20" s="1562"/>
      <c r="BK20" s="1315">
        <v>44033</v>
      </c>
      <c r="BL20" s="1315"/>
      <c r="BM20" s="1315">
        <v>44195</v>
      </c>
      <c r="BN20" s="1315"/>
      <c r="BO20" s="1458" t="s">
        <v>1023</v>
      </c>
    </row>
    <row r="21" spans="1:67" s="4" customFormat="1" ht="82.5" customHeight="1" x14ac:dyDescent="0.2">
      <c r="A21" s="615"/>
      <c r="B21" s="616"/>
      <c r="C21" s="616"/>
      <c r="D21" s="615"/>
      <c r="E21" s="616"/>
      <c r="F21" s="622"/>
      <c r="G21" s="984">
        <v>1702017</v>
      </c>
      <c r="H21" s="939" t="s">
        <v>1029</v>
      </c>
      <c r="I21" s="939" t="s">
        <v>1030</v>
      </c>
      <c r="J21" s="92">
        <v>250</v>
      </c>
      <c r="K21" s="114"/>
      <c r="L21" s="1282"/>
      <c r="M21" s="1496"/>
      <c r="N21" s="1556"/>
      <c r="O21" s="285">
        <f>+T21/169000000</f>
        <v>0.11242603550295859</v>
      </c>
      <c r="P21" s="1567"/>
      <c r="Q21" s="1297"/>
      <c r="R21" s="1297"/>
      <c r="S21" s="939" t="s">
        <v>1029</v>
      </c>
      <c r="T21" s="940">
        <v>19000000</v>
      </c>
      <c r="U21" s="990"/>
      <c r="V21" s="990"/>
      <c r="W21" s="1564"/>
      <c r="X21" s="1294"/>
      <c r="Y21" s="1563"/>
      <c r="Z21" s="1563"/>
      <c r="AA21" s="1563"/>
      <c r="AB21" s="1563"/>
      <c r="AC21" s="1563"/>
      <c r="AD21" s="1563"/>
      <c r="AE21" s="1563"/>
      <c r="AF21" s="1563"/>
      <c r="AG21" s="1563"/>
      <c r="AH21" s="1563"/>
      <c r="AI21" s="1563"/>
      <c r="AJ21" s="1563"/>
      <c r="AK21" s="1563"/>
      <c r="AL21" s="1563"/>
      <c r="AM21" s="1563"/>
      <c r="AN21" s="1563"/>
      <c r="AO21" s="1563"/>
      <c r="AP21" s="1563"/>
      <c r="AQ21" s="1563"/>
      <c r="AR21" s="1563"/>
      <c r="AS21" s="1563"/>
      <c r="AT21" s="1563"/>
      <c r="AU21" s="1563"/>
      <c r="AV21" s="1563"/>
      <c r="AW21" s="1563"/>
      <c r="AX21" s="1563"/>
      <c r="AY21" s="1563"/>
      <c r="AZ21" s="1563"/>
      <c r="BA21" s="1563"/>
      <c r="BB21" s="1563"/>
      <c r="BC21" s="1563"/>
      <c r="BD21" s="1563"/>
      <c r="BE21" s="1563"/>
      <c r="BF21" s="1563"/>
      <c r="BG21" s="1563"/>
      <c r="BH21" s="1563"/>
      <c r="BI21" s="1563"/>
      <c r="BJ21" s="1563"/>
      <c r="BK21" s="1316"/>
      <c r="BL21" s="1316"/>
      <c r="BM21" s="1316"/>
      <c r="BN21" s="1316"/>
      <c r="BO21" s="1459"/>
    </row>
    <row r="22" spans="1:67" s="4" customFormat="1" ht="63.75" customHeight="1" x14ac:dyDescent="0.2">
      <c r="A22" s="615"/>
      <c r="B22" s="616"/>
      <c r="C22" s="616"/>
      <c r="D22" s="615"/>
      <c r="E22" s="616"/>
      <c r="F22" s="622"/>
      <c r="G22" s="984">
        <v>1702021</v>
      </c>
      <c r="H22" s="939" t="s">
        <v>1060</v>
      </c>
      <c r="I22" s="937" t="s">
        <v>1061</v>
      </c>
      <c r="J22" s="92">
        <v>50</v>
      </c>
      <c r="K22" s="114"/>
      <c r="L22" s="1283"/>
      <c r="M22" s="1496"/>
      <c r="N22" s="1556"/>
      <c r="O22" s="285">
        <f>+T22/169000000</f>
        <v>5.9171597633136092E-2</v>
      </c>
      <c r="P22" s="1567"/>
      <c r="Q22" s="1298"/>
      <c r="R22" s="1298"/>
      <c r="S22" s="939" t="s">
        <v>1060</v>
      </c>
      <c r="T22" s="940">
        <v>10000000</v>
      </c>
      <c r="U22" s="935"/>
      <c r="V22" s="935"/>
      <c r="W22" s="1439"/>
      <c r="X22" s="1295"/>
      <c r="Y22" s="1566"/>
      <c r="Z22" s="1566"/>
      <c r="AA22" s="1566"/>
      <c r="AB22" s="1566"/>
      <c r="AC22" s="1566"/>
      <c r="AD22" s="1566"/>
      <c r="AE22" s="1566"/>
      <c r="AF22" s="1566"/>
      <c r="AG22" s="1566"/>
      <c r="AH22" s="1566"/>
      <c r="AI22" s="1566"/>
      <c r="AJ22" s="1566"/>
      <c r="AK22" s="1566"/>
      <c r="AL22" s="1566"/>
      <c r="AM22" s="1566"/>
      <c r="AN22" s="1566"/>
      <c r="AO22" s="1566"/>
      <c r="AP22" s="1566"/>
      <c r="AQ22" s="1566"/>
      <c r="AR22" s="1566"/>
      <c r="AS22" s="1566"/>
      <c r="AT22" s="1566"/>
      <c r="AU22" s="1566"/>
      <c r="AV22" s="1566"/>
      <c r="AW22" s="1566"/>
      <c r="AX22" s="1566"/>
      <c r="AY22" s="1566"/>
      <c r="AZ22" s="1566"/>
      <c r="BA22" s="1566"/>
      <c r="BB22" s="1566"/>
      <c r="BC22" s="1566"/>
      <c r="BD22" s="1566"/>
      <c r="BE22" s="1566"/>
      <c r="BF22" s="1566"/>
      <c r="BG22" s="1566"/>
      <c r="BH22" s="1566"/>
      <c r="BI22" s="1566"/>
      <c r="BJ22" s="1566"/>
      <c r="BK22" s="1317"/>
      <c r="BL22" s="1317"/>
      <c r="BM22" s="1317"/>
      <c r="BN22" s="1317"/>
      <c r="BO22" s="1460"/>
    </row>
    <row r="23" spans="1:67" s="4" customFormat="1" ht="110.25" customHeight="1" x14ac:dyDescent="0.2">
      <c r="A23" s="615"/>
      <c r="B23" s="616"/>
      <c r="C23" s="616"/>
      <c r="D23" s="629"/>
      <c r="E23" s="630"/>
      <c r="F23" s="631"/>
      <c r="G23" s="984">
        <v>1702025</v>
      </c>
      <c r="H23" s="939" t="s">
        <v>1062</v>
      </c>
      <c r="I23" s="937" t="s">
        <v>1063</v>
      </c>
      <c r="J23" s="92">
        <v>25</v>
      </c>
      <c r="K23" s="114"/>
      <c r="L23" s="34" t="s">
        <v>1064</v>
      </c>
      <c r="M23" s="936" t="s">
        <v>1065</v>
      </c>
      <c r="N23" s="40" t="s">
        <v>1066</v>
      </c>
      <c r="O23" s="285">
        <f>+T23/155000000</f>
        <v>0.19354838709677419</v>
      </c>
      <c r="P23" s="510">
        <f>+T23</f>
        <v>30000000</v>
      </c>
      <c r="Q23" s="941" t="s">
        <v>1067</v>
      </c>
      <c r="R23" s="941" t="s">
        <v>1068</v>
      </c>
      <c r="S23" s="939" t="s">
        <v>1062</v>
      </c>
      <c r="T23" s="940">
        <v>30000000</v>
      </c>
      <c r="U23" s="940"/>
      <c r="V23" s="940"/>
      <c r="W23" s="110" t="s">
        <v>70</v>
      </c>
      <c r="X23" s="40" t="s">
        <v>151</v>
      </c>
      <c r="Y23" s="217">
        <v>295972</v>
      </c>
      <c r="Z23" s="217"/>
      <c r="AA23" s="217">
        <v>285580</v>
      </c>
      <c r="AB23" s="217"/>
      <c r="AC23" s="217">
        <v>135545</v>
      </c>
      <c r="AD23" s="217"/>
      <c r="AE23" s="217">
        <v>44254</v>
      </c>
      <c r="AF23" s="217"/>
      <c r="AG23" s="217">
        <v>309146</v>
      </c>
      <c r="AH23" s="217"/>
      <c r="AI23" s="217">
        <v>92607</v>
      </c>
      <c r="AJ23" s="217"/>
      <c r="AK23" s="217">
        <v>2145</v>
      </c>
      <c r="AL23" s="217"/>
      <c r="AM23" s="217">
        <v>12718</v>
      </c>
      <c r="AN23" s="217"/>
      <c r="AO23" s="217">
        <v>26</v>
      </c>
      <c r="AP23" s="217"/>
      <c r="AQ23" s="217">
        <v>37</v>
      </c>
      <c r="AR23" s="217"/>
      <c r="AS23" s="217"/>
      <c r="AT23" s="217"/>
      <c r="AU23" s="217"/>
      <c r="AV23" s="217"/>
      <c r="AW23" s="217">
        <v>44350</v>
      </c>
      <c r="AX23" s="217"/>
      <c r="AY23" s="217">
        <v>21944</v>
      </c>
      <c r="AZ23" s="217"/>
      <c r="BA23" s="217">
        <v>75687</v>
      </c>
      <c r="BB23" s="217"/>
      <c r="BC23" s="217">
        <v>581552</v>
      </c>
      <c r="BD23" s="217"/>
      <c r="BE23" s="217"/>
      <c r="BF23" s="217"/>
      <c r="BG23" s="217"/>
      <c r="BH23" s="217"/>
      <c r="BI23" s="217"/>
      <c r="BJ23" s="217"/>
      <c r="BK23" s="48">
        <v>44033</v>
      </c>
      <c r="BL23" s="48"/>
      <c r="BM23" s="48">
        <v>44195</v>
      </c>
      <c r="BN23" s="48"/>
      <c r="BO23" s="414" t="s">
        <v>1023</v>
      </c>
    </row>
    <row r="24" spans="1:67" s="4" customFormat="1" ht="28.5" customHeight="1" x14ac:dyDescent="0.2">
      <c r="A24" s="1547"/>
      <c r="B24" s="1548"/>
      <c r="C24" s="1549"/>
      <c r="D24" s="636">
        <v>5</v>
      </c>
      <c r="E24" s="991" t="s">
        <v>1069</v>
      </c>
      <c r="F24" s="520"/>
      <c r="G24" s="521"/>
      <c r="H24" s="52"/>
      <c r="I24" s="52"/>
      <c r="J24" s="522"/>
      <c r="K24" s="521"/>
      <c r="L24" s="50"/>
      <c r="M24" s="992"/>
      <c r="N24" s="52"/>
      <c r="O24" s="993"/>
      <c r="P24" s="524"/>
      <c r="Q24" s="52"/>
      <c r="R24" s="52"/>
      <c r="S24" s="52"/>
      <c r="T24" s="526"/>
      <c r="U24" s="526"/>
      <c r="V24" s="526"/>
      <c r="W24" s="527"/>
      <c r="X24" s="52"/>
      <c r="Y24" s="527"/>
      <c r="Z24" s="527"/>
      <c r="AA24" s="527"/>
      <c r="AB24" s="527"/>
      <c r="AC24" s="527"/>
      <c r="AD24" s="527"/>
      <c r="AE24" s="527"/>
      <c r="AF24" s="527"/>
      <c r="AG24" s="527"/>
      <c r="AH24" s="527"/>
      <c r="AI24" s="527"/>
      <c r="AJ24" s="527"/>
      <c r="AK24" s="527"/>
      <c r="AL24" s="527"/>
      <c r="AM24" s="527"/>
      <c r="AN24" s="527"/>
      <c r="AO24" s="527"/>
      <c r="AP24" s="527"/>
      <c r="AQ24" s="527"/>
      <c r="AR24" s="527"/>
      <c r="AS24" s="527"/>
      <c r="AT24" s="527"/>
      <c r="AU24" s="527"/>
      <c r="AV24" s="527"/>
      <c r="AW24" s="527"/>
      <c r="AX24" s="527"/>
      <c r="AY24" s="527"/>
      <c r="AZ24" s="527"/>
      <c r="BA24" s="527"/>
      <c r="BB24" s="527"/>
      <c r="BC24" s="527"/>
      <c r="BD24" s="527"/>
      <c r="BE24" s="527"/>
      <c r="BF24" s="527"/>
      <c r="BG24" s="527"/>
      <c r="BH24" s="527"/>
      <c r="BI24" s="527"/>
      <c r="BJ24" s="527"/>
      <c r="BK24" s="529"/>
      <c r="BL24" s="529"/>
      <c r="BM24" s="530"/>
      <c r="BN24" s="530"/>
      <c r="BO24" s="52"/>
    </row>
    <row r="25" spans="1:67" s="4" customFormat="1" ht="121.5" customHeight="1" x14ac:dyDescent="0.2">
      <c r="A25" s="615"/>
      <c r="B25" s="616"/>
      <c r="C25" s="616"/>
      <c r="D25" s="994"/>
      <c r="E25" s="995"/>
      <c r="F25" s="996"/>
      <c r="G25" s="984">
        <v>1703013</v>
      </c>
      <c r="H25" s="939" t="s">
        <v>1070</v>
      </c>
      <c r="I25" s="937" t="s">
        <v>1071</v>
      </c>
      <c r="J25" s="218">
        <v>75</v>
      </c>
      <c r="K25" s="114"/>
      <c r="L25" s="34" t="s">
        <v>1055</v>
      </c>
      <c r="M25" s="936" t="s">
        <v>1056</v>
      </c>
      <c r="N25" s="40" t="s">
        <v>1072</v>
      </c>
      <c r="O25" s="285">
        <f>+T25/169000000</f>
        <v>0.53254437869822491</v>
      </c>
      <c r="P25" s="510">
        <v>90000000</v>
      </c>
      <c r="Q25" s="941" t="s">
        <v>1058</v>
      </c>
      <c r="R25" s="941" t="s">
        <v>1059</v>
      </c>
      <c r="S25" s="939" t="s">
        <v>1070</v>
      </c>
      <c r="T25" s="940">
        <v>90000000</v>
      </c>
      <c r="U25" s="940"/>
      <c r="V25" s="940"/>
      <c r="W25" s="110" t="s">
        <v>70</v>
      </c>
      <c r="X25" s="40" t="s">
        <v>151</v>
      </c>
      <c r="Y25" s="217">
        <v>6500</v>
      </c>
      <c r="Z25" s="217"/>
      <c r="AA25" s="217">
        <v>6500</v>
      </c>
      <c r="AB25" s="217"/>
      <c r="AC25" s="217">
        <v>22000</v>
      </c>
      <c r="AD25" s="217"/>
      <c r="AE25" s="217">
        <v>14000</v>
      </c>
      <c r="AF25" s="217"/>
      <c r="AG25" s="217">
        <v>79000</v>
      </c>
      <c r="AH25" s="217"/>
      <c r="AI25" s="217">
        <v>15000</v>
      </c>
      <c r="AJ25" s="217"/>
      <c r="AK25" s="217"/>
      <c r="AL25" s="217"/>
      <c r="AM25" s="217"/>
      <c r="AN25" s="217"/>
      <c r="AO25" s="217"/>
      <c r="AP25" s="217"/>
      <c r="AQ25" s="217"/>
      <c r="AR25" s="217"/>
      <c r="AS25" s="217"/>
      <c r="AT25" s="217"/>
      <c r="AU25" s="217"/>
      <c r="AV25" s="217"/>
      <c r="AW25" s="217"/>
      <c r="AX25" s="217"/>
      <c r="AY25" s="217"/>
      <c r="AZ25" s="217"/>
      <c r="BA25" s="217"/>
      <c r="BB25" s="217"/>
      <c r="BC25" s="217">
        <v>13000</v>
      </c>
      <c r="BD25" s="217"/>
      <c r="BE25" s="217"/>
      <c r="BF25" s="217"/>
      <c r="BG25" s="217"/>
      <c r="BH25" s="217"/>
      <c r="BI25" s="217"/>
      <c r="BJ25" s="217"/>
      <c r="BK25" s="48">
        <v>44033</v>
      </c>
      <c r="BL25" s="48"/>
      <c r="BM25" s="48">
        <v>44195</v>
      </c>
      <c r="BN25" s="48"/>
      <c r="BO25" s="414" t="s">
        <v>1023</v>
      </c>
    </row>
    <row r="26" spans="1:67" s="4" customFormat="1" ht="27" customHeight="1" x14ac:dyDescent="0.2">
      <c r="A26" s="1547"/>
      <c r="B26" s="1548"/>
      <c r="C26" s="1549"/>
      <c r="D26" s="636">
        <v>6</v>
      </c>
      <c r="E26" s="991" t="s">
        <v>1073</v>
      </c>
      <c r="F26" s="997"/>
      <c r="G26" s="929"/>
      <c r="H26" s="929"/>
      <c r="I26" s="929"/>
      <c r="J26" s="929"/>
      <c r="K26" s="929"/>
      <c r="L26" s="929"/>
      <c r="M26" s="929"/>
      <c r="N26" s="929"/>
      <c r="O26" s="993"/>
      <c r="P26" s="524"/>
      <c r="Q26" s="52"/>
      <c r="R26" s="52"/>
      <c r="S26" s="52"/>
      <c r="T26" s="526"/>
      <c r="U26" s="526"/>
      <c r="V26" s="526"/>
      <c r="W26" s="527"/>
      <c r="X26" s="52"/>
      <c r="Y26" s="527"/>
      <c r="Z26" s="527"/>
      <c r="AA26" s="527"/>
      <c r="AB26" s="527"/>
      <c r="AC26" s="527"/>
      <c r="AD26" s="527"/>
      <c r="AE26" s="527"/>
      <c r="AF26" s="527"/>
      <c r="AG26" s="527"/>
      <c r="AH26" s="527"/>
      <c r="AI26" s="527"/>
      <c r="AJ26" s="527"/>
      <c r="AK26" s="527"/>
      <c r="AL26" s="527"/>
      <c r="AM26" s="527"/>
      <c r="AN26" s="527"/>
      <c r="AO26" s="527"/>
      <c r="AP26" s="527"/>
      <c r="AQ26" s="527"/>
      <c r="AR26" s="527"/>
      <c r="AS26" s="527"/>
      <c r="AT26" s="527"/>
      <c r="AU26" s="527"/>
      <c r="AV26" s="527"/>
      <c r="AW26" s="527"/>
      <c r="AX26" s="527"/>
      <c r="AY26" s="527"/>
      <c r="AZ26" s="527"/>
      <c r="BA26" s="527"/>
      <c r="BB26" s="527"/>
      <c r="BC26" s="527"/>
      <c r="BD26" s="527"/>
      <c r="BE26" s="527"/>
      <c r="BF26" s="527"/>
      <c r="BG26" s="527"/>
      <c r="BH26" s="527"/>
      <c r="BI26" s="527"/>
      <c r="BJ26" s="527"/>
      <c r="BK26" s="529"/>
      <c r="BL26" s="529"/>
      <c r="BM26" s="530"/>
      <c r="BN26" s="530"/>
      <c r="BO26" s="52"/>
    </row>
    <row r="27" spans="1:67" s="4" customFormat="1" ht="97.5" customHeight="1" x14ac:dyDescent="0.2">
      <c r="A27" s="615"/>
      <c r="B27" s="616"/>
      <c r="C27" s="616"/>
      <c r="D27" s="617"/>
      <c r="E27" s="618"/>
      <c r="F27" s="619"/>
      <c r="G27" s="984">
        <v>1704002</v>
      </c>
      <c r="H27" s="939" t="s">
        <v>1074</v>
      </c>
      <c r="I27" s="937" t="s">
        <v>1075</v>
      </c>
      <c r="J27" s="218">
        <v>1</v>
      </c>
      <c r="K27" s="114"/>
      <c r="L27" s="1281" t="s">
        <v>1076</v>
      </c>
      <c r="M27" s="1498" t="s">
        <v>1077</v>
      </c>
      <c r="N27" s="1499" t="s">
        <v>1078</v>
      </c>
      <c r="O27" s="285">
        <f>+T27/P27</f>
        <v>0.62216255766249251</v>
      </c>
      <c r="P27" s="1500">
        <f>+T27+T28</f>
        <v>80364849</v>
      </c>
      <c r="Q27" s="1296" t="s">
        <v>1079</v>
      </c>
      <c r="R27" s="1296" t="s">
        <v>1080</v>
      </c>
      <c r="S27" s="939" t="s">
        <v>1074</v>
      </c>
      <c r="T27" s="940">
        <v>50000000</v>
      </c>
      <c r="U27" s="934"/>
      <c r="V27" s="934"/>
      <c r="W27" s="1438" t="s">
        <v>70</v>
      </c>
      <c r="X27" s="1293" t="s">
        <v>151</v>
      </c>
      <c r="Y27" s="1562">
        <v>295972</v>
      </c>
      <c r="Z27" s="1562"/>
      <c r="AA27" s="1562">
        <v>285580</v>
      </c>
      <c r="AB27" s="1562"/>
      <c r="AC27" s="1562">
        <v>135545</v>
      </c>
      <c r="AD27" s="1562"/>
      <c r="AE27" s="1562">
        <v>44254</v>
      </c>
      <c r="AF27" s="1562"/>
      <c r="AG27" s="1562">
        <v>309146</v>
      </c>
      <c r="AH27" s="1562"/>
      <c r="AI27" s="1562"/>
      <c r="AJ27" s="1562"/>
      <c r="AK27" s="1562"/>
      <c r="AL27" s="1562"/>
      <c r="AM27" s="1562"/>
      <c r="AN27" s="1562"/>
      <c r="AO27" s="1562"/>
      <c r="AP27" s="1562"/>
      <c r="AQ27" s="1562"/>
      <c r="AR27" s="1562"/>
      <c r="AS27" s="1562"/>
      <c r="AT27" s="1562"/>
      <c r="AU27" s="1562"/>
      <c r="AV27" s="1562"/>
      <c r="AW27" s="1562"/>
      <c r="AX27" s="1562"/>
      <c r="AY27" s="1562"/>
      <c r="AZ27" s="1562"/>
      <c r="BA27" s="1562"/>
      <c r="BB27" s="1562"/>
      <c r="BC27" s="1562">
        <v>13000</v>
      </c>
      <c r="BD27" s="1562"/>
      <c r="BE27" s="1562"/>
      <c r="BF27" s="1562"/>
      <c r="BG27" s="1562"/>
      <c r="BH27" s="1562"/>
      <c r="BI27" s="1562"/>
      <c r="BJ27" s="1562"/>
      <c r="BK27" s="1315">
        <v>44033</v>
      </c>
      <c r="BL27" s="1562"/>
      <c r="BM27" s="1315">
        <v>44195</v>
      </c>
      <c r="BN27" s="1562"/>
      <c r="BO27" s="1458" t="s">
        <v>1023</v>
      </c>
    </row>
    <row r="28" spans="1:67" s="4" customFormat="1" ht="99" customHeight="1" x14ac:dyDescent="0.2">
      <c r="A28" s="615"/>
      <c r="B28" s="616"/>
      <c r="C28" s="616"/>
      <c r="D28" s="629"/>
      <c r="E28" s="630"/>
      <c r="F28" s="631"/>
      <c r="G28" s="984">
        <v>1704017</v>
      </c>
      <c r="H28" s="939" t="s">
        <v>1081</v>
      </c>
      <c r="I28" s="937" t="s">
        <v>1082</v>
      </c>
      <c r="J28" s="92">
        <v>50</v>
      </c>
      <c r="K28" s="114"/>
      <c r="L28" s="1283"/>
      <c r="M28" s="1498"/>
      <c r="N28" s="1499"/>
      <c r="O28" s="285">
        <f>+T28/P27</f>
        <v>0.37783744233750755</v>
      </c>
      <c r="P28" s="1500"/>
      <c r="Q28" s="1298"/>
      <c r="R28" s="1298"/>
      <c r="S28" s="939" t="s">
        <v>1081</v>
      </c>
      <c r="T28" s="940">
        <v>30364849</v>
      </c>
      <c r="U28" s="935"/>
      <c r="V28" s="935"/>
      <c r="W28" s="1439"/>
      <c r="X28" s="1295"/>
      <c r="Y28" s="1566"/>
      <c r="Z28" s="1566"/>
      <c r="AA28" s="1566"/>
      <c r="AB28" s="1566"/>
      <c r="AC28" s="1566"/>
      <c r="AD28" s="1566"/>
      <c r="AE28" s="1566"/>
      <c r="AF28" s="1566"/>
      <c r="AG28" s="1566"/>
      <c r="AH28" s="1566"/>
      <c r="AI28" s="1566"/>
      <c r="AJ28" s="1566"/>
      <c r="AK28" s="1566"/>
      <c r="AL28" s="1566"/>
      <c r="AM28" s="1566"/>
      <c r="AN28" s="1566"/>
      <c r="AO28" s="1566"/>
      <c r="AP28" s="1566"/>
      <c r="AQ28" s="1566"/>
      <c r="AR28" s="1566"/>
      <c r="AS28" s="1566"/>
      <c r="AT28" s="1566"/>
      <c r="AU28" s="1566"/>
      <c r="AV28" s="1566"/>
      <c r="AW28" s="1566"/>
      <c r="AX28" s="1566"/>
      <c r="AY28" s="1566"/>
      <c r="AZ28" s="1566"/>
      <c r="BA28" s="1566"/>
      <c r="BB28" s="1566"/>
      <c r="BC28" s="1566"/>
      <c r="BD28" s="1566"/>
      <c r="BE28" s="1566"/>
      <c r="BF28" s="1566"/>
      <c r="BG28" s="1566"/>
      <c r="BH28" s="1566"/>
      <c r="BI28" s="1566"/>
      <c r="BJ28" s="1566"/>
      <c r="BK28" s="1317"/>
      <c r="BL28" s="1566"/>
      <c r="BM28" s="1317"/>
      <c r="BN28" s="1566"/>
      <c r="BO28" s="1460"/>
    </row>
    <row r="29" spans="1:67" s="4" customFormat="1" ht="21.75" customHeight="1" x14ac:dyDescent="0.2">
      <c r="A29" s="1547"/>
      <c r="B29" s="1548"/>
      <c r="C29" s="1549"/>
      <c r="D29" s="636">
        <v>7</v>
      </c>
      <c r="E29" s="991" t="s">
        <v>1083</v>
      </c>
      <c r="F29" s="520"/>
      <c r="G29" s="521"/>
      <c r="H29" s="52"/>
      <c r="I29" s="52"/>
      <c r="J29" s="998"/>
      <c r="K29" s="521"/>
      <c r="L29" s="50"/>
      <c r="M29" s="992"/>
      <c r="N29" s="52"/>
      <c r="O29" s="993"/>
      <c r="P29" s="524"/>
      <c r="Q29" s="52"/>
      <c r="R29" s="52"/>
      <c r="S29" s="52"/>
      <c r="T29" s="526"/>
      <c r="U29" s="526"/>
      <c r="V29" s="526"/>
      <c r="W29" s="527"/>
      <c r="X29" s="52"/>
      <c r="Y29" s="527"/>
      <c r="Z29" s="527"/>
      <c r="AA29" s="527"/>
      <c r="AB29" s="527"/>
      <c r="AC29" s="527"/>
      <c r="AD29" s="527"/>
      <c r="AE29" s="527"/>
      <c r="AF29" s="527"/>
      <c r="AG29" s="527"/>
      <c r="AH29" s="527"/>
      <c r="AI29" s="527"/>
      <c r="AJ29" s="527"/>
      <c r="AK29" s="527"/>
      <c r="AL29" s="527"/>
      <c r="AM29" s="527"/>
      <c r="AN29" s="527"/>
      <c r="AO29" s="527"/>
      <c r="AP29" s="527"/>
      <c r="AQ29" s="527"/>
      <c r="AR29" s="527"/>
      <c r="AS29" s="527"/>
      <c r="AT29" s="527"/>
      <c r="AU29" s="527"/>
      <c r="AV29" s="527"/>
      <c r="AW29" s="527"/>
      <c r="AX29" s="527"/>
      <c r="AY29" s="527"/>
      <c r="AZ29" s="527"/>
      <c r="BA29" s="527"/>
      <c r="BB29" s="527"/>
      <c r="BC29" s="527"/>
      <c r="BD29" s="527"/>
      <c r="BE29" s="527"/>
      <c r="BF29" s="527"/>
      <c r="BG29" s="527"/>
      <c r="BH29" s="527"/>
      <c r="BI29" s="527"/>
      <c r="BJ29" s="527"/>
      <c r="BK29" s="529"/>
      <c r="BL29" s="529"/>
      <c r="BM29" s="530"/>
      <c r="BN29" s="530"/>
      <c r="BO29" s="52"/>
    </row>
    <row r="30" spans="1:67" s="4" customFormat="1" ht="150" customHeight="1" x14ac:dyDescent="0.2">
      <c r="A30" s="615"/>
      <c r="B30" s="616"/>
      <c r="C30" s="616"/>
      <c r="D30" s="994"/>
      <c r="E30" s="995"/>
      <c r="F30" s="996"/>
      <c r="G30" s="984">
        <v>1706004</v>
      </c>
      <c r="H30" s="939" t="s">
        <v>1084</v>
      </c>
      <c r="I30" s="937" t="s">
        <v>1085</v>
      </c>
      <c r="J30" s="92">
        <v>10</v>
      </c>
      <c r="K30" s="114"/>
      <c r="L30" s="34" t="s">
        <v>1039</v>
      </c>
      <c r="M30" s="936" t="s">
        <v>1040</v>
      </c>
      <c r="N30" s="939" t="s">
        <v>1041</v>
      </c>
      <c r="O30" s="285">
        <f>+T30/164004155</f>
        <v>7.8046803143493534E-2</v>
      </c>
      <c r="P30" s="999">
        <f>+T30</f>
        <v>12800000</v>
      </c>
      <c r="Q30" s="926" t="s">
        <v>1042</v>
      </c>
      <c r="R30" s="926" t="s">
        <v>1043</v>
      </c>
      <c r="S30" s="939" t="s">
        <v>1084</v>
      </c>
      <c r="T30" s="940">
        <v>12800000</v>
      </c>
      <c r="U30" s="989">
        <v>5000000</v>
      </c>
      <c r="V30" s="989">
        <v>5000000</v>
      </c>
      <c r="W30" s="110" t="s">
        <v>70</v>
      </c>
      <c r="X30" s="40" t="s">
        <v>151</v>
      </c>
      <c r="Y30" s="942">
        <v>100</v>
      </c>
      <c r="Z30" s="942">
        <v>25</v>
      </c>
      <c r="AA30" s="942">
        <v>60</v>
      </c>
      <c r="AB30" s="942">
        <v>45</v>
      </c>
      <c r="AC30" s="942">
        <v>0</v>
      </c>
      <c r="AD30" s="942"/>
      <c r="AE30" s="942">
        <v>0</v>
      </c>
      <c r="AF30" s="942"/>
      <c r="AG30" s="942">
        <v>110</v>
      </c>
      <c r="AH30" s="942"/>
      <c r="AI30" s="942">
        <v>50</v>
      </c>
      <c r="AJ30" s="942"/>
      <c r="AK30" s="942">
        <v>0</v>
      </c>
      <c r="AL30" s="942"/>
      <c r="AM30" s="942">
        <v>0</v>
      </c>
      <c r="AN30" s="942"/>
      <c r="AO30" s="942">
        <v>0</v>
      </c>
      <c r="AP30" s="942"/>
      <c r="AQ30" s="942">
        <v>0</v>
      </c>
      <c r="AR30" s="942"/>
      <c r="AS30" s="942">
        <v>0</v>
      </c>
      <c r="AT30" s="942"/>
      <c r="AU30" s="942">
        <v>0</v>
      </c>
      <c r="AV30" s="942"/>
      <c r="AW30" s="942">
        <v>0</v>
      </c>
      <c r="AX30" s="942"/>
      <c r="AY30" s="942">
        <v>0</v>
      </c>
      <c r="AZ30" s="942"/>
      <c r="BA30" s="942">
        <v>0</v>
      </c>
      <c r="BB30" s="942"/>
      <c r="BC30" s="942">
        <v>160</v>
      </c>
      <c r="BD30" s="942"/>
      <c r="BE30" s="92">
        <v>5</v>
      </c>
      <c r="BF30" s="940">
        <f>U30</f>
        <v>5000000</v>
      </c>
      <c r="BG30" s="940">
        <f>V30</f>
        <v>5000000</v>
      </c>
      <c r="BH30" s="285">
        <f>BG30/BF30</f>
        <v>1</v>
      </c>
      <c r="BI30" s="34" t="s">
        <v>72</v>
      </c>
      <c r="BJ30" s="34" t="s">
        <v>1022</v>
      </c>
      <c r="BK30" s="48">
        <v>43874</v>
      </c>
      <c r="BL30" s="48">
        <v>43874</v>
      </c>
      <c r="BM30" s="48">
        <v>43994</v>
      </c>
      <c r="BN30" s="48"/>
      <c r="BO30" s="414" t="s">
        <v>1023</v>
      </c>
    </row>
    <row r="31" spans="1:67" s="4" customFormat="1" ht="19.5" customHeight="1" x14ac:dyDescent="0.2">
      <c r="A31" s="1547"/>
      <c r="B31" s="1548"/>
      <c r="C31" s="1549"/>
      <c r="D31" s="636">
        <v>8</v>
      </c>
      <c r="E31" s="991" t="s">
        <v>1086</v>
      </c>
      <c r="F31" s="520"/>
      <c r="G31" s="521"/>
      <c r="H31" s="52"/>
      <c r="I31" s="52"/>
      <c r="J31" s="992"/>
      <c r="K31" s="521"/>
      <c r="L31" s="50"/>
      <c r="M31" s="992"/>
      <c r="N31" s="52"/>
      <c r="O31" s="993"/>
      <c r="P31" s="524"/>
      <c r="Q31" s="1000"/>
      <c r="R31" s="1000"/>
      <c r="S31" s="52"/>
      <c r="T31" s="526"/>
      <c r="U31" s="526"/>
      <c r="V31" s="526"/>
      <c r="W31" s="527"/>
      <c r="X31" s="52"/>
      <c r="Y31" s="992"/>
      <c r="Z31" s="992"/>
      <c r="AA31" s="992"/>
      <c r="AB31" s="992"/>
      <c r="AC31" s="992"/>
      <c r="AD31" s="992"/>
      <c r="AE31" s="992"/>
      <c r="AF31" s="992"/>
      <c r="AG31" s="992"/>
      <c r="AH31" s="992"/>
      <c r="AI31" s="992"/>
      <c r="AJ31" s="992"/>
      <c r="AK31" s="992"/>
      <c r="AL31" s="992"/>
      <c r="AM31" s="992"/>
      <c r="AN31" s="992"/>
      <c r="AO31" s="992"/>
      <c r="AP31" s="992"/>
      <c r="AQ31" s="992"/>
      <c r="AR31" s="992"/>
      <c r="AS31" s="992"/>
      <c r="AT31" s="992"/>
      <c r="AU31" s="992"/>
      <c r="AV31" s="992"/>
      <c r="AW31" s="992"/>
      <c r="AX31" s="992"/>
      <c r="AY31" s="992"/>
      <c r="AZ31" s="992"/>
      <c r="BA31" s="992"/>
      <c r="BB31" s="992"/>
      <c r="BC31" s="992"/>
      <c r="BD31" s="992"/>
      <c r="BE31" s="992"/>
      <c r="BF31" s="992"/>
      <c r="BG31" s="992"/>
      <c r="BH31" s="992"/>
      <c r="BI31" s="992"/>
      <c r="BJ31" s="992"/>
      <c r="BK31" s="529"/>
      <c r="BL31" s="529"/>
      <c r="BM31" s="530"/>
      <c r="BN31" s="530"/>
      <c r="BO31" s="52"/>
    </row>
    <row r="32" spans="1:67" s="4" customFormat="1" ht="99.75" customHeight="1" x14ac:dyDescent="0.2">
      <c r="A32" s="615"/>
      <c r="B32" s="616"/>
      <c r="C32" s="616"/>
      <c r="D32" s="994"/>
      <c r="E32" s="995"/>
      <c r="F32" s="996"/>
      <c r="G32" s="984">
        <v>1707069</v>
      </c>
      <c r="H32" s="939" t="s">
        <v>1087</v>
      </c>
      <c r="I32" s="937" t="s">
        <v>1088</v>
      </c>
      <c r="J32" s="92">
        <v>5</v>
      </c>
      <c r="K32" s="114"/>
      <c r="L32" s="34" t="s">
        <v>1046</v>
      </c>
      <c r="M32" s="936" t="s">
        <v>1047</v>
      </c>
      <c r="N32" s="941" t="s">
        <v>1089</v>
      </c>
      <c r="O32" s="285">
        <f>+T32/150000000</f>
        <v>0.33333333333333331</v>
      </c>
      <c r="P32" s="999">
        <f>+T32</f>
        <v>50000000</v>
      </c>
      <c r="Q32" s="941" t="s">
        <v>1049</v>
      </c>
      <c r="R32" s="941" t="s">
        <v>1050</v>
      </c>
      <c r="S32" s="939" t="s">
        <v>1087</v>
      </c>
      <c r="T32" s="940">
        <v>50000000</v>
      </c>
      <c r="U32" s="940"/>
      <c r="V32" s="940"/>
      <c r="W32" s="110" t="s">
        <v>70</v>
      </c>
      <c r="X32" s="40" t="s">
        <v>151</v>
      </c>
      <c r="Y32" s="217">
        <v>65000</v>
      </c>
      <c r="Z32" s="217"/>
      <c r="AA32" s="217">
        <v>65000</v>
      </c>
      <c r="AB32" s="217"/>
      <c r="AC32" s="217">
        <v>22000</v>
      </c>
      <c r="AD32" s="217"/>
      <c r="AE32" s="217">
        <v>14000</v>
      </c>
      <c r="AF32" s="217"/>
      <c r="AG32" s="217">
        <v>79000</v>
      </c>
      <c r="AH32" s="217"/>
      <c r="AI32" s="217">
        <v>15000</v>
      </c>
      <c r="AJ32" s="217"/>
      <c r="AK32" s="217"/>
      <c r="AL32" s="217"/>
      <c r="AM32" s="217"/>
      <c r="AN32" s="217"/>
      <c r="AO32" s="217"/>
      <c r="AP32" s="217"/>
      <c r="AQ32" s="217"/>
      <c r="AR32" s="217"/>
      <c r="AS32" s="217"/>
      <c r="AT32" s="217"/>
      <c r="AU32" s="217"/>
      <c r="AV32" s="217"/>
      <c r="AW32" s="217"/>
      <c r="AX32" s="217"/>
      <c r="AY32" s="217"/>
      <c r="AZ32" s="217"/>
      <c r="BA32" s="217"/>
      <c r="BB32" s="217"/>
      <c r="BC32" s="217">
        <v>130000</v>
      </c>
      <c r="BD32" s="217"/>
      <c r="BE32" s="217"/>
      <c r="BF32" s="217"/>
      <c r="BG32" s="217"/>
      <c r="BH32" s="217"/>
      <c r="BI32" s="217"/>
      <c r="BJ32" s="217"/>
      <c r="BK32" s="48">
        <v>44033</v>
      </c>
      <c r="BL32" s="48"/>
      <c r="BM32" s="48">
        <v>44195</v>
      </c>
      <c r="BN32" s="48"/>
      <c r="BO32" s="414" t="s">
        <v>1023</v>
      </c>
    </row>
    <row r="33" spans="1:67" s="4" customFormat="1" ht="27" customHeight="1" x14ac:dyDescent="0.2">
      <c r="A33" s="1547"/>
      <c r="B33" s="1548"/>
      <c r="C33" s="1549"/>
      <c r="D33" s="636">
        <v>9</v>
      </c>
      <c r="E33" s="991" t="s">
        <v>1090</v>
      </c>
      <c r="F33" s="520"/>
      <c r="G33" s="521"/>
      <c r="H33" s="52"/>
      <c r="I33" s="52"/>
      <c r="J33" s="998"/>
      <c r="K33" s="521"/>
      <c r="L33" s="50"/>
      <c r="M33" s="992"/>
      <c r="N33" s="52"/>
      <c r="O33" s="993"/>
      <c r="P33" s="524"/>
      <c r="Q33" s="52"/>
      <c r="R33" s="52"/>
      <c r="S33" s="52"/>
      <c r="T33" s="526"/>
      <c r="U33" s="526"/>
      <c r="V33" s="526"/>
      <c r="W33" s="527"/>
      <c r="X33" s="52"/>
      <c r="Y33" s="527"/>
      <c r="Z33" s="527"/>
      <c r="AA33" s="527"/>
      <c r="AB33" s="527"/>
      <c r="AC33" s="527"/>
      <c r="AD33" s="527"/>
      <c r="AE33" s="527"/>
      <c r="AF33" s="527"/>
      <c r="AG33" s="527"/>
      <c r="AH33" s="527"/>
      <c r="AI33" s="527"/>
      <c r="AJ33" s="527"/>
      <c r="AK33" s="527"/>
      <c r="AL33" s="527"/>
      <c r="AM33" s="527"/>
      <c r="AN33" s="527"/>
      <c r="AO33" s="527"/>
      <c r="AP33" s="527"/>
      <c r="AQ33" s="527"/>
      <c r="AR33" s="527"/>
      <c r="AS33" s="527"/>
      <c r="AT33" s="527"/>
      <c r="AU33" s="527"/>
      <c r="AV33" s="527"/>
      <c r="AW33" s="527"/>
      <c r="AX33" s="527"/>
      <c r="AY33" s="527"/>
      <c r="AZ33" s="527"/>
      <c r="BA33" s="527"/>
      <c r="BB33" s="527"/>
      <c r="BC33" s="527"/>
      <c r="BD33" s="527"/>
      <c r="BE33" s="527"/>
      <c r="BF33" s="527"/>
      <c r="BG33" s="527"/>
      <c r="BH33" s="527"/>
      <c r="BI33" s="527"/>
      <c r="BJ33" s="527"/>
      <c r="BK33" s="529"/>
      <c r="BL33" s="529"/>
      <c r="BM33" s="530"/>
      <c r="BN33" s="530"/>
      <c r="BO33" s="52"/>
    </row>
    <row r="34" spans="1:67" s="4" customFormat="1" ht="69" customHeight="1" x14ac:dyDescent="0.2">
      <c r="A34" s="638"/>
      <c r="B34" s="639"/>
      <c r="C34" s="639"/>
      <c r="D34" s="640"/>
      <c r="E34" s="641"/>
      <c r="F34" s="642"/>
      <c r="G34" s="984">
        <v>1708016</v>
      </c>
      <c r="H34" s="939" t="s">
        <v>1074</v>
      </c>
      <c r="I34" s="937" t="s">
        <v>1091</v>
      </c>
      <c r="J34" s="92">
        <v>2</v>
      </c>
      <c r="K34" s="114"/>
      <c r="L34" s="925" t="s">
        <v>1092</v>
      </c>
      <c r="M34" s="932" t="s">
        <v>1093</v>
      </c>
      <c r="N34" s="933" t="s">
        <v>1094</v>
      </c>
      <c r="O34" s="285">
        <f>+T34/P34</f>
        <v>1</v>
      </c>
      <c r="P34" s="934">
        <f>T34</f>
        <v>80000000</v>
      </c>
      <c r="Q34" s="927" t="s">
        <v>1095</v>
      </c>
      <c r="R34" s="927" t="s">
        <v>1096</v>
      </c>
      <c r="S34" s="939" t="s">
        <v>1074</v>
      </c>
      <c r="T34" s="940">
        <f>50000000+30000000</f>
        <v>80000000</v>
      </c>
      <c r="U34" s="934"/>
      <c r="V34" s="934"/>
      <c r="W34" s="930" t="s">
        <v>70</v>
      </c>
      <c r="X34" s="926" t="s">
        <v>151</v>
      </c>
      <c r="Y34" s="1001">
        <v>3000</v>
      </c>
      <c r="Z34" s="1002"/>
      <c r="AA34" s="1002">
        <v>3000</v>
      </c>
      <c r="AB34" s="1002"/>
      <c r="AC34" s="1002">
        <v>2000</v>
      </c>
      <c r="AD34" s="1002"/>
      <c r="AE34" s="1002">
        <v>1000</v>
      </c>
      <c r="AF34" s="1002"/>
      <c r="AG34" s="1002">
        <v>2500</v>
      </c>
      <c r="AH34" s="1002"/>
      <c r="AI34" s="1002">
        <v>500</v>
      </c>
      <c r="AJ34" s="1002"/>
      <c r="AK34" s="1002"/>
      <c r="AL34" s="1002"/>
      <c r="AM34" s="1002"/>
      <c r="AN34" s="1002"/>
      <c r="AO34" s="1002"/>
      <c r="AP34" s="1002"/>
      <c r="AQ34" s="1002"/>
      <c r="AR34" s="1002"/>
      <c r="AS34" s="1002"/>
      <c r="AT34" s="1002"/>
      <c r="AU34" s="1002"/>
      <c r="AV34" s="1002"/>
      <c r="AW34" s="1002"/>
      <c r="AX34" s="1002"/>
      <c r="AY34" s="1002"/>
      <c r="AZ34" s="1002"/>
      <c r="BA34" s="1002"/>
      <c r="BB34" s="1002"/>
      <c r="BC34" s="1002">
        <v>6000</v>
      </c>
      <c r="BD34" s="1002"/>
      <c r="BE34" s="1002"/>
      <c r="BF34" s="1002"/>
      <c r="BG34" s="1002"/>
      <c r="BH34" s="1002"/>
      <c r="BI34" s="1002"/>
      <c r="BJ34" s="1002"/>
      <c r="BK34" s="928">
        <v>44033</v>
      </c>
      <c r="BL34" s="928"/>
      <c r="BM34" s="928">
        <v>44195</v>
      </c>
      <c r="BN34" s="928"/>
      <c r="BO34" s="931" t="s">
        <v>1023</v>
      </c>
    </row>
    <row r="35" spans="1:67" s="4" customFormat="1" ht="25.5" customHeight="1" x14ac:dyDescent="0.2">
      <c r="A35" s="1547"/>
      <c r="B35" s="1548"/>
      <c r="C35" s="1549"/>
      <c r="D35" s="636">
        <v>10</v>
      </c>
      <c r="E35" s="991" t="s">
        <v>205</v>
      </c>
      <c r="F35" s="991"/>
      <c r="G35" s="991"/>
      <c r="H35" s="991"/>
      <c r="I35" s="991"/>
      <c r="J35" s="1003"/>
      <c r="K35" s="929"/>
      <c r="L35" s="50"/>
      <c r="M35" s="992"/>
      <c r="N35" s="52"/>
      <c r="O35" s="993"/>
      <c r="P35" s="524"/>
      <c r="Q35" s="52"/>
      <c r="R35" s="52"/>
      <c r="S35" s="52"/>
      <c r="T35" s="526"/>
      <c r="U35" s="526"/>
      <c r="V35" s="526"/>
      <c r="W35" s="527"/>
      <c r="X35" s="52"/>
      <c r="Y35" s="52"/>
      <c r="Z35" s="527"/>
      <c r="AA35" s="527"/>
      <c r="AB35" s="527"/>
      <c r="AC35" s="527"/>
      <c r="AD35" s="527"/>
      <c r="AE35" s="527"/>
      <c r="AF35" s="527"/>
      <c r="AG35" s="527"/>
      <c r="AH35" s="527"/>
      <c r="AI35" s="527"/>
      <c r="AJ35" s="527"/>
      <c r="AK35" s="527"/>
      <c r="AL35" s="527"/>
      <c r="AM35" s="527"/>
      <c r="AN35" s="527"/>
      <c r="AO35" s="527"/>
      <c r="AP35" s="527"/>
      <c r="AQ35" s="527"/>
      <c r="AR35" s="527"/>
      <c r="AS35" s="527"/>
      <c r="AT35" s="527"/>
      <c r="AU35" s="527"/>
      <c r="AV35" s="527"/>
      <c r="AW35" s="527"/>
      <c r="AX35" s="527"/>
      <c r="AY35" s="527"/>
      <c r="AZ35" s="527"/>
      <c r="BA35" s="527"/>
      <c r="BB35" s="527"/>
      <c r="BC35" s="527"/>
      <c r="BD35" s="527"/>
      <c r="BE35" s="527"/>
      <c r="BF35" s="527"/>
      <c r="BG35" s="527"/>
      <c r="BH35" s="527"/>
      <c r="BI35" s="527"/>
      <c r="BJ35" s="527"/>
      <c r="BK35" s="529"/>
      <c r="BL35" s="529"/>
      <c r="BM35" s="530"/>
      <c r="BN35" s="530"/>
      <c r="BO35" s="52"/>
    </row>
    <row r="36" spans="1:67" s="4" customFormat="1" ht="77.25" customHeight="1" x14ac:dyDescent="0.2">
      <c r="A36" s="615"/>
      <c r="B36" s="616"/>
      <c r="C36" s="616"/>
      <c r="D36" s="617"/>
      <c r="E36" s="618"/>
      <c r="F36" s="619"/>
      <c r="G36" s="984">
        <v>1709019</v>
      </c>
      <c r="H36" s="939" t="s">
        <v>1097</v>
      </c>
      <c r="I36" s="937" t="s">
        <v>1097</v>
      </c>
      <c r="J36" s="92">
        <v>3</v>
      </c>
      <c r="K36" s="114"/>
      <c r="L36" s="1281" t="s">
        <v>1064</v>
      </c>
      <c r="M36" s="1496" t="s">
        <v>1065</v>
      </c>
      <c r="N36" s="1565" t="s">
        <v>1098</v>
      </c>
      <c r="O36" s="285">
        <f>+T36/155000000</f>
        <v>0.4838709677419355</v>
      </c>
      <c r="P36" s="1500">
        <f>+T36+T37</f>
        <v>125000000</v>
      </c>
      <c r="Q36" s="1296" t="s">
        <v>1067</v>
      </c>
      <c r="R36" s="1296" t="s">
        <v>1068</v>
      </c>
      <c r="S36" s="939" t="s">
        <v>1097</v>
      </c>
      <c r="T36" s="940">
        <f>50000000+25000000</f>
        <v>75000000</v>
      </c>
      <c r="U36" s="934"/>
      <c r="V36" s="934"/>
      <c r="W36" s="1438" t="s">
        <v>70</v>
      </c>
      <c r="X36" s="1293" t="s">
        <v>151</v>
      </c>
      <c r="Y36" s="1562">
        <v>295972</v>
      </c>
      <c r="Z36" s="1562"/>
      <c r="AA36" s="1562">
        <v>285580</v>
      </c>
      <c r="AB36" s="1562"/>
      <c r="AC36" s="1562">
        <v>135545</v>
      </c>
      <c r="AD36" s="1562"/>
      <c r="AE36" s="1562">
        <v>44254</v>
      </c>
      <c r="AF36" s="1562"/>
      <c r="AG36" s="1562">
        <v>309146</v>
      </c>
      <c r="AH36" s="1562"/>
      <c r="AI36" s="1562">
        <v>92607</v>
      </c>
      <c r="AJ36" s="1562"/>
      <c r="AK36" s="1562">
        <v>2145</v>
      </c>
      <c r="AL36" s="1562"/>
      <c r="AM36" s="1562">
        <v>12718</v>
      </c>
      <c r="AN36" s="1562"/>
      <c r="AO36" s="1562">
        <v>26</v>
      </c>
      <c r="AP36" s="1562"/>
      <c r="AQ36" s="1562">
        <v>37</v>
      </c>
      <c r="AR36" s="1562"/>
      <c r="AS36" s="1562"/>
      <c r="AT36" s="1562"/>
      <c r="AU36" s="1562"/>
      <c r="AV36" s="1562">
        <v>44350</v>
      </c>
      <c r="AW36" s="1562"/>
      <c r="AX36" s="1562">
        <v>21944</v>
      </c>
      <c r="AY36" s="1562"/>
      <c r="AZ36" s="1562">
        <v>75687</v>
      </c>
      <c r="BA36" s="1562"/>
      <c r="BB36" s="1562"/>
      <c r="BC36" s="1562">
        <v>581552</v>
      </c>
      <c r="BD36" s="1562"/>
      <c r="BE36" s="1562"/>
      <c r="BF36" s="1562"/>
      <c r="BG36" s="1562"/>
      <c r="BH36" s="1562"/>
      <c r="BI36" s="1562"/>
      <c r="BJ36" s="1562"/>
      <c r="BK36" s="1315">
        <v>44033</v>
      </c>
      <c r="BL36" s="1315"/>
      <c r="BM36" s="1315">
        <v>44195</v>
      </c>
      <c r="BN36" s="1315"/>
      <c r="BO36" s="1458" t="s">
        <v>1023</v>
      </c>
    </row>
    <row r="37" spans="1:67" s="4" customFormat="1" ht="71.25" customHeight="1" x14ac:dyDescent="0.2">
      <c r="A37" s="615"/>
      <c r="B37" s="616"/>
      <c r="C37" s="616"/>
      <c r="D37" s="615"/>
      <c r="E37" s="616"/>
      <c r="F37" s="622"/>
      <c r="G37" s="984">
        <v>1709034</v>
      </c>
      <c r="H37" s="939" t="s">
        <v>1099</v>
      </c>
      <c r="I37" s="937" t="s">
        <v>1099</v>
      </c>
      <c r="J37" s="92">
        <v>1</v>
      </c>
      <c r="K37" s="114"/>
      <c r="L37" s="1282"/>
      <c r="M37" s="1496"/>
      <c r="N37" s="1565"/>
      <c r="O37" s="285">
        <f>+T37/155000000</f>
        <v>0.32258064516129031</v>
      </c>
      <c r="P37" s="1500"/>
      <c r="Q37" s="1297"/>
      <c r="R37" s="1297"/>
      <c r="S37" s="939" t="s">
        <v>1099</v>
      </c>
      <c r="T37" s="940">
        <v>50000000</v>
      </c>
      <c r="U37" s="990"/>
      <c r="V37" s="990"/>
      <c r="W37" s="1564"/>
      <c r="X37" s="1294"/>
      <c r="Y37" s="1563"/>
      <c r="Z37" s="1563"/>
      <c r="AA37" s="1563"/>
      <c r="AB37" s="1563"/>
      <c r="AC37" s="1563"/>
      <c r="AD37" s="1563"/>
      <c r="AE37" s="1563"/>
      <c r="AF37" s="1563"/>
      <c r="AG37" s="1563"/>
      <c r="AH37" s="1563"/>
      <c r="AI37" s="1563"/>
      <c r="AJ37" s="1563"/>
      <c r="AK37" s="1563"/>
      <c r="AL37" s="1563"/>
      <c r="AM37" s="1563"/>
      <c r="AN37" s="1563"/>
      <c r="AO37" s="1563"/>
      <c r="AP37" s="1563"/>
      <c r="AQ37" s="1563"/>
      <c r="AR37" s="1563"/>
      <c r="AS37" s="1563"/>
      <c r="AT37" s="1563"/>
      <c r="AU37" s="1563"/>
      <c r="AV37" s="1563"/>
      <c r="AW37" s="1563"/>
      <c r="AX37" s="1563"/>
      <c r="AY37" s="1563"/>
      <c r="AZ37" s="1563"/>
      <c r="BA37" s="1563"/>
      <c r="BB37" s="1563"/>
      <c r="BC37" s="1563"/>
      <c r="BD37" s="1563"/>
      <c r="BE37" s="1563"/>
      <c r="BF37" s="1563"/>
      <c r="BG37" s="1563"/>
      <c r="BH37" s="1563"/>
      <c r="BI37" s="1563"/>
      <c r="BJ37" s="1563"/>
      <c r="BK37" s="1316"/>
      <c r="BL37" s="1316"/>
      <c r="BM37" s="1316"/>
      <c r="BN37" s="1316"/>
      <c r="BO37" s="1459"/>
    </row>
    <row r="38" spans="1:67" s="4" customFormat="1" ht="29.25" customHeight="1" x14ac:dyDescent="0.2">
      <c r="A38" s="1547"/>
      <c r="B38" s="1548"/>
      <c r="C38" s="1549"/>
      <c r="D38" s="636">
        <v>27</v>
      </c>
      <c r="E38" s="991" t="s">
        <v>212</v>
      </c>
      <c r="F38" s="520"/>
      <c r="G38" s="521"/>
      <c r="H38" s="52"/>
      <c r="I38" s="52"/>
      <c r="J38" s="521"/>
      <c r="K38" s="521"/>
      <c r="L38" s="50"/>
      <c r="M38" s="992"/>
      <c r="N38" s="52"/>
      <c r="O38" s="993"/>
      <c r="P38" s="524"/>
      <c r="Q38" s="52"/>
      <c r="R38" s="52"/>
      <c r="S38" s="52"/>
      <c r="T38" s="526"/>
      <c r="U38" s="526"/>
      <c r="V38" s="526"/>
      <c r="W38" s="527"/>
      <c r="X38" s="52"/>
      <c r="Y38" s="527"/>
      <c r="Z38" s="527"/>
      <c r="AA38" s="527"/>
      <c r="AB38" s="527"/>
      <c r="AC38" s="527"/>
      <c r="AD38" s="527"/>
      <c r="AE38" s="527"/>
      <c r="AF38" s="527"/>
      <c r="AG38" s="527"/>
      <c r="AH38" s="527"/>
      <c r="AI38" s="527"/>
      <c r="AJ38" s="527"/>
      <c r="AK38" s="527"/>
      <c r="AL38" s="527"/>
      <c r="AM38" s="527"/>
      <c r="AN38" s="527"/>
      <c r="AO38" s="527"/>
      <c r="AP38" s="527"/>
      <c r="AQ38" s="527"/>
      <c r="AR38" s="527"/>
      <c r="AS38" s="527"/>
      <c r="AT38" s="527"/>
      <c r="AU38" s="527"/>
      <c r="AV38" s="527"/>
      <c r="AW38" s="527"/>
      <c r="AX38" s="527"/>
      <c r="AY38" s="527"/>
      <c r="AZ38" s="527"/>
      <c r="BA38" s="527"/>
      <c r="BB38" s="527"/>
      <c r="BC38" s="527"/>
      <c r="BD38" s="527"/>
      <c r="BE38" s="527"/>
      <c r="BF38" s="527"/>
      <c r="BG38" s="527"/>
      <c r="BH38" s="527"/>
      <c r="BI38" s="527"/>
      <c r="BJ38" s="527"/>
      <c r="BK38" s="529"/>
      <c r="BL38" s="529"/>
      <c r="BM38" s="530"/>
      <c r="BN38" s="530"/>
      <c r="BO38" s="52"/>
    </row>
    <row r="39" spans="1:67" s="4" customFormat="1" ht="78.75" customHeight="1" x14ac:dyDescent="0.2">
      <c r="A39" s="615"/>
      <c r="B39" s="616"/>
      <c r="C39" s="616"/>
      <c r="D39" s="617"/>
      <c r="E39" s="618"/>
      <c r="F39" s="619"/>
      <c r="G39" s="984">
        <v>3502017</v>
      </c>
      <c r="H39" s="939" t="s">
        <v>1100</v>
      </c>
      <c r="I39" s="939" t="s">
        <v>1101</v>
      </c>
      <c r="J39" s="92">
        <v>6</v>
      </c>
      <c r="K39" s="114"/>
      <c r="L39" s="1557" t="s">
        <v>1039</v>
      </c>
      <c r="M39" s="1496" t="s">
        <v>1040</v>
      </c>
      <c r="N39" s="1499" t="s">
        <v>1041</v>
      </c>
      <c r="O39" s="285">
        <f>+T39/164004155</f>
        <v>0.13498926292446675</v>
      </c>
      <c r="P39" s="1561">
        <f>+T39+T40</f>
        <v>40000000</v>
      </c>
      <c r="Q39" s="1293" t="s">
        <v>1042</v>
      </c>
      <c r="R39" s="1293" t="s">
        <v>1043</v>
      </c>
      <c r="S39" s="939" t="s">
        <v>1100</v>
      </c>
      <c r="T39" s="940">
        <v>22138800</v>
      </c>
      <c r="U39" s="989">
        <v>5000000</v>
      </c>
      <c r="V39" s="989">
        <v>5000000</v>
      </c>
      <c r="W39" s="1438" t="s">
        <v>70</v>
      </c>
      <c r="X39" s="1293" t="s">
        <v>151</v>
      </c>
      <c r="Y39" s="1554">
        <v>100</v>
      </c>
      <c r="Z39" s="1472">
        <v>15</v>
      </c>
      <c r="AA39" s="1554">
        <v>60</v>
      </c>
      <c r="AB39" s="1472">
        <v>18</v>
      </c>
      <c r="AC39" s="1554">
        <v>0</v>
      </c>
      <c r="AD39" s="1472"/>
      <c r="AE39" s="1554">
        <v>0</v>
      </c>
      <c r="AF39" s="1472"/>
      <c r="AG39" s="1554">
        <v>110</v>
      </c>
      <c r="AH39" s="1472"/>
      <c r="AI39" s="1554">
        <v>50</v>
      </c>
      <c r="AJ39" s="1472"/>
      <c r="AK39" s="1554">
        <v>0</v>
      </c>
      <c r="AL39" s="1472"/>
      <c r="AM39" s="1554">
        <v>0</v>
      </c>
      <c r="AN39" s="1472"/>
      <c r="AO39" s="1554">
        <v>0</v>
      </c>
      <c r="AP39" s="1472"/>
      <c r="AQ39" s="1554">
        <v>0</v>
      </c>
      <c r="AR39" s="1472"/>
      <c r="AS39" s="1554">
        <v>0</v>
      </c>
      <c r="AT39" s="1472"/>
      <c r="AU39" s="1554">
        <v>0</v>
      </c>
      <c r="AV39" s="1472"/>
      <c r="AW39" s="1554">
        <v>0</v>
      </c>
      <c r="AX39" s="1472"/>
      <c r="AY39" s="1554">
        <v>0</v>
      </c>
      <c r="AZ39" s="1472"/>
      <c r="BA39" s="1554">
        <v>0</v>
      </c>
      <c r="BB39" s="1472"/>
      <c r="BC39" s="1554">
        <v>160</v>
      </c>
      <c r="BD39" s="1472"/>
      <c r="BE39" s="1430">
        <v>5</v>
      </c>
      <c r="BF39" s="1540">
        <f>SUM(U39:U40)</f>
        <v>5000000</v>
      </c>
      <c r="BG39" s="1540">
        <f>SUM(V39:V40)</f>
        <v>5000000</v>
      </c>
      <c r="BH39" s="1542">
        <f>BG39/BF39</f>
        <v>1</v>
      </c>
      <c r="BI39" s="1478" t="s">
        <v>1102</v>
      </c>
      <c r="BJ39" s="1281" t="s">
        <v>1022</v>
      </c>
      <c r="BK39" s="1315">
        <v>43874</v>
      </c>
      <c r="BL39" s="1315">
        <v>43874</v>
      </c>
      <c r="BM39" s="1315">
        <v>44001</v>
      </c>
      <c r="BN39" s="1315"/>
      <c r="BO39" s="1458" t="s">
        <v>1023</v>
      </c>
    </row>
    <row r="40" spans="1:67" s="4" customFormat="1" ht="84.75" customHeight="1" x14ac:dyDescent="0.2">
      <c r="A40" s="629"/>
      <c r="B40" s="630"/>
      <c r="C40" s="630"/>
      <c r="D40" s="629"/>
      <c r="E40" s="630"/>
      <c r="F40" s="631"/>
      <c r="G40" s="984">
        <v>3502007</v>
      </c>
      <c r="H40" s="939" t="s">
        <v>1103</v>
      </c>
      <c r="I40" s="937" t="s">
        <v>465</v>
      </c>
      <c r="J40" s="92">
        <v>5</v>
      </c>
      <c r="K40" s="114"/>
      <c r="L40" s="1557"/>
      <c r="M40" s="1496"/>
      <c r="N40" s="1499"/>
      <c r="O40" s="285">
        <f>+T40/164004155</f>
        <v>0.10890699689895052</v>
      </c>
      <c r="P40" s="1561"/>
      <c r="Q40" s="1295"/>
      <c r="R40" s="1295"/>
      <c r="S40" s="939" t="s">
        <v>1103</v>
      </c>
      <c r="T40" s="940">
        <v>17861200</v>
      </c>
      <c r="U40" s="935"/>
      <c r="V40" s="935"/>
      <c r="W40" s="1439"/>
      <c r="X40" s="1295"/>
      <c r="Y40" s="1554"/>
      <c r="Z40" s="1473"/>
      <c r="AA40" s="1554"/>
      <c r="AB40" s="1473"/>
      <c r="AC40" s="1554"/>
      <c r="AD40" s="1473"/>
      <c r="AE40" s="1554"/>
      <c r="AF40" s="1473"/>
      <c r="AG40" s="1554"/>
      <c r="AH40" s="1473"/>
      <c r="AI40" s="1554"/>
      <c r="AJ40" s="1473"/>
      <c r="AK40" s="1554"/>
      <c r="AL40" s="1473"/>
      <c r="AM40" s="1554"/>
      <c r="AN40" s="1473"/>
      <c r="AO40" s="1554"/>
      <c r="AP40" s="1473"/>
      <c r="AQ40" s="1554"/>
      <c r="AR40" s="1473"/>
      <c r="AS40" s="1554"/>
      <c r="AT40" s="1473"/>
      <c r="AU40" s="1554"/>
      <c r="AV40" s="1473"/>
      <c r="AW40" s="1554"/>
      <c r="AX40" s="1473"/>
      <c r="AY40" s="1554"/>
      <c r="AZ40" s="1473"/>
      <c r="BA40" s="1554"/>
      <c r="BB40" s="1473"/>
      <c r="BC40" s="1554"/>
      <c r="BD40" s="1473"/>
      <c r="BE40" s="1431"/>
      <c r="BF40" s="1473"/>
      <c r="BG40" s="1473"/>
      <c r="BH40" s="1544"/>
      <c r="BI40" s="1473"/>
      <c r="BJ40" s="1283"/>
      <c r="BK40" s="1317"/>
      <c r="BL40" s="1317"/>
      <c r="BM40" s="1317"/>
      <c r="BN40" s="1317"/>
      <c r="BO40" s="1460"/>
    </row>
    <row r="41" spans="1:67" s="4" customFormat="1" ht="15.75" x14ac:dyDescent="0.2">
      <c r="A41" s="1004">
        <v>3</v>
      </c>
      <c r="B41" s="1005" t="s">
        <v>216</v>
      </c>
      <c r="C41" s="1006"/>
      <c r="D41" s="1007"/>
      <c r="E41" s="1007"/>
      <c r="F41" s="1007"/>
      <c r="G41" s="1008"/>
      <c r="H41" s="1009"/>
      <c r="I41" s="1009"/>
      <c r="J41" s="1008"/>
      <c r="K41" s="1008"/>
      <c r="L41" s="1010"/>
      <c r="M41" s="1011"/>
      <c r="N41" s="1009"/>
      <c r="O41" s="1012"/>
      <c r="P41" s="1013"/>
      <c r="Q41" s="1009"/>
      <c r="R41" s="1009"/>
      <c r="S41" s="1009"/>
      <c r="T41" s="1014"/>
      <c r="U41" s="1014"/>
      <c r="V41" s="1014"/>
      <c r="W41" s="1015"/>
      <c r="X41" s="1009"/>
      <c r="Y41" s="1015"/>
      <c r="Z41" s="1015"/>
      <c r="AA41" s="1015"/>
      <c r="AB41" s="1015"/>
      <c r="AC41" s="1015"/>
      <c r="AD41" s="1015"/>
      <c r="AE41" s="1015"/>
      <c r="AF41" s="1015"/>
      <c r="AG41" s="1015"/>
      <c r="AH41" s="1015"/>
      <c r="AI41" s="1015"/>
      <c r="AJ41" s="1015"/>
      <c r="AK41" s="1015"/>
      <c r="AL41" s="1015"/>
      <c r="AM41" s="1015"/>
      <c r="AN41" s="1015"/>
      <c r="AO41" s="1015"/>
      <c r="AP41" s="1015"/>
      <c r="AQ41" s="1015"/>
      <c r="AR41" s="1015"/>
      <c r="AS41" s="1015"/>
      <c r="AT41" s="1015"/>
      <c r="AU41" s="1015"/>
      <c r="AV41" s="1015"/>
      <c r="AW41" s="1015"/>
      <c r="AX41" s="1015"/>
      <c r="AY41" s="1015"/>
      <c r="AZ41" s="1015"/>
      <c r="BA41" s="1015"/>
      <c r="BB41" s="1015"/>
      <c r="BC41" s="1015"/>
      <c r="BD41" s="1015"/>
      <c r="BE41" s="1015"/>
      <c r="BF41" s="1015"/>
      <c r="BG41" s="1015"/>
      <c r="BH41" s="1015"/>
      <c r="BI41" s="1015"/>
      <c r="BJ41" s="1015"/>
      <c r="BK41" s="1016"/>
      <c r="BL41" s="1016"/>
      <c r="BM41" s="1017"/>
      <c r="BN41" s="1017"/>
      <c r="BO41" s="1009"/>
    </row>
    <row r="42" spans="1:67" s="4" customFormat="1" ht="15.75" x14ac:dyDescent="0.2">
      <c r="A42" s="1558"/>
      <c r="B42" s="1559"/>
      <c r="C42" s="1560"/>
      <c r="D42" s="1018">
        <v>20</v>
      </c>
      <c r="E42" s="546" t="s">
        <v>1104</v>
      </c>
      <c r="F42" s="1019"/>
      <c r="G42" s="521"/>
      <c r="H42" s="52"/>
      <c r="I42" s="52"/>
      <c r="J42" s="521"/>
      <c r="K42" s="521"/>
      <c r="L42" s="50"/>
      <c r="M42" s="992"/>
      <c r="N42" s="52"/>
      <c r="O42" s="993"/>
      <c r="P42" s="524"/>
      <c r="Q42" s="52"/>
      <c r="R42" s="52"/>
      <c r="S42" s="52"/>
      <c r="T42" s="526"/>
      <c r="U42" s="526"/>
      <c r="V42" s="526"/>
      <c r="W42" s="527"/>
      <c r="X42" s="52"/>
      <c r="Y42" s="527"/>
      <c r="Z42" s="527"/>
      <c r="AA42" s="527"/>
      <c r="AB42" s="527"/>
      <c r="AC42" s="527"/>
      <c r="AD42" s="527"/>
      <c r="AE42" s="527"/>
      <c r="AF42" s="527"/>
      <c r="AG42" s="527"/>
      <c r="AH42" s="527"/>
      <c r="AI42" s="527"/>
      <c r="AJ42" s="527"/>
      <c r="AK42" s="527"/>
      <c r="AL42" s="527"/>
      <c r="AM42" s="527"/>
      <c r="AN42" s="527"/>
      <c r="AO42" s="527"/>
      <c r="AP42" s="527"/>
      <c r="AQ42" s="527"/>
      <c r="AR42" s="527"/>
      <c r="AS42" s="527"/>
      <c r="AT42" s="527"/>
      <c r="AU42" s="527"/>
      <c r="AV42" s="527"/>
      <c r="AW42" s="527"/>
      <c r="AX42" s="527"/>
      <c r="AY42" s="527"/>
      <c r="AZ42" s="527"/>
      <c r="BA42" s="527"/>
      <c r="BB42" s="527"/>
      <c r="BC42" s="527"/>
      <c r="BD42" s="527"/>
      <c r="BE42" s="527"/>
      <c r="BF42" s="527"/>
      <c r="BG42" s="527"/>
      <c r="BH42" s="527"/>
      <c r="BI42" s="527"/>
      <c r="BJ42" s="527"/>
      <c r="BK42" s="529"/>
      <c r="BL42" s="529"/>
      <c r="BM42" s="530"/>
      <c r="BN42" s="530"/>
      <c r="BO42" s="52"/>
    </row>
    <row r="43" spans="1:67" s="4" customFormat="1" ht="101.25" customHeight="1" x14ac:dyDescent="0.2">
      <c r="A43" s="615"/>
      <c r="B43" s="616"/>
      <c r="C43" s="622"/>
      <c r="D43" s="995"/>
      <c r="E43" s="995"/>
      <c r="F43" s="996"/>
      <c r="G43" s="984">
        <v>3201013</v>
      </c>
      <c r="H43" s="939" t="s">
        <v>1105</v>
      </c>
      <c r="I43" s="937" t="s">
        <v>1106</v>
      </c>
      <c r="J43" s="92">
        <v>1</v>
      </c>
      <c r="K43" s="114"/>
      <c r="L43" s="34" t="s">
        <v>1107</v>
      </c>
      <c r="M43" s="938" t="s">
        <v>1108</v>
      </c>
      <c r="N43" s="939" t="s">
        <v>1109</v>
      </c>
      <c r="O43" s="285">
        <f>+T43/P43</f>
        <v>1</v>
      </c>
      <c r="P43" s="510">
        <f>+T43</f>
        <v>40000000</v>
      </c>
      <c r="Q43" s="941" t="s">
        <v>1110</v>
      </c>
      <c r="R43" s="941" t="s">
        <v>1111</v>
      </c>
      <c r="S43" s="939" t="s">
        <v>1105</v>
      </c>
      <c r="T43" s="940">
        <v>40000000</v>
      </c>
      <c r="U43" s="940"/>
      <c r="V43" s="940"/>
      <c r="W43" s="110">
        <v>88</v>
      </c>
      <c r="X43" s="40" t="s">
        <v>527</v>
      </c>
      <c r="Y43" s="217">
        <v>38892</v>
      </c>
      <c r="Z43" s="217"/>
      <c r="AA43" s="217">
        <v>39408</v>
      </c>
      <c r="AB43" s="217"/>
      <c r="AC43" s="217">
        <v>15324</v>
      </c>
      <c r="AD43" s="217"/>
      <c r="AE43" s="217">
        <v>7104</v>
      </c>
      <c r="AF43" s="217"/>
      <c r="AG43" s="217">
        <v>40867</v>
      </c>
      <c r="AH43" s="217"/>
      <c r="AI43" s="217">
        <v>15005</v>
      </c>
      <c r="AJ43" s="217"/>
      <c r="AK43" s="217"/>
      <c r="AL43" s="217"/>
      <c r="AM43" s="217"/>
      <c r="AN43" s="217"/>
      <c r="AO43" s="217"/>
      <c r="AP43" s="217"/>
      <c r="AQ43" s="217"/>
      <c r="AR43" s="217"/>
      <c r="AS43" s="217"/>
      <c r="AT43" s="217"/>
      <c r="AU43" s="217"/>
      <c r="AV43" s="217"/>
      <c r="AW43" s="217"/>
      <c r="AX43" s="217"/>
      <c r="AY43" s="217"/>
      <c r="AZ43" s="217"/>
      <c r="BA43" s="217"/>
      <c r="BB43" s="217"/>
      <c r="BC43" s="217">
        <v>78300</v>
      </c>
      <c r="BD43" s="217"/>
      <c r="BE43" s="217"/>
      <c r="BF43" s="217"/>
      <c r="BG43" s="217"/>
      <c r="BH43" s="217"/>
      <c r="BI43" s="217"/>
      <c r="BJ43" s="217"/>
      <c r="BK43" s="48">
        <v>44033</v>
      </c>
      <c r="BL43" s="48"/>
      <c r="BM43" s="48">
        <v>44195</v>
      </c>
      <c r="BN43" s="48"/>
      <c r="BO43" s="414" t="s">
        <v>1023</v>
      </c>
    </row>
    <row r="44" spans="1:67" s="4" customFormat="1" ht="15.75" x14ac:dyDescent="0.2">
      <c r="A44" s="1547"/>
      <c r="B44" s="1548"/>
      <c r="C44" s="1549"/>
      <c r="D44" s="636">
        <v>21</v>
      </c>
      <c r="E44" s="991" t="s">
        <v>228</v>
      </c>
      <c r="F44" s="520"/>
      <c r="G44" s="521"/>
      <c r="H44" s="52"/>
      <c r="I44" s="52"/>
      <c r="J44" s="521"/>
      <c r="K44" s="521"/>
      <c r="L44" s="50"/>
      <c r="M44" s="992"/>
      <c r="N44" s="52"/>
      <c r="O44" s="993"/>
      <c r="P44" s="524"/>
      <c r="Q44" s="52"/>
      <c r="R44" s="52"/>
      <c r="S44" s="52"/>
      <c r="T44" s="526"/>
      <c r="U44" s="526"/>
      <c r="V44" s="526"/>
      <c r="W44" s="527"/>
      <c r="X44" s="52"/>
      <c r="Y44" s="527"/>
      <c r="Z44" s="527"/>
      <c r="AA44" s="527"/>
      <c r="AB44" s="527"/>
      <c r="AC44" s="527"/>
      <c r="AD44" s="527"/>
      <c r="AE44" s="527"/>
      <c r="AF44" s="527"/>
      <c r="AG44" s="527"/>
      <c r="AH44" s="527"/>
      <c r="AI44" s="527"/>
      <c r="AJ44" s="527"/>
      <c r="AK44" s="527"/>
      <c r="AL44" s="527"/>
      <c r="AM44" s="527"/>
      <c r="AN44" s="527"/>
      <c r="AO44" s="527"/>
      <c r="AP44" s="527"/>
      <c r="AQ44" s="527"/>
      <c r="AR44" s="527"/>
      <c r="AS44" s="527"/>
      <c r="AT44" s="527"/>
      <c r="AU44" s="527"/>
      <c r="AV44" s="527"/>
      <c r="AW44" s="527"/>
      <c r="AX44" s="527"/>
      <c r="AY44" s="527"/>
      <c r="AZ44" s="527"/>
      <c r="BA44" s="527"/>
      <c r="BB44" s="527"/>
      <c r="BC44" s="527"/>
      <c r="BD44" s="527"/>
      <c r="BE44" s="527"/>
      <c r="BF44" s="527"/>
      <c r="BG44" s="527"/>
      <c r="BH44" s="527"/>
      <c r="BI44" s="527"/>
      <c r="BJ44" s="527"/>
      <c r="BK44" s="529"/>
      <c r="BL44" s="529"/>
      <c r="BM44" s="530"/>
      <c r="BN44" s="530"/>
      <c r="BO44" s="52"/>
    </row>
    <row r="45" spans="1:67" s="4" customFormat="1" ht="99" customHeight="1" x14ac:dyDescent="0.2">
      <c r="A45" s="615"/>
      <c r="B45" s="616"/>
      <c r="C45" s="622"/>
      <c r="D45" s="618"/>
      <c r="E45" s="618"/>
      <c r="F45" s="619"/>
      <c r="G45" s="984">
        <v>3202017</v>
      </c>
      <c r="H45" s="939" t="s">
        <v>1112</v>
      </c>
      <c r="I45" s="937" t="s">
        <v>1113</v>
      </c>
      <c r="J45" s="92">
        <v>1</v>
      </c>
      <c r="K45" s="114"/>
      <c r="L45" s="34" t="s">
        <v>1114</v>
      </c>
      <c r="M45" s="938" t="s">
        <v>1115</v>
      </c>
      <c r="N45" s="939" t="s">
        <v>1116</v>
      </c>
      <c r="O45" s="285">
        <f>+T45/P45</f>
        <v>1</v>
      </c>
      <c r="P45" s="510">
        <f>+T45</f>
        <v>80000000</v>
      </c>
      <c r="Q45" s="937" t="s">
        <v>1117</v>
      </c>
      <c r="R45" s="937" t="s">
        <v>1118</v>
      </c>
      <c r="S45" s="939" t="s">
        <v>1112</v>
      </c>
      <c r="T45" s="940">
        <v>80000000</v>
      </c>
      <c r="U45" s="989">
        <v>29533333</v>
      </c>
      <c r="V45" s="989">
        <v>22333333</v>
      </c>
      <c r="W45" s="110" t="s">
        <v>70</v>
      </c>
      <c r="X45" s="40" t="s">
        <v>151</v>
      </c>
      <c r="Y45" s="942">
        <v>252568</v>
      </c>
      <c r="Z45" s="942">
        <v>150</v>
      </c>
      <c r="AA45" s="942">
        <v>243650</v>
      </c>
      <c r="AB45" s="942">
        <v>230</v>
      </c>
      <c r="AC45" s="942">
        <v>97896</v>
      </c>
      <c r="AD45" s="942"/>
      <c r="AE45" s="942">
        <v>53351</v>
      </c>
      <c r="AF45" s="942"/>
      <c r="AG45" s="942">
        <v>140316</v>
      </c>
      <c r="AH45" s="942"/>
      <c r="AI45" s="942">
        <v>30825</v>
      </c>
      <c r="AJ45" s="942"/>
      <c r="AK45" s="942">
        <v>0</v>
      </c>
      <c r="AL45" s="942"/>
      <c r="AM45" s="942">
        <v>0</v>
      </c>
      <c r="AN45" s="942"/>
      <c r="AO45" s="942">
        <v>0</v>
      </c>
      <c r="AP45" s="942"/>
      <c r="AQ45" s="942">
        <v>0</v>
      </c>
      <c r="AR45" s="942"/>
      <c r="AS45" s="942">
        <v>0</v>
      </c>
      <c r="AT45" s="942"/>
      <c r="AU45" s="942">
        <v>0</v>
      </c>
      <c r="AV45" s="942"/>
      <c r="AW45" s="942">
        <v>0</v>
      </c>
      <c r="AX45" s="942"/>
      <c r="AY45" s="942">
        <v>0</v>
      </c>
      <c r="AZ45" s="942"/>
      <c r="BA45" s="942">
        <v>0</v>
      </c>
      <c r="BB45" s="942"/>
      <c r="BC45" s="942">
        <f>+Y45+AA45</f>
        <v>496218</v>
      </c>
      <c r="BD45" s="942"/>
      <c r="BE45" s="92">
        <v>2</v>
      </c>
      <c r="BF45" s="940">
        <f>U45</f>
        <v>29533333</v>
      </c>
      <c r="BG45" s="940">
        <f>V45</f>
        <v>22333333</v>
      </c>
      <c r="BH45" s="285">
        <f>BG45/BF45</f>
        <v>0.75620767219196017</v>
      </c>
      <c r="BI45" s="34" t="s">
        <v>72</v>
      </c>
      <c r="BJ45" s="34" t="s">
        <v>1119</v>
      </c>
      <c r="BK45" s="48">
        <v>43857</v>
      </c>
      <c r="BL45" s="48">
        <v>43857</v>
      </c>
      <c r="BM45" s="48">
        <v>44008</v>
      </c>
      <c r="BN45" s="48"/>
      <c r="BO45" s="414" t="s">
        <v>1023</v>
      </c>
    </row>
    <row r="46" spans="1:67" s="4" customFormat="1" ht="91.5" customHeight="1" x14ac:dyDescent="0.2">
      <c r="A46" s="615"/>
      <c r="B46" s="616"/>
      <c r="C46" s="622"/>
      <c r="D46" s="616"/>
      <c r="E46" s="616"/>
      <c r="F46" s="622"/>
      <c r="G46" s="984">
        <v>3202037</v>
      </c>
      <c r="H46" s="939" t="s">
        <v>1120</v>
      </c>
      <c r="I46" s="937" t="s">
        <v>1121</v>
      </c>
      <c r="J46" s="92">
        <v>30</v>
      </c>
      <c r="K46" s="114"/>
      <c r="L46" s="1557" t="s">
        <v>1122</v>
      </c>
      <c r="M46" s="1498" t="s">
        <v>1123</v>
      </c>
      <c r="N46" s="1499" t="s">
        <v>1124</v>
      </c>
      <c r="O46" s="285">
        <f>+T46/P46</f>
        <v>0.10352000129625689</v>
      </c>
      <c r="P46" s="1500">
        <f>+T46+T47</f>
        <v>1242870927.25</v>
      </c>
      <c r="Q46" s="1415" t="s">
        <v>1125</v>
      </c>
      <c r="R46" s="1415" t="s">
        <v>1126</v>
      </c>
      <c r="S46" s="939" t="s">
        <v>1120</v>
      </c>
      <c r="T46" s="940">
        <v>128662000</v>
      </c>
      <c r="U46" s="989">
        <v>48666666</v>
      </c>
      <c r="V46" s="989">
        <v>38466666</v>
      </c>
      <c r="W46" s="1555" t="s">
        <v>70</v>
      </c>
      <c r="X46" s="1556" t="s">
        <v>151</v>
      </c>
      <c r="Y46" s="1554">
        <v>35373</v>
      </c>
      <c r="Z46" s="1472">
        <v>175</v>
      </c>
      <c r="AA46" s="1554">
        <v>33985</v>
      </c>
      <c r="AB46" s="1554">
        <v>135</v>
      </c>
      <c r="AC46" s="1554">
        <v>16632</v>
      </c>
      <c r="AD46" s="1315"/>
      <c r="AE46" s="1554">
        <v>3361</v>
      </c>
      <c r="AF46" s="1315"/>
      <c r="AG46" s="1554">
        <v>39432</v>
      </c>
      <c r="AH46" s="1315"/>
      <c r="AI46" s="1554">
        <v>9933</v>
      </c>
      <c r="AJ46" s="1315"/>
      <c r="AK46" s="1554">
        <v>0</v>
      </c>
      <c r="AL46" s="1315"/>
      <c r="AM46" s="1554">
        <v>0</v>
      </c>
      <c r="AN46" s="1315"/>
      <c r="AO46" s="1554">
        <v>0</v>
      </c>
      <c r="AP46" s="1315"/>
      <c r="AQ46" s="1554">
        <v>0</v>
      </c>
      <c r="AR46" s="1315"/>
      <c r="AS46" s="1554">
        <v>0</v>
      </c>
      <c r="AT46" s="1315"/>
      <c r="AU46" s="1554">
        <v>0</v>
      </c>
      <c r="AV46" s="1315"/>
      <c r="AW46" s="1554">
        <v>0</v>
      </c>
      <c r="AX46" s="1315"/>
      <c r="AY46" s="1554">
        <v>0</v>
      </c>
      <c r="AZ46" s="1315"/>
      <c r="BA46" s="1554">
        <v>0</v>
      </c>
      <c r="BB46" s="1315"/>
      <c r="BC46" s="1554">
        <f>+Y46+AA46</f>
        <v>69358</v>
      </c>
      <c r="BD46" s="1315"/>
      <c r="BE46" s="1430">
        <v>8</v>
      </c>
      <c r="BF46" s="1490">
        <f>SUM(U46:U47)</f>
        <v>48666666</v>
      </c>
      <c r="BG46" s="1490">
        <f>SUM(V46:V47)</f>
        <v>38466666</v>
      </c>
      <c r="BH46" s="1550">
        <f t="shared" ref="BH46" si="1">BG46/BF46</f>
        <v>0.7904109560330268</v>
      </c>
      <c r="BI46" s="1281" t="s">
        <v>72</v>
      </c>
      <c r="BJ46" s="1552" t="s">
        <v>1127</v>
      </c>
      <c r="BK46" s="1545">
        <v>43885</v>
      </c>
      <c r="BL46" s="1545">
        <v>43885</v>
      </c>
      <c r="BM46" s="1545">
        <v>44009</v>
      </c>
      <c r="BN46" s="1545"/>
      <c r="BO46" s="1546" t="s">
        <v>1023</v>
      </c>
    </row>
    <row r="47" spans="1:67" s="4" customFormat="1" ht="103.5" customHeight="1" x14ac:dyDescent="0.2">
      <c r="A47" s="615"/>
      <c r="B47" s="616"/>
      <c r="C47" s="622"/>
      <c r="D47" s="616"/>
      <c r="E47" s="616"/>
      <c r="F47" s="622"/>
      <c r="G47" s="496" t="s">
        <v>1128</v>
      </c>
      <c r="H47" s="939" t="s">
        <v>1129</v>
      </c>
      <c r="I47" s="937" t="s">
        <v>1130</v>
      </c>
      <c r="J47" s="92">
        <v>20</v>
      </c>
      <c r="K47" s="114"/>
      <c r="L47" s="1557"/>
      <c r="M47" s="1498"/>
      <c r="N47" s="1499"/>
      <c r="O47" s="285">
        <f>+T47/P46</f>
        <v>0.89647999870374306</v>
      </c>
      <c r="P47" s="1500"/>
      <c r="Q47" s="1420"/>
      <c r="R47" s="1420"/>
      <c r="S47" s="939" t="s">
        <v>1129</v>
      </c>
      <c r="T47" s="940">
        <v>1114208927.25</v>
      </c>
      <c r="U47" s="940"/>
      <c r="V47" s="940"/>
      <c r="W47" s="1555"/>
      <c r="X47" s="1556"/>
      <c r="Y47" s="1554"/>
      <c r="Z47" s="1473"/>
      <c r="AA47" s="1554"/>
      <c r="AB47" s="1554"/>
      <c r="AC47" s="1554"/>
      <c r="AD47" s="1317"/>
      <c r="AE47" s="1554"/>
      <c r="AF47" s="1317"/>
      <c r="AG47" s="1554"/>
      <c r="AH47" s="1317"/>
      <c r="AI47" s="1554"/>
      <c r="AJ47" s="1317"/>
      <c r="AK47" s="1554"/>
      <c r="AL47" s="1317"/>
      <c r="AM47" s="1554"/>
      <c r="AN47" s="1317"/>
      <c r="AO47" s="1554"/>
      <c r="AP47" s="1317"/>
      <c r="AQ47" s="1554"/>
      <c r="AR47" s="1317"/>
      <c r="AS47" s="1554"/>
      <c r="AT47" s="1317"/>
      <c r="AU47" s="1554"/>
      <c r="AV47" s="1317"/>
      <c r="AW47" s="1554"/>
      <c r="AX47" s="1317"/>
      <c r="AY47" s="1554"/>
      <c r="AZ47" s="1317"/>
      <c r="BA47" s="1554"/>
      <c r="BB47" s="1317"/>
      <c r="BC47" s="1554"/>
      <c r="BD47" s="1317"/>
      <c r="BE47" s="1431"/>
      <c r="BF47" s="1491"/>
      <c r="BG47" s="1491"/>
      <c r="BH47" s="1551"/>
      <c r="BI47" s="1283"/>
      <c r="BJ47" s="1553"/>
      <c r="BK47" s="1545"/>
      <c r="BL47" s="1545"/>
      <c r="BM47" s="1545"/>
      <c r="BN47" s="1545"/>
      <c r="BO47" s="1546"/>
    </row>
    <row r="48" spans="1:67" s="4" customFormat="1" ht="138" customHeight="1" x14ac:dyDescent="0.2">
      <c r="A48" s="615"/>
      <c r="B48" s="616"/>
      <c r="C48" s="622"/>
      <c r="D48" s="616"/>
      <c r="E48" s="616"/>
      <c r="F48" s="622"/>
      <c r="G48" s="496" t="s">
        <v>1128</v>
      </c>
      <c r="H48" s="939" t="s">
        <v>1131</v>
      </c>
      <c r="I48" s="937" t="s">
        <v>1132</v>
      </c>
      <c r="J48" s="92">
        <v>1</v>
      </c>
      <c r="K48" s="114"/>
      <c r="L48" s="34" t="s">
        <v>1133</v>
      </c>
      <c r="M48" s="938" t="s">
        <v>1134</v>
      </c>
      <c r="N48" s="939" t="s">
        <v>1135</v>
      </c>
      <c r="O48" s="285">
        <f>+T48/P48</f>
        <v>1</v>
      </c>
      <c r="P48" s="510">
        <f>+T48</f>
        <v>30000000</v>
      </c>
      <c r="Q48" s="941" t="s">
        <v>1136</v>
      </c>
      <c r="R48" s="941" t="s">
        <v>1137</v>
      </c>
      <c r="S48" s="939" t="s">
        <v>1131</v>
      </c>
      <c r="T48" s="940">
        <v>30000000</v>
      </c>
      <c r="U48" s="940"/>
      <c r="V48" s="940"/>
      <c r="W48" s="110">
        <v>88</v>
      </c>
      <c r="X48" s="40" t="s">
        <v>527</v>
      </c>
      <c r="Y48" s="942">
        <v>6100</v>
      </c>
      <c r="Z48" s="217"/>
      <c r="AA48" s="942">
        <v>5060</v>
      </c>
      <c r="AB48" s="217"/>
      <c r="AC48" s="942">
        <v>2550</v>
      </c>
      <c r="AD48" s="217"/>
      <c r="AE48" s="942">
        <v>2150</v>
      </c>
      <c r="AF48" s="217"/>
      <c r="AG48" s="942">
        <v>5500</v>
      </c>
      <c r="AH48" s="217"/>
      <c r="AI48" s="942">
        <v>960</v>
      </c>
      <c r="AJ48" s="217"/>
      <c r="AK48" s="217"/>
      <c r="AL48" s="217"/>
      <c r="AM48" s="217"/>
      <c r="AN48" s="217"/>
      <c r="AO48" s="217"/>
      <c r="AP48" s="217"/>
      <c r="AQ48" s="217"/>
      <c r="AR48" s="217"/>
      <c r="AS48" s="217"/>
      <c r="AT48" s="217"/>
      <c r="AU48" s="217"/>
      <c r="AV48" s="217"/>
      <c r="AW48" s="217"/>
      <c r="AX48" s="217"/>
      <c r="AY48" s="217"/>
      <c r="AZ48" s="217"/>
      <c r="BA48" s="217"/>
      <c r="BB48" s="217"/>
      <c r="BC48" s="217">
        <v>11160</v>
      </c>
      <c r="BD48" s="217"/>
      <c r="BE48" s="217"/>
      <c r="BF48" s="217"/>
      <c r="BG48" s="217"/>
      <c r="BH48" s="217"/>
      <c r="BI48" s="217"/>
      <c r="BJ48" s="217"/>
      <c r="BK48" s="48">
        <v>44033</v>
      </c>
      <c r="BL48" s="48"/>
      <c r="BM48" s="48">
        <v>44195</v>
      </c>
      <c r="BN48" s="48"/>
      <c r="BO48" s="434" t="s">
        <v>1023</v>
      </c>
    </row>
    <row r="49" spans="1:67" s="4" customFormat="1" ht="110.25" customHeight="1" x14ac:dyDescent="0.2">
      <c r="A49" s="615"/>
      <c r="B49" s="616"/>
      <c r="C49" s="622"/>
      <c r="D49" s="630"/>
      <c r="E49" s="630"/>
      <c r="F49" s="631"/>
      <c r="G49" s="496" t="s">
        <v>1128</v>
      </c>
      <c r="H49" s="939" t="s">
        <v>1138</v>
      </c>
      <c r="I49" s="937" t="s">
        <v>1139</v>
      </c>
      <c r="J49" s="92">
        <v>1</v>
      </c>
      <c r="K49" s="114"/>
      <c r="L49" s="34" t="s">
        <v>1140</v>
      </c>
      <c r="M49" s="936" t="s">
        <v>1141</v>
      </c>
      <c r="N49" s="939" t="s">
        <v>1142</v>
      </c>
      <c r="O49" s="285">
        <f>+T49/90000000</f>
        <v>0.44444444444444442</v>
      </c>
      <c r="P49" s="510">
        <f>+T49</f>
        <v>40000000</v>
      </c>
      <c r="Q49" s="40" t="s">
        <v>1143</v>
      </c>
      <c r="R49" s="40" t="s">
        <v>1144</v>
      </c>
      <c r="S49" s="939" t="s">
        <v>1138</v>
      </c>
      <c r="T49" s="940">
        <v>40000000</v>
      </c>
      <c r="U49" s="989">
        <v>20500000</v>
      </c>
      <c r="V49" s="989">
        <v>17500000</v>
      </c>
      <c r="W49" s="110" t="s">
        <v>70</v>
      </c>
      <c r="X49" s="40" t="s">
        <v>151</v>
      </c>
      <c r="Y49" s="218">
        <v>40906</v>
      </c>
      <c r="Z49" s="218">
        <v>92</v>
      </c>
      <c r="AA49" s="218">
        <v>37728</v>
      </c>
      <c r="AB49" s="218">
        <v>88</v>
      </c>
      <c r="AC49" s="218">
        <v>16790</v>
      </c>
      <c r="AD49" s="218"/>
      <c r="AE49" s="218">
        <v>8871</v>
      </c>
      <c r="AF49" s="218"/>
      <c r="AG49" s="218">
        <v>46240</v>
      </c>
      <c r="AH49" s="218"/>
      <c r="AI49" s="218">
        <v>10814</v>
      </c>
      <c r="AJ49" s="218"/>
      <c r="AK49" s="218">
        <v>0</v>
      </c>
      <c r="AL49" s="218"/>
      <c r="AM49" s="218">
        <v>0</v>
      </c>
      <c r="AN49" s="218"/>
      <c r="AO49" s="218">
        <v>0</v>
      </c>
      <c r="AP49" s="218"/>
      <c r="AQ49" s="218">
        <v>0</v>
      </c>
      <c r="AR49" s="218"/>
      <c r="AS49" s="218">
        <v>0</v>
      </c>
      <c r="AT49" s="218"/>
      <c r="AU49" s="218">
        <v>0</v>
      </c>
      <c r="AV49" s="218"/>
      <c r="AW49" s="218">
        <v>0</v>
      </c>
      <c r="AX49" s="218"/>
      <c r="AY49" s="218">
        <v>0</v>
      </c>
      <c r="AZ49" s="218"/>
      <c r="BA49" s="218">
        <v>0</v>
      </c>
      <c r="BB49" s="218"/>
      <c r="BC49" s="218">
        <f>+Y49+AA49</f>
        <v>78634</v>
      </c>
      <c r="BD49" s="218"/>
      <c r="BE49" s="218"/>
      <c r="BF49" s="989">
        <f>U49</f>
        <v>20500000</v>
      </c>
      <c r="BG49" s="989">
        <f>V49</f>
        <v>17500000</v>
      </c>
      <c r="BH49" s="476">
        <f>BG49/BF49</f>
        <v>0.85365853658536583</v>
      </c>
      <c r="BI49" s="36" t="s">
        <v>72</v>
      </c>
      <c r="BJ49" s="36" t="s">
        <v>1127</v>
      </c>
      <c r="BK49" s="48">
        <v>43864</v>
      </c>
      <c r="BL49" s="48"/>
      <c r="BM49" s="48">
        <v>43984</v>
      </c>
      <c r="BN49" s="48"/>
      <c r="BO49" s="434" t="s">
        <v>1023</v>
      </c>
    </row>
    <row r="50" spans="1:67" s="4" customFormat="1" ht="27" customHeight="1" x14ac:dyDescent="0.2">
      <c r="A50" s="1547"/>
      <c r="B50" s="1548"/>
      <c r="C50" s="1549"/>
      <c r="D50" s="636">
        <v>22</v>
      </c>
      <c r="E50" s="991" t="s">
        <v>1145</v>
      </c>
      <c r="F50" s="520"/>
      <c r="G50" s="521"/>
      <c r="H50" s="52"/>
      <c r="I50" s="52"/>
      <c r="J50" s="992"/>
      <c r="K50" s="521"/>
      <c r="L50" s="50"/>
      <c r="M50" s="992"/>
      <c r="N50" s="52"/>
      <c r="O50" s="993"/>
      <c r="P50" s="524"/>
      <c r="Q50" s="52"/>
      <c r="R50" s="52"/>
      <c r="S50" s="52"/>
      <c r="T50" s="526"/>
      <c r="U50" s="526"/>
      <c r="V50" s="526"/>
      <c r="W50" s="527"/>
      <c r="X50" s="52"/>
      <c r="Y50" s="1020"/>
      <c r="Z50" s="1020"/>
      <c r="AA50" s="1020"/>
      <c r="AB50" s="1020"/>
      <c r="AC50" s="1020"/>
      <c r="AD50" s="1020"/>
      <c r="AE50" s="1020"/>
      <c r="AF50" s="1020"/>
      <c r="AG50" s="1020"/>
      <c r="AH50" s="1020"/>
      <c r="AI50" s="1020"/>
      <c r="AJ50" s="1020"/>
      <c r="AK50" s="1020"/>
      <c r="AL50" s="1020"/>
      <c r="AM50" s="1020"/>
      <c r="AN50" s="1020"/>
      <c r="AO50" s="1020"/>
      <c r="AP50" s="1020"/>
      <c r="AQ50" s="1020"/>
      <c r="AR50" s="1020"/>
      <c r="AS50" s="1020"/>
      <c r="AT50" s="1020"/>
      <c r="AU50" s="1020"/>
      <c r="AV50" s="1020"/>
      <c r="AW50" s="1020"/>
      <c r="AX50" s="1020"/>
      <c r="AY50" s="1020"/>
      <c r="AZ50" s="1020"/>
      <c r="BA50" s="1020"/>
      <c r="BB50" s="1020"/>
      <c r="BC50" s="1020"/>
      <c r="BD50" s="1020"/>
      <c r="BE50" s="1020"/>
      <c r="BF50" s="1020"/>
      <c r="BG50" s="1020"/>
      <c r="BH50" s="1020"/>
      <c r="BI50" s="1020"/>
      <c r="BJ50" s="1020"/>
      <c r="BK50" s="529"/>
      <c r="BL50" s="529"/>
      <c r="BM50" s="530"/>
      <c r="BN50" s="530"/>
      <c r="BO50" s="52"/>
    </row>
    <row r="51" spans="1:67" s="4" customFormat="1" ht="92.25" customHeight="1" x14ac:dyDescent="0.2">
      <c r="A51" s="615"/>
      <c r="B51" s="616"/>
      <c r="C51" s="622"/>
      <c r="D51" s="995"/>
      <c r="E51" s="995"/>
      <c r="F51" s="996"/>
      <c r="G51" s="984">
        <v>3204012</v>
      </c>
      <c r="H51" s="939" t="s">
        <v>1146</v>
      </c>
      <c r="I51" s="937" t="s">
        <v>1147</v>
      </c>
      <c r="J51" s="92">
        <v>3</v>
      </c>
      <c r="K51" s="114"/>
      <c r="L51" s="34" t="s">
        <v>1148</v>
      </c>
      <c r="M51" s="938" t="s">
        <v>1149</v>
      </c>
      <c r="N51" s="939" t="s">
        <v>1150</v>
      </c>
      <c r="O51" s="285">
        <f>+T51/P51</f>
        <v>1</v>
      </c>
      <c r="P51" s="510">
        <f>+T51</f>
        <v>26000000</v>
      </c>
      <c r="Q51" s="941" t="s">
        <v>1151</v>
      </c>
      <c r="R51" s="941" t="s">
        <v>1152</v>
      </c>
      <c r="S51" s="939" t="s">
        <v>1146</v>
      </c>
      <c r="T51" s="940">
        <v>26000000</v>
      </c>
      <c r="U51" s="940"/>
      <c r="V51" s="940"/>
      <c r="W51" s="110">
        <v>88</v>
      </c>
      <c r="X51" s="40" t="s">
        <v>527</v>
      </c>
      <c r="Y51" s="942">
        <v>14000</v>
      </c>
      <c r="Z51" s="217"/>
      <c r="AA51" s="942">
        <v>16000</v>
      </c>
      <c r="AB51" s="217"/>
      <c r="AC51" s="942">
        <v>0</v>
      </c>
      <c r="AD51" s="217"/>
      <c r="AE51" s="942">
        <v>6000</v>
      </c>
      <c r="AF51" s="217"/>
      <c r="AG51" s="942">
        <v>12000</v>
      </c>
      <c r="AH51" s="217"/>
      <c r="AI51" s="942">
        <v>8000</v>
      </c>
      <c r="AJ51" s="217"/>
      <c r="AK51" s="217"/>
      <c r="AL51" s="217"/>
      <c r="AM51" s="217"/>
      <c r="AN51" s="217"/>
      <c r="AO51" s="217"/>
      <c r="AP51" s="217"/>
      <c r="AQ51" s="217"/>
      <c r="AR51" s="217"/>
      <c r="AS51" s="217"/>
      <c r="AT51" s="217"/>
      <c r="AU51" s="217"/>
      <c r="AV51" s="217"/>
      <c r="AW51" s="217"/>
      <c r="AX51" s="217"/>
      <c r="AY51" s="217"/>
      <c r="AZ51" s="217"/>
      <c r="BA51" s="217"/>
      <c r="BB51" s="217"/>
      <c r="BC51" s="217">
        <v>30000</v>
      </c>
      <c r="BD51" s="217"/>
      <c r="BE51" s="217"/>
      <c r="BF51" s="217"/>
      <c r="BG51" s="217"/>
      <c r="BH51" s="217"/>
      <c r="BI51" s="217"/>
      <c r="BJ51" s="217"/>
      <c r="BK51" s="48">
        <v>44033</v>
      </c>
      <c r="BL51" s="48"/>
      <c r="BM51" s="48">
        <v>44195</v>
      </c>
      <c r="BN51" s="48"/>
      <c r="BO51" s="414" t="s">
        <v>1023</v>
      </c>
    </row>
    <row r="52" spans="1:67" s="4" customFormat="1" ht="21.75" customHeight="1" x14ac:dyDescent="0.2">
      <c r="A52" s="1547"/>
      <c r="B52" s="1548"/>
      <c r="C52" s="1549"/>
      <c r="D52" s="636">
        <v>23</v>
      </c>
      <c r="E52" s="991" t="s">
        <v>231</v>
      </c>
      <c r="F52" s="520"/>
      <c r="G52" s="521"/>
      <c r="H52" s="52"/>
      <c r="I52" s="52"/>
      <c r="J52" s="992"/>
      <c r="K52" s="521"/>
      <c r="L52" s="50"/>
      <c r="M52" s="992"/>
      <c r="N52" s="52"/>
      <c r="O52" s="993"/>
      <c r="P52" s="524"/>
      <c r="Q52" s="52"/>
      <c r="R52" s="52"/>
      <c r="S52" s="52"/>
      <c r="T52" s="526"/>
      <c r="U52" s="526"/>
      <c r="V52" s="526"/>
      <c r="W52" s="527"/>
      <c r="X52" s="52"/>
      <c r="Y52" s="527"/>
      <c r="Z52" s="527"/>
      <c r="AA52" s="527"/>
      <c r="AB52" s="527"/>
      <c r="AC52" s="527"/>
      <c r="AD52" s="527"/>
      <c r="AE52" s="527"/>
      <c r="AF52" s="527"/>
      <c r="AG52" s="527"/>
      <c r="AH52" s="527"/>
      <c r="AI52" s="527"/>
      <c r="AJ52" s="527"/>
      <c r="AK52" s="527"/>
      <c r="AL52" s="527"/>
      <c r="AM52" s="527"/>
      <c r="AN52" s="527"/>
      <c r="AO52" s="527"/>
      <c r="AP52" s="527"/>
      <c r="AQ52" s="527"/>
      <c r="AR52" s="527"/>
      <c r="AS52" s="527"/>
      <c r="AT52" s="527"/>
      <c r="AU52" s="527"/>
      <c r="AV52" s="527"/>
      <c r="AW52" s="527"/>
      <c r="AX52" s="527"/>
      <c r="AY52" s="527"/>
      <c r="AZ52" s="527"/>
      <c r="BA52" s="527"/>
      <c r="BB52" s="527"/>
      <c r="BC52" s="527"/>
      <c r="BD52" s="527"/>
      <c r="BE52" s="527"/>
      <c r="BF52" s="527"/>
      <c r="BG52" s="527"/>
      <c r="BH52" s="527"/>
      <c r="BI52" s="527"/>
      <c r="BJ52" s="527"/>
      <c r="BK52" s="529"/>
      <c r="BL52" s="529"/>
      <c r="BM52" s="530"/>
      <c r="BN52" s="530"/>
      <c r="BO52" s="52"/>
    </row>
    <row r="53" spans="1:67" s="4" customFormat="1" ht="105" customHeight="1" x14ac:dyDescent="0.2">
      <c r="A53" s="615"/>
      <c r="B53" s="616"/>
      <c r="C53" s="622"/>
      <c r="D53" s="995"/>
      <c r="E53" s="995"/>
      <c r="F53" s="996"/>
      <c r="G53" s="984">
        <v>3205010</v>
      </c>
      <c r="H53" s="939" t="s">
        <v>1153</v>
      </c>
      <c r="I53" s="937" t="s">
        <v>1154</v>
      </c>
      <c r="J53" s="92">
        <v>1</v>
      </c>
      <c r="K53" s="114"/>
      <c r="L53" s="34" t="s">
        <v>1140</v>
      </c>
      <c r="M53" s="936" t="s">
        <v>1141</v>
      </c>
      <c r="N53" s="939" t="s">
        <v>1142</v>
      </c>
      <c r="O53" s="285">
        <f>+T53/90000000</f>
        <v>0.55555555555555558</v>
      </c>
      <c r="P53" s="510">
        <f>+T53</f>
        <v>50000000</v>
      </c>
      <c r="Q53" s="40" t="s">
        <v>1143</v>
      </c>
      <c r="R53" s="40" t="s">
        <v>1144</v>
      </c>
      <c r="S53" s="939" t="s">
        <v>1153</v>
      </c>
      <c r="T53" s="940">
        <v>50000000</v>
      </c>
      <c r="U53" s="989"/>
      <c r="V53" s="989"/>
      <c r="W53" s="110" t="s">
        <v>70</v>
      </c>
      <c r="X53" s="40" t="s">
        <v>151</v>
      </c>
      <c r="Y53" s="942">
        <v>40906</v>
      </c>
      <c r="Z53" s="942">
        <v>13</v>
      </c>
      <c r="AA53" s="942">
        <v>37728</v>
      </c>
      <c r="AB53" s="942">
        <v>25</v>
      </c>
      <c r="AC53" s="942">
        <v>16790</v>
      </c>
      <c r="AD53" s="942"/>
      <c r="AE53" s="942">
        <v>8871</v>
      </c>
      <c r="AF53" s="942"/>
      <c r="AG53" s="942">
        <v>46240</v>
      </c>
      <c r="AH53" s="942"/>
      <c r="AI53" s="942">
        <v>10814</v>
      </c>
      <c r="AJ53" s="942"/>
      <c r="AK53" s="942">
        <v>0</v>
      </c>
      <c r="AL53" s="942"/>
      <c r="AM53" s="942">
        <v>0</v>
      </c>
      <c r="AN53" s="942"/>
      <c r="AO53" s="942">
        <v>0</v>
      </c>
      <c r="AP53" s="942"/>
      <c r="AQ53" s="942">
        <v>0</v>
      </c>
      <c r="AR53" s="942"/>
      <c r="AS53" s="942">
        <v>0</v>
      </c>
      <c r="AT53" s="942"/>
      <c r="AU53" s="942">
        <v>0</v>
      </c>
      <c r="AV53" s="942"/>
      <c r="AW53" s="942">
        <v>0</v>
      </c>
      <c r="AX53" s="942"/>
      <c r="AY53" s="942">
        <v>0</v>
      </c>
      <c r="AZ53" s="942"/>
      <c r="BA53" s="942">
        <v>0</v>
      </c>
      <c r="BB53" s="942"/>
      <c r="BC53" s="942">
        <f>+Y53+AA53</f>
        <v>78634</v>
      </c>
      <c r="BD53" s="942"/>
      <c r="BE53" s="218"/>
      <c r="BF53" s="665">
        <f>U53</f>
        <v>0</v>
      </c>
      <c r="BG53" s="665">
        <f>V53</f>
        <v>0</v>
      </c>
      <c r="BH53" s="513"/>
      <c r="BI53" s="407"/>
      <c r="BJ53" s="36"/>
      <c r="BK53" s="48">
        <v>43864</v>
      </c>
      <c r="BL53" s="48"/>
      <c r="BM53" s="48">
        <v>43984</v>
      </c>
      <c r="BN53" s="48"/>
      <c r="BO53" s="414" t="s">
        <v>1023</v>
      </c>
    </row>
    <row r="54" spans="1:67" s="4" customFormat="1" ht="21" customHeight="1" x14ac:dyDescent="0.2">
      <c r="A54" s="1547"/>
      <c r="B54" s="1548"/>
      <c r="C54" s="1549"/>
      <c r="D54" s="636">
        <v>24</v>
      </c>
      <c r="E54" s="991" t="s">
        <v>1155</v>
      </c>
      <c r="F54" s="520"/>
      <c r="G54" s="521"/>
      <c r="H54" s="52"/>
      <c r="I54" s="52"/>
      <c r="J54" s="992"/>
      <c r="K54" s="521"/>
      <c r="L54" s="50"/>
      <c r="M54" s="992"/>
      <c r="N54" s="52"/>
      <c r="O54" s="993"/>
      <c r="P54" s="524"/>
      <c r="Q54" s="52"/>
      <c r="R54" s="52"/>
      <c r="S54" s="52"/>
      <c r="T54" s="526"/>
      <c r="U54" s="526"/>
      <c r="V54" s="526"/>
      <c r="W54" s="527"/>
      <c r="X54" s="52"/>
      <c r="Y54" s="527"/>
      <c r="Z54" s="527"/>
      <c r="AA54" s="527"/>
      <c r="AB54" s="527"/>
      <c r="AC54" s="527"/>
      <c r="AD54" s="527"/>
      <c r="AE54" s="527"/>
      <c r="AF54" s="527"/>
      <c r="AG54" s="527"/>
      <c r="AH54" s="527"/>
      <c r="AI54" s="527"/>
      <c r="AJ54" s="527"/>
      <c r="AK54" s="527"/>
      <c r="AL54" s="527"/>
      <c r="AM54" s="527"/>
      <c r="AN54" s="527"/>
      <c r="AO54" s="527"/>
      <c r="AP54" s="527"/>
      <c r="AQ54" s="527"/>
      <c r="AR54" s="527"/>
      <c r="AS54" s="527"/>
      <c r="AT54" s="527"/>
      <c r="AU54" s="527"/>
      <c r="AV54" s="527"/>
      <c r="AW54" s="527"/>
      <c r="AX54" s="527"/>
      <c r="AY54" s="527"/>
      <c r="AZ54" s="527"/>
      <c r="BA54" s="527"/>
      <c r="BB54" s="527"/>
      <c r="BC54" s="527"/>
      <c r="BD54" s="527"/>
      <c r="BE54" s="527"/>
      <c r="BF54" s="527"/>
      <c r="BG54" s="527"/>
      <c r="BH54" s="527"/>
      <c r="BI54" s="527"/>
      <c r="BJ54" s="527"/>
      <c r="BK54" s="529"/>
      <c r="BL54" s="529"/>
      <c r="BM54" s="530"/>
      <c r="BN54" s="530"/>
      <c r="BO54" s="52"/>
    </row>
    <row r="55" spans="1:67" s="4" customFormat="1" ht="91.5" customHeight="1" x14ac:dyDescent="0.2">
      <c r="A55" s="615"/>
      <c r="B55" s="616"/>
      <c r="C55" s="622"/>
      <c r="D55" s="618"/>
      <c r="E55" s="618"/>
      <c r="F55" s="619"/>
      <c r="G55" s="984">
        <v>3206014</v>
      </c>
      <c r="H55" s="939" t="s">
        <v>1156</v>
      </c>
      <c r="I55" s="937" t="s">
        <v>1157</v>
      </c>
      <c r="J55" s="92">
        <v>50</v>
      </c>
      <c r="K55" s="114"/>
      <c r="L55" s="34" t="s">
        <v>1158</v>
      </c>
      <c r="M55" s="938" t="s">
        <v>1159</v>
      </c>
      <c r="N55" s="939" t="s">
        <v>1160</v>
      </c>
      <c r="O55" s="285">
        <f>+T55/P55</f>
        <v>1</v>
      </c>
      <c r="P55" s="510">
        <v>20000000</v>
      </c>
      <c r="Q55" s="941" t="s">
        <v>1161</v>
      </c>
      <c r="R55" s="941" t="s">
        <v>1162</v>
      </c>
      <c r="S55" s="939" t="s">
        <v>1156</v>
      </c>
      <c r="T55" s="940">
        <v>20000000</v>
      </c>
      <c r="U55" s="940"/>
      <c r="V55" s="940"/>
      <c r="W55" s="110">
        <v>88</v>
      </c>
      <c r="X55" s="40" t="s">
        <v>527</v>
      </c>
      <c r="Y55" s="217">
        <v>295972</v>
      </c>
      <c r="Z55" s="217"/>
      <c r="AA55" s="217">
        <v>285580</v>
      </c>
      <c r="AB55" s="217"/>
      <c r="AC55" s="217">
        <v>135545</v>
      </c>
      <c r="AD55" s="217"/>
      <c r="AE55" s="217">
        <v>44254</v>
      </c>
      <c r="AF55" s="217"/>
      <c r="AG55" s="217">
        <v>309146</v>
      </c>
      <c r="AH55" s="217"/>
      <c r="AI55" s="942">
        <v>92607</v>
      </c>
      <c r="AJ55" s="217"/>
      <c r="AK55" s="217">
        <v>2145</v>
      </c>
      <c r="AL55" s="217"/>
      <c r="AM55" s="217">
        <v>12718</v>
      </c>
      <c r="AN55" s="217"/>
      <c r="AO55" s="217">
        <v>26</v>
      </c>
      <c r="AP55" s="217"/>
      <c r="AQ55" s="217">
        <v>37</v>
      </c>
      <c r="AR55" s="217"/>
      <c r="AS55" s="217"/>
      <c r="AT55" s="217"/>
      <c r="AU55" s="217"/>
      <c r="AV55" s="217"/>
      <c r="AW55" s="217">
        <v>44350</v>
      </c>
      <c r="AX55" s="217"/>
      <c r="AY55" s="217">
        <v>21944</v>
      </c>
      <c r="AZ55" s="217"/>
      <c r="BA55" s="217">
        <v>75687</v>
      </c>
      <c r="BB55" s="217"/>
      <c r="BC55" s="217">
        <v>581552</v>
      </c>
      <c r="BD55" s="217"/>
      <c r="BE55" s="217"/>
      <c r="BF55" s="217"/>
      <c r="BG55" s="217"/>
      <c r="BH55" s="217"/>
      <c r="BI55" s="217"/>
      <c r="BJ55" s="217"/>
      <c r="BK55" s="48">
        <v>44033</v>
      </c>
      <c r="BL55" s="48"/>
      <c r="BM55" s="48">
        <v>44195</v>
      </c>
      <c r="BN55" s="48"/>
      <c r="BO55" s="414" t="s">
        <v>1023</v>
      </c>
    </row>
    <row r="56" spans="1:67" s="221" customFormat="1" ht="25.5" customHeight="1" x14ac:dyDescent="0.2">
      <c r="A56" s="208"/>
      <c r="B56" s="538"/>
      <c r="C56" s="539"/>
      <c r="D56" s="210"/>
      <c r="E56" s="210"/>
      <c r="F56" s="211"/>
      <c r="G56" s="211"/>
      <c r="H56" s="941"/>
      <c r="I56" s="941"/>
      <c r="J56" s="212"/>
      <c r="K56" s="212"/>
      <c r="L56" s="36"/>
      <c r="M56" s="218"/>
      <c r="N56" s="941"/>
      <c r="O56" s="215"/>
      <c r="P56" s="216">
        <f>SUM(P12:P55)</f>
        <v>2852390196.25</v>
      </c>
      <c r="Q56" s="941"/>
      <c r="R56" s="941"/>
      <c r="S56" s="941"/>
      <c r="T56" s="216">
        <f>SUM(T12:T55)</f>
        <v>2852390196.25</v>
      </c>
      <c r="U56" s="216">
        <f>SUM(U12:U55)</f>
        <v>346616664</v>
      </c>
      <c r="V56" s="216">
        <f>SUM(V12:V55)</f>
        <v>295466664</v>
      </c>
      <c r="W56" s="217"/>
      <c r="X56" s="218"/>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214"/>
      <c r="BE56" s="214"/>
      <c r="BF56" s="216">
        <f>SUM(BF12:BF55)</f>
        <v>346616664</v>
      </c>
      <c r="BG56" s="216">
        <f t="shared" ref="BG56" si="2">SUM(BG12:BG55)</f>
        <v>295466664</v>
      </c>
      <c r="BH56" s="1021">
        <f>BG56/BF56</f>
        <v>0.8524306378991634</v>
      </c>
      <c r="BI56" s="214"/>
      <c r="BJ56" s="214"/>
      <c r="BK56" s="48"/>
      <c r="BL56" s="48"/>
      <c r="BM56" s="220"/>
      <c r="BN56" s="220"/>
      <c r="BO56" s="118"/>
    </row>
    <row r="57" spans="1:67" ht="15" x14ac:dyDescent="0.2">
      <c r="P57" s="649"/>
      <c r="Q57" s="489"/>
      <c r="R57" s="489"/>
      <c r="S57" s="489"/>
      <c r="T57" s="1022"/>
      <c r="U57" s="1022"/>
      <c r="V57" s="1022"/>
    </row>
    <row r="58" spans="1:67" ht="14.25" x14ac:dyDescent="0.2">
      <c r="P58" s="1023"/>
    </row>
    <row r="59" spans="1:67" ht="27" customHeight="1" x14ac:dyDescent="0.2">
      <c r="B59" s="236"/>
      <c r="C59" s="236"/>
      <c r="D59" s="236"/>
      <c r="E59" s="236"/>
      <c r="F59" s="236"/>
      <c r="G59" s="236"/>
    </row>
    <row r="60" spans="1:67" ht="27" customHeight="1" x14ac:dyDescent="0.25">
      <c r="B60" s="1370" t="s">
        <v>1163</v>
      </c>
      <c r="C60" s="1370"/>
      <c r="D60" s="1370"/>
      <c r="E60" s="1370"/>
      <c r="F60" s="1370"/>
      <c r="Q60" s="1024"/>
      <c r="R60" s="1025"/>
      <c r="S60" s="1025"/>
      <c r="T60" s="1025"/>
    </row>
    <row r="61" spans="1:67" ht="43.5" customHeight="1" x14ac:dyDescent="0.25">
      <c r="B61" s="1371" t="s">
        <v>1164</v>
      </c>
      <c r="C61" s="1371"/>
      <c r="D61" s="1371"/>
      <c r="E61" s="1371"/>
      <c r="F61" s="1371"/>
      <c r="Q61" s="1024"/>
      <c r="R61" s="1025"/>
      <c r="S61" s="1025"/>
      <c r="T61" s="1025"/>
      <c r="U61" s="238"/>
      <c r="V61" s="238"/>
    </row>
    <row r="62" spans="1:67" ht="27" customHeight="1" x14ac:dyDescent="0.25">
      <c r="B62" s="145"/>
      <c r="C62" s="224"/>
      <c r="D62" s="225"/>
      <c r="E62" s="226"/>
      <c r="F62" s="227"/>
      <c r="P62" s="234"/>
      <c r="Q62" s="1024"/>
      <c r="R62" s="1025"/>
      <c r="S62" s="1025"/>
      <c r="T62" s="1025"/>
    </row>
    <row r="63" spans="1:67" ht="27" customHeight="1" x14ac:dyDescent="0.25">
      <c r="Q63" s="1024"/>
      <c r="R63" s="1025"/>
      <c r="S63" s="1025"/>
      <c r="T63" s="1025"/>
    </row>
    <row r="64" spans="1:67" ht="27" customHeight="1" x14ac:dyDescent="0.25">
      <c r="Q64" s="1024"/>
      <c r="R64" s="1025"/>
      <c r="S64" s="1025"/>
      <c r="T64" s="1025"/>
    </row>
    <row r="65" spans="17:20" ht="27" customHeight="1" x14ac:dyDescent="0.25">
      <c r="Q65" s="1024"/>
      <c r="R65" s="1025"/>
      <c r="S65" s="1025"/>
      <c r="T65" s="1025"/>
    </row>
    <row r="66" spans="17:20" ht="27" customHeight="1" x14ac:dyDescent="0.25">
      <c r="Q66" s="1024"/>
      <c r="R66" s="1025"/>
      <c r="S66" s="1025"/>
      <c r="T66" s="1025"/>
    </row>
  </sheetData>
  <sheetProtection password="A60F" sheet="1" objects="1" scenarios="1"/>
  <autoFilter ref="M1:M66"/>
  <mergeCells count="486">
    <mergeCell ref="A1:BM4"/>
    <mergeCell ref="A5:J6"/>
    <mergeCell ref="L5:BO5"/>
    <mergeCell ref="Y6:BD6"/>
    <mergeCell ref="A7:A9"/>
    <mergeCell ref="B7:C9"/>
    <mergeCell ref="D7:D9"/>
    <mergeCell ref="E7:F9"/>
    <mergeCell ref="G7:G9"/>
    <mergeCell ref="H7:H9"/>
    <mergeCell ref="P7:P9"/>
    <mergeCell ref="Q7:Q9"/>
    <mergeCell ref="R7:R9"/>
    <mergeCell ref="S7:S9"/>
    <mergeCell ref="T7:T9"/>
    <mergeCell ref="U7:U9"/>
    <mergeCell ref="I7:I9"/>
    <mergeCell ref="J7:K8"/>
    <mergeCell ref="L7:L9"/>
    <mergeCell ref="M7:M9"/>
    <mergeCell ref="N7:N9"/>
    <mergeCell ref="O7:O9"/>
    <mergeCell ref="BO7:BO9"/>
    <mergeCell ref="BF8:BF9"/>
    <mergeCell ref="BG8:BG9"/>
    <mergeCell ref="BH8:BH9"/>
    <mergeCell ref="BI8:BI9"/>
    <mergeCell ref="V7:V9"/>
    <mergeCell ref="W7:W9"/>
    <mergeCell ref="X7:X9"/>
    <mergeCell ref="Y7:AB7"/>
    <mergeCell ref="AC7:AJ7"/>
    <mergeCell ref="AK7:AV7"/>
    <mergeCell ref="Y8:Z8"/>
    <mergeCell ref="AA8:AB8"/>
    <mergeCell ref="AC8:AD8"/>
    <mergeCell ref="AE8:AF8"/>
    <mergeCell ref="AK8:AL8"/>
    <mergeCell ref="AM8:AN8"/>
    <mergeCell ref="AO8:AP8"/>
    <mergeCell ref="AQ8:AR8"/>
    <mergeCell ref="AW7:BB7"/>
    <mergeCell ref="BC7:BD8"/>
    <mergeCell ref="BE7:BJ7"/>
    <mergeCell ref="BK7:BL8"/>
    <mergeCell ref="BM7:BN8"/>
    <mergeCell ref="X12:X14"/>
    <mergeCell ref="Y12:Y14"/>
    <mergeCell ref="Z12:Z14"/>
    <mergeCell ref="AA12:AA14"/>
    <mergeCell ref="AB12:AB14"/>
    <mergeCell ref="AC12:AC14"/>
    <mergeCell ref="BJ8:BJ9"/>
    <mergeCell ref="AS8:AT8"/>
    <mergeCell ref="AU8:AV8"/>
    <mergeCell ref="AW8:AX8"/>
    <mergeCell ref="AY8:AZ8"/>
    <mergeCell ref="BA8:BB8"/>
    <mergeCell ref="BE8:BE9"/>
    <mergeCell ref="AG8:AH8"/>
    <mergeCell ref="AI8:AJ8"/>
    <mergeCell ref="AJ12:AJ14"/>
    <mergeCell ref="AK12:AK14"/>
    <mergeCell ref="AL12:AL14"/>
    <mergeCell ref="AM12:AM14"/>
    <mergeCell ref="AN12:AN14"/>
    <mergeCell ref="AO12:AO14"/>
    <mergeCell ref="AD12:AD14"/>
    <mergeCell ref="A11:C11"/>
    <mergeCell ref="E11:M11"/>
    <mergeCell ref="L12:L14"/>
    <mergeCell ref="M12:M14"/>
    <mergeCell ref="N12:N14"/>
    <mergeCell ref="P12:P14"/>
    <mergeCell ref="Q12:Q14"/>
    <mergeCell ref="R12:R14"/>
    <mergeCell ref="W12:W14"/>
    <mergeCell ref="AE12:AE14"/>
    <mergeCell ref="AF12:AF14"/>
    <mergeCell ref="AG12:AG14"/>
    <mergeCell ref="AH12:AH14"/>
    <mergeCell ref="AI12:AI14"/>
    <mergeCell ref="AX12:AX14"/>
    <mergeCell ref="AY12:AY14"/>
    <mergeCell ref="AZ12:AZ14"/>
    <mergeCell ref="BA12:BA14"/>
    <mergeCell ref="AP12:AP14"/>
    <mergeCell ref="AQ12:AQ14"/>
    <mergeCell ref="AR12:AR14"/>
    <mergeCell ref="AS12:AS14"/>
    <mergeCell ref="AT12:AT14"/>
    <mergeCell ref="AU12:AU14"/>
    <mergeCell ref="BN12:BN14"/>
    <mergeCell ref="BO12:BO14"/>
    <mergeCell ref="G16:G17"/>
    <mergeCell ref="H16:H17"/>
    <mergeCell ref="L16:L17"/>
    <mergeCell ref="M16:M17"/>
    <mergeCell ref="N16:N17"/>
    <mergeCell ref="O16:O17"/>
    <mergeCell ref="P16:P17"/>
    <mergeCell ref="Q16:Q17"/>
    <mergeCell ref="BH12:BH14"/>
    <mergeCell ref="BI12:BI14"/>
    <mergeCell ref="BJ12:BJ14"/>
    <mergeCell ref="BK12:BK14"/>
    <mergeCell ref="BL12:BL14"/>
    <mergeCell ref="BM12:BM14"/>
    <mergeCell ref="BB12:BB14"/>
    <mergeCell ref="BC12:BC14"/>
    <mergeCell ref="BD12:BD14"/>
    <mergeCell ref="BE12:BE14"/>
    <mergeCell ref="BF12:BF14"/>
    <mergeCell ref="BG12:BG14"/>
    <mergeCell ref="AV12:AV14"/>
    <mergeCell ref="AW12:AW14"/>
    <mergeCell ref="X16:X17"/>
    <mergeCell ref="Y16:Y17"/>
    <mergeCell ref="Z16:Z17"/>
    <mergeCell ref="AA16:AA17"/>
    <mergeCell ref="AB16:AB17"/>
    <mergeCell ref="AC16:AC17"/>
    <mergeCell ref="R16:R17"/>
    <mergeCell ref="S16:S17"/>
    <mergeCell ref="T16:T17"/>
    <mergeCell ref="U16:U17"/>
    <mergeCell ref="V16:V17"/>
    <mergeCell ref="W16:W17"/>
    <mergeCell ref="AJ16:AJ17"/>
    <mergeCell ref="AK16:AK17"/>
    <mergeCell ref="AL16:AL17"/>
    <mergeCell ref="AM16:AM17"/>
    <mergeCell ref="AN16:AN17"/>
    <mergeCell ref="AO16:AO17"/>
    <mergeCell ref="AD16:AD17"/>
    <mergeCell ref="AE16:AE17"/>
    <mergeCell ref="AF16:AF17"/>
    <mergeCell ref="AG16:AG17"/>
    <mergeCell ref="AH16:AH17"/>
    <mergeCell ref="AI16:AI17"/>
    <mergeCell ref="AX16:AX17"/>
    <mergeCell ref="AY16:AY17"/>
    <mergeCell ref="AZ16:AZ17"/>
    <mergeCell ref="BA16:BA17"/>
    <mergeCell ref="AP16:AP17"/>
    <mergeCell ref="AQ16:AQ17"/>
    <mergeCell ref="AR16:AR17"/>
    <mergeCell ref="AS16:AS17"/>
    <mergeCell ref="AT16:AT17"/>
    <mergeCell ref="AU16:AU17"/>
    <mergeCell ref="BN16:BN17"/>
    <mergeCell ref="BO16:BO17"/>
    <mergeCell ref="L18:L19"/>
    <mergeCell ref="M18:M19"/>
    <mergeCell ref="N18:N19"/>
    <mergeCell ref="P18:P19"/>
    <mergeCell ref="Q18:Q19"/>
    <mergeCell ref="R18:R19"/>
    <mergeCell ref="W18:W19"/>
    <mergeCell ref="X18:X19"/>
    <mergeCell ref="BH16:BH17"/>
    <mergeCell ref="BI16:BI17"/>
    <mergeCell ref="BJ16:BJ17"/>
    <mergeCell ref="BK16:BK17"/>
    <mergeCell ref="BL16:BL17"/>
    <mergeCell ref="BM16:BM17"/>
    <mergeCell ref="BB16:BB17"/>
    <mergeCell ref="BC16:BC17"/>
    <mergeCell ref="BD16:BD17"/>
    <mergeCell ref="BE16:BE17"/>
    <mergeCell ref="BF16:BF17"/>
    <mergeCell ref="BG16:BG17"/>
    <mergeCell ref="AV16:AV17"/>
    <mergeCell ref="AW16:AW17"/>
    <mergeCell ref="AE18:AE19"/>
    <mergeCell ref="AF18:AF19"/>
    <mergeCell ref="AG18:AG19"/>
    <mergeCell ref="AH18:AH19"/>
    <mergeCell ref="AI18:AI19"/>
    <mergeCell ref="AJ18:AJ19"/>
    <mergeCell ref="Y18:Y19"/>
    <mergeCell ref="Z18:Z19"/>
    <mergeCell ref="AA18:AA19"/>
    <mergeCell ref="AB18:AB19"/>
    <mergeCell ref="AC18:AC19"/>
    <mergeCell ref="AD18:AD19"/>
    <mergeCell ref="AQ18:AQ19"/>
    <mergeCell ref="AR18:AR19"/>
    <mergeCell ref="AS18:AS19"/>
    <mergeCell ref="AT18:AT19"/>
    <mergeCell ref="AU18:AU19"/>
    <mergeCell ref="AV18:AV19"/>
    <mergeCell ref="AK18:AK19"/>
    <mergeCell ref="AL18:AL19"/>
    <mergeCell ref="AM18:AM19"/>
    <mergeCell ref="AN18:AN19"/>
    <mergeCell ref="AO18:AO19"/>
    <mergeCell ref="AP18:AP19"/>
    <mergeCell ref="BE18:BE19"/>
    <mergeCell ref="BF18:BF19"/>
    <mergeCell ref="BG18:BG19"/>
    <mergeCell ref="BH18:BH19"/>
    <mergeCell ref="AW18:AW19"/>
    <mergeCell ref="AX18:AX19"/>
    <mergeCell ref="AY18:AY19"/>
    <mergeCell ref="AZ18:AZ19"/>
    <mergeCell ref="BA18:BA19"/>
    <mergeCell ref="BB18:BB19"/>
    <mergeCell ref="Z20:Z22"/>
    <mergeCell ref="AA20:AA22"/>
    <mergeCell ref="AB20:AB22"/>
    <mergeCell ref="AC20:AC22"/>
    <mergeCell ref="AD20:AD22"/>
    <mergeCell ref="AE20:AE22"/>
    <mergeCell ref="BO18:BO19"/>
    <mergeCell ref="L20:L22"/>
    <mergeCell ref="M20:M22"/>
    <mergeCell ref="N20:N22"/>
    <mergeCell ref="P20:P22"/>
    <mergeCell ref="Q20:Q22"/>
    <mergeCell ref="R20:R22"/>
    <mergeCell ref="W20:W22"/>
    <mergeCell ref="X20:X22"/>
    <mergeCell ref="Y20:Y22"/>
    <mergeCell ref="BI18:BI19"/>
    <mergeCell ref="BJ18:BJ19"/>
    <mergeCell ref="BK18:BK19"/>
    <mergeCell ref="BL18:BL19"/>
    <mergeCell ref="BM18:BM19"/>
    <mergeCell ref="BN18:BN19"/>
    <mergeCell ref="BC18:BC19"/>
    <mergeCell ref="BD18:BD19"/>
    <mergeCell ref="AL20:AL22"/>
    <mergeCell ref="AM20:AM22"/>
    <mergeCell ref="AN20:AN22"/>
    <mergeCell ref="AO20:AO22"/>
    <mergeCell ref="AP20:AP22"/>
    <mergeCell ref="AQ20:AQ22"/>
    <mergeCell ref="AF20:AF22"/>
    <mergeCell ref="AG20:AG22"/>
    <mergeCell ref="AH20:AH22"/>
    <mergeCell ref="AI20:AI22"/>
    <mergeCell ref="AJ20:AJ22"/>
    <mergeCell ref="AK20:AK22"/>
    <mergeCell ref="AX20:AX22"/>
    <mergeCell ref="AY20:AY22"/>
    <mergeCell ref="AZ20:AZ22"/>
    <mergeCell ref="BA20:BA22"/>
    <mergeCell ref="BB20:BB22"/>
    <mergeCell ref="BC20:BC22"/>
    <mergeCell ref="AR20:AR22"/>
    <mergeCell ref="AS20:AS22"/>
    <mergeCell ref="AT20:AT22"/>
    <mergeCell ref="AU20:AU22"/>
    <mergeCell ref="AV20:AV22"/>
    <mergeCell ref="AW20:AW22"/>
    <mergeCell ref="BJ20:BJ22"/>
    <mergeCell ref="BK20:BK22"/>
    <mergeCell ref="BL20:BL22"/>
    <mergeCell ref="BM20:BM22"/>
    <mergeCell ref="BN20:BN22"/>
    <mergeCell ref="BO20:BO22"/>
    <mergeCell ref="BD20:BD22"/>
    <mergeCell ref="BE20:BE22"/>
    <mergeCell ref="BF20:BF22"/>
    <mergeCell ref="BG20:BG22"/>
    <mergeCell ref="BH20:BH22"/>
    <mergeCell ref="BI20:BI22"/>
    <mergeCell ref="Q27:Q28"/>
    <mergeCell ref="R27:R28"/>
    <mergeCell ref="W27:W28"/>
    <mergeCell ref="X27:X28"/>
    <mergeCell ref="Y27:Y28"/>
    <mergeCell ref="Z27:Z28"/>
    <mergeCell ref="A24:C24"/>
    <mergeCell ref="A26:C26"/>
    <mergeCell ref="L27:L28"/>
    <mergeCell ref="M27:M28"/>
    <mergeCell ref="N27:N28"/>
    <mergeCell ref="P27:P28"/>
    <mergeCell ref="BN27:BN28"/>
    <mergeCell ref="BO27:BO28"/>
    <mergeCell ref="A29:C29"/>
    <mergeCell ref="BE27:BE28"/>
    <mergeCell ref="BF27:BF28"/>
    <mergeCell ref="BG27:BG28"/>
    <mergeCell ref="BH27:BH28"/>
    <mergeCell ref="BI27:BI28"/>
    <mergeCell ref="BJ27:BJ28"/>
    <mergeCell ref="AY27:AY28"/>
    <mergeCell ref="AZ27:AZ28"/>
    <mergeCell ref="BA27:BA28"/>
    <mergeCell ref="BB27:BB28"/>
    <mergeCell ref="BC27:BC28"/>
    <mergeCell ref="BD27:BD28"/>
    <mergeCell ref="AS27:AS28"/>
    <mergeCell ref="AT27:AT28"/>
    <mergeCell ref="AU27:AU28"/>
    <mergeCell ref="AV27:AV28"/>
    <mergeCell ref="AW27:AW28"/>
    <mergeCell ref="AX27:AX28"/>
    <mergeCell ref="AM27:AM28"/>
    <mergeCell ref="AN27:AN28"/>
    <mergeCell ref="AO27:AO28"/>
    <mergeCell ref="A31:C31"/>
    <mergeCell ref="A33:C33"/>
    <mergeCell ref="A35:C35"/>
    <mergeCell ref="L36:L37"/>
    <mergeCell ref="M36:M37"/>
    <mergeCell ref="N36:N37"/>
    <mergeCell ref="BK27:BK28"/>
    <mergeCell ref="BL27:BL28"/>
    <mergeCell ref="BM27:BM28"/>
    <mergeCell ref="AP27:AP28"/>
    <mergeCell ref="AQ27:AQ28"/>
    <mergeCell ref="AR27:AR28"/>
    <mergeCell ref="AG27:AG28"/>
    <mergeCell ref="AH27:AH28"/>
    <mergeCell ref="AI27:AI28"/>
    <mergeCell ref="AJ27:AJ28"/>
    <mergeCell ref="AK27:AK28"/>
    <mergeCell ref="AL27:AL28"/>
    <mergeCell ref="AA27:AA28"/>
    <mergeCell ref="AB27:AB28"/>
    <mergeCell ref="AC27:AC28"/>
    <mergeCell ref="AD27:AD28"/>
    <mergeCell ref="AE27:AE28"/>
    <mergeCell ref="AF27:AF28"/>
    <mergeCell ref="Z36:Z37"/>
    <mergeCell ref="AA36:AA37"/>
    <mergeCell ref="AB36:AB37"/>
    <mergeCell ref="AC36:AC37"/>
    <mergeCell ref="AD36:AD37"/>
    <mergeCell ref="AE36:AE37"/>
    <mergeCell ref="P36:P37"/>
    <mergeCell ref="Q36:Q37"/>
    <mergeCell ref="R36:R37"/>
    <mergeCell ref="W36:W37"/>
    <mergeCell ref="X36:X37"/>
    <mergeCell ref="Y36:Y37"/>
    <mergeCell ref="AL36:AL37"/>
    <mergeCell ref="AM36:AM37"/>
    <mergeCell ref="AN36:AN37"/>
    <mergeCell ref="AO36:AO37"/>
    <mergeCell ref="AP36:AP37"/>
    <mergeCell ref="AQ36:AQ37"/>
    <mergeCell ref="AF36:AF37"/>
    <mergeCell ref="AG36:AG37"/>
    <mergeCell ref="AH36:AH37"/>
    <mergeCell ref="AI36:AI37"/>
    <mergeCell ref="AJ36:AJ37"/>
    <mergeCell ref="AK36:AK37"/>
    <mergeCell ref="AX36:AX37"/>
    <mergeCell ref="AY36:AY37"/>
    <mergeCell ref="AZ36:AZ37"/>
    <mergeCell ref="BA36:BA37"/>
    <mergeCell ref="BB36:BB37"/>
    <mergeCell ref="BC36:BC37"/>
    <mergeCell ref="AR36:AR37"/>
    <mergeCell ref="AS36:AS37"/>
    <mergeCell ref="AT36:AT37"/>
    <mergeCell ref="AU36:AU37"/>
    <mergeCell ref="AV36:AV37"/>
    <mergeCell ref="AW36:AW37"/>
    <mergeCell ref="BJ36:BJ37"/>
    <mergeCell ref="BK36:BK37"/>
    <mergeCell ref="BL36:BL37"/>
    <mergeCell ref="BM36:BM37"/>
    <mergeCell ref="BN36:BN37"/>
    <mergeCell ref="BO36:BO37"/>
    <mergeCell ref="BD36:BD37"/>
    <mergeCell ref="BE36:BE37"/>
    <mergeCell ref="BF36:BF37"/>
    <mergeCell ref="BG36:BG37"/>
    <mergeCell ref="BH36:BH37"/>
    <mergeCell ref="BI36:BI37"/>
    <mergeCell ref="R39:R40"/>
    <mergeCell ref="W39:W40"/>
    <mergeCell ref="X39:X40"/>
    <mergeCell ref="Y39:Y40"/>
    <mergeCell ref="Z39:Z40"/>
    <mergeCell ref="AA39:AA40"/>
    <mergeCell ref="A38:C38"/>
    <mergeCell ref="L39:L40"/>
    <mergeCell ref="M39:M40"/>
    <mergeCell ref="N39:N40"/>
    <mergeCell ref="P39:P40"/>
    <mergeCell ref="Q39:Q40"/>
    <mergeCell ref="BO39:BO40"/>
    <mergeCell ref="A42:C42"/>
    <mergeCell ref="A44:C44"/>
    <mergeCell ref="BF39:BF40"/>
    <mergeCell ref="BG39:BG40"/>
    <mergeCell ref="BH39:BH40"/>
    <mergeCell ref="BI39:BI40"/>
    <mergeCell ref="BJ39:BJ40"/>
    <mergeCell ref="BK39:BK40"/>
    <mergeCell ref="AZ39:AZ40"/>
    <mergeCell ref="BA39:BA40"/>
    <mergeCell ref="BB39:BB40"/>
    <mergeCell ref="BC39:BC40"/>
    <mergeCell ref="BD39:BD40"/>
    <mergeCell ref="BE39:BE40"/>
    <mergeCell ref="AT39:AT40"/>
    <mergeCell ref="AU39:AU40"/>
    <mergeCell ref="AV39:AV40"/>
    <mergeCell ref="AW39:AW40"/>
    <mergeCell ref="AX39:AX40"/>
    <mergeCell ref="AY39:AY40"/>
    <mergeCell ref="AN39:AN40"/>
    <mergeCell ref="AO39:AO40"/>
    <mergeCell ref="AP39:AP40"/>
    <mergeCell ref="L46:L47"/>
    <mergeCell ref="M46:M47"/>
    <mergeCell ref="N46:N47"/>
    <mergeCell ref="P46:P47"/>
    <mergeCell ref="Q46:Q47"/>
    <mergeCell ref="R46:R47"/>
    <mergeCell ref="BL39:BL40"/>
    <mergeCell ref="BM39:BM40"/>
    <mergeCell ref="BN39:BN40"/>
    <mergeCell ref="AQ39:AQ40"/>
    <mergeCell ref="AR39:AR40"/>
    <mergeCell ref="AS39:AS40"/>
    <mergeCell ref="AH39:AH40"/>
    <mergeCell ref="AI39:AI40"/>
    <mergeCell ref="AJ39:AJ40"/>
    <mergeCell ref="AK39:AK40"/>
    <mergeCell ref="AL39:AL40"/>
    <mergeCell ref="AM39:AM40"/>
    <mergeCell ref="AB39:AB40"/>
    <mergeCell ref="AC39:AC40"/>
    <mergeCell ref="AD39:AD40"/>
    <mergeCell ref="AE39:AE40"/>
    <mergeCell ref="AF39:AF40"/>
    <mergeCell ref="AG39:AG40"/>
    <mergeCell ref="AC46:AC47"/>
    <mergeCell ref="AD46:AD47"/>
    <mergeCell ref="AE46:AE47"/>
    <mergeCell ref="AF46:AF47"/>
    <mergeCell ref="AG46:AG47"/>
    <mergeCell ref="AH46:AH47"/>
    <mergeCell ref="W46:W47"/>
    <mergeCell ref="X46:X47"/>
    <mergeCell ref="Y46:Y47"/>
    <mergeCell ref="Z46:Z47"/>
    <mergeCell ref="AA46:AA47"/>
    <mergeCell ref="AB46:AB47"/>
    <mergeCell ref="AY46:AY47"/>
    <mergeCell ref="AZ46:AZ47"/>
    <mergeCell ref="AO46:AO47"/>
    <mergeCell ref="AP46:AP47"/>
    <mergeCell ref="AQ46:AQ47"/>
    <mergeCell ref="AR46:AR47"/>
    <mergeCell ref="AS46:AS47"/>
    <mergeCell ref="AT46:AT47"/>
    <mergeCell ref="AI46:AI47"/>
    <mergeCell ref="AJ46:AJ47"/>
    <mergeCell ref="AK46:AK47"/>
    <mergeCell ref="AL46:AL47"/>
    <mergeCell ref="AM46:AM47"/>
    <mergeCell ref="AN46:AN47"/>
    <mergeCell ref="B60:F60"/>
    <mergeCell ref="B61:F61"/>
    <mergeCell ref="BM46:BM47"/>
    <mergeCell ref="BN46:BN47"/>
    <mergeCell ref="BO46:BO47"/>
    <mergeCell ref="A50:C50"/>
    <mergeCell ref="A52:C52"/>
    <mergeCell ref="A54:C54"/>
    <mergeCell ref="BG46:BG47"/>
    <mergeCell ref="BH46:BH47"/>
    <mergeCell ref="BI46:BI47"/>
    <mergeCell ref="BJ46:BJ47"/>
    <mergeCell ref="BK46:BK47"/>
    <mergeCell ref="BL46:BL47"/>
    <mergeCell ref="BA46:BA47"/>
    <mergeCell ref="BB46:BB47"/>
    <mergeCell ref="BC46:BC47"/>
    <mergeCell ref="BD46:BD47"/>
    <mergeCell ref="BE46:BE47"/>
    <mergeCell ref="BF46:BF47"/>
    <mergeCell ref="AU46:AU47"/>
    <mergeCell ref="AV46:AV47"/>
    <mergeCell ref="AW46:AW47"/>
    <mergeCell ref="AX46:AX4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I29"/>
  <sheetViews>
    <sheetView showGridLines="0" zoomScale="60" zoomScaleNormal="60" workbookViewId="0">
      <selection activeCell="Q12" sqref="Q12:Q15"/>
    </sheetView>
  </sheetViews>
  <sheetFormatPr baseColWidth="10" defaultColWidth="11.42578125" defaultRowHeight="27" customHeight="1" x14ac:dyDescent="0.2"/>
  <cols>
    <col min="1" max="1" width="13.140625" style="222" customWidth="1"/>
    <col min="2" max="2" width="4" style="146" customWidth="1"/>
    <col min="3" max="4" width="14.7109375" style="146" customWidth="1"/>
    <col min="5" max="5" width="10" style="146" customWidth="1"/>
    <col min="6" max="6" width="7.7109375" style="146" customWidth="1"/>
    <col min="7" max="7" width="14" style="146" customWidth="1"/>
    <col min="8" max="8" width="41.5703125" style="225" customWidth="1"/>
    <col min="9" max="9" width="41" style="145" customWidth="1"/>
    <col min="10" max="11" width="21.140625" style="145" customWidth="1"/>
    <col min="12" max="12" width="35.7109375" style="224" customWidth="1"/>
    <col min="13" max="13" width="23.7109375" style="224" customWidth="1"/>
    <col min="14" max="14" width="39.7109375" style="225" customWidth="1"/>
    <col min="15" max="15" width="15.28515625" style="226" customWidth="1"/>
    <col min="16" max="16" width="26" style="227" customWidth="1"/>
    <col min="17" max="17" width="39.140625" style="225" customWidth="1"/>
    <col min="18" max="18" width="46.140625" style="225" customWidth="1"/>
    <col min="19" max="19" width="44.28515625" style="225" customWidth="1"/>
    <col min="20" max="22" width="28.28515625" style="235" customWidth="1"/>
    <col min="23" max="23" width="17" style="229" customWidth="1"/>
    <col min="24" max="24" width="29.85546875" style="230" customWidth="1"/>
    <col min="25" max="54" width="10.42578125" style="146" customWidth="1"/>
    <col min="55" max="56" width="11.85546875" style="146" customWidth="1"/>
    <col min="57" max="57" width="14.28515625" style="146" customWidth="1"/>
    <col min="58" max="58" width="25.85546875" style="146" customWidth="1"/>
    <col min="59" max="62" width="19.7109375" style="146" customWidth="1"/>
    <col min="63" max="64" width="16.140625" style="652" customWidth="1"/>
    <col min="65" max="66" width="21.7109375" style="232" customWidth="1"/>
    <col min="67" max="67" width="27" style="233" customWidth="1"/>
    <col min="68" max="16384" width="11.42578125" style="146"/>
  </cols>
  <sheetData>
    <row r="1" spans="1:87" ht="18" customHeight="1" x14ac:dyDescent="0.2">
      <c r="A1" s="1318" t="s">
        <v>513</v>
      </c>
      <c r="B1" s="1318"/>
      <c r="C1" s="1318"/>
      <c r="D1" s="1318"/>
      <c r="E1" s="1318"/>
      <c r="F1" s="1318"/>
      <c r="G1" s="1318"/>
      <c r="H1" s="1318"/>
      <c r="I1" s="1318"/>
      <c r="J1" s="1318"/>
      <c r="K1" s="1318"/>
      <c r="L1" s="1318"/>
      <c r="M1" s="1318"/>
      <c r="N1" s="1318"/>
      <c r="O1" s="1318"/>
      <c r="P1" s="1318"/>
      <c r="Q1" s="1318"/>
      <c r="R1" s="1318"/>
      <c r="S1" s="1318"/>
      <c r="T1" s="1318"/>
      <c r="U1" s="1318"/>
      <c r="V1" s="1318"/>
      <c r="W1" s="1318"/>
      <c r="X1" s="1318"/>
      <c r="Y1" s="1318"/>
      <c r="Z1" s="1318"/>
      <c r="AA1" s="1318"/>
      <c r="AB1" s="1318"/>
      <c r="AC1" s="1318"/>
      <c r="AD1" s="1318"/>
      <c r="AE1" s="1318"/>
      <c r="AF1" s="1318"/>
      <c r="AG1" s="1318"/>
      <c r="AH1" s="1318"/>
      <c r="AI1" s="1318"/>
      <c r="AJ1" s="1318"/>
      <c r="AK1" s="1318"/>
      <c r="AL1" s="1318"/>
      <c r="AM1" s="1318"/>
      <c r="AN1" s="1318"/>
      <c r="AO1" s="1318"/>
      <c r="AP1" s="1318"/>
      <c r="AQ1" s="1318"/>
      <c r="AR1" s="1318"/>
      <c r="AS1" s="1318"/>
      <c r="AT1" s="1318"/>
      <c r="AU1" s="1318"/>
      <c r="AV1" s="1318"/>
      <c r="AW1" s="1318"/>
      <c r="AX1" s="1318"/>
      <c r="AY1" s="1318"/>
      <c r="AZ1" s="1318"/>
      <c r="BA1" s="1318"/>
      <c r="BB1" s="1318"/>
      <c r="BC1" s="1318"/>
      <c r="BD1" s="1318"/>
      <c r="BE1" s="1318"/>
      <c r="BF1" s="1318"/>
      <c r="BG1" s="1318"/>
      <c r="BH1" s="1318"/>
      <c r="BI1" s="1318"/>
      <c r="BJ1" s="1318"/>
      <c r="BK1" s="1318"/>
      <c r="BL1" s="1318"/>
      <c r="BM1" s="1319"/>
      <c r="BN1" s="144" t="s">
        <v>1</v>
      </c>
      <c r="BO1" s="144" t="s">
        <v>131</v>
      </c>
      <c r="BP1" s="145"/>
      <c r="BQ1" s="145"/>
      <c r="BR1" s="145"/>
      <c r="BS1" s="145"/>
      <c r="BT1" s="145"/>
      <c r="BU1" s="145"/>
      <c r="BV1" s="145"/>
      <c r="BW1" s="145"/>
      <c r="BX1" s="145"/>
      <c r="BY1" s="145"/>
      <c r="BZ1" s="145"/>
      <c r="CA1" s="145"/>
      <c r="CB1" s="145"/>
      <c r="CC1" s="145"/>
      <c r="CD1" s="145"/>
      <c r="CE1" s="145"/>
      <c r="CF1" s="145"/>
      <c r="CG1" s="145"/>
      <c r="CH1" s="145"/>
      <c r="CI1" s="145"/>
    </row>
    <row r="2" spans="1:87" ht="31.5" customHeight="1" x14ac:dyDescent="0.2">
      <c r="A2" s="1318"/>
      <c r="B2" s="1318"/>
      <c r="C2" s="1318"/>
      <c r="D2" s="1318"/>
      <c r="E2" s="1318"/>
      <c r="F2" s="1318"/>
      <c r="G2" s="1318"/>
      <c r="H2" s="1318"/>
      <c r="I2" s="1318"/>
      <c r="J2" s="1318"/>
      <c r="K2" s="1318"/>
      <c r="L2" s="1318"/>
      <c r="M2" s="1318"/>
      <c r="N2" s="1318"/>
      <c r="O2" s="1318"/>
      <c r="P2" s="1318"/>
      <c r="Q2" s="1318"/>
      <c r="R2" s="1318"/>
      <c r="S2" s="1318"/>
      <c r="T2" s="1318"/>
      <c r="U2" s="1318"/>
      <c r="V2" s="1318"/>
      <c r="W2" s="1318"/>
      <c r="X2" s="1318"/>
      <c r="Y2" s="1318"/>
      <c r="Z2" s="1318"/>
      <c r="AA2" s="1318"/>
      <c r="AB2" s="1318"/>
      <c r="AC2" s="1318"/>
      <c r="AD2" s="1318"/>
      <c r="AE2" s="1318"/>
      <c r="AF2" s="1318"/>
      <c r="AG2" s="1318"/>
      <c r="AH2" s="1318"/>
      <c r="AI2" s="1318"/>
      <c r="AJ2" s="1318"/>
      <c r="AK2" s="1318"/>
      <c r="AL2" s="1318"/>
      <c r="AM2" s="1318"/>
      <c r="AN2" s="1318"/>
      <c r="AO2" s="1318"/>
      <c r="AP2" s="1318"/>
      <c r="AQ2" s="1318"/>
      <c r="AR2" s="1318"/>
      <c r="AS2" s="1318"/>
      <c r="AT2" s="1318"/>
      <c r="AU2" s="1318"/>
      <c r="AV2" s="1318"/>
      <c r="AW2" s="1318"/>
      <c r="AX2" s="1318"/>
      <c r="AY2" s="1318"/>
      <c r="AZ2" s="1318"/>
      <c r="BA2" s="1318"/>
      <c r="BB2" s="1318"/>
      <c r="BC2" s="1318"/>
      <c r="BD2" s="1318"/>
      <c r="BE2" s="1318"/>
      <c r="BF2" s="1318"/>
      <c r="BG2" s="1318"/>
      <c r="BH2" s="1318"/>
      <c r="BI2" s="1318"/>
      <c r="BJ2" s="1318"/>
      <c r="BK2" s="1318"/>
      <c r="BL2" s="1318"/>
      <c r="BM2" s="1319"/>
      <c r="BN2" s="610" t="s">
        <v>3</v>
      </c>
      <c r="BO2" s="144" t="s">
        <v>4</v>
      </c>
      <c r="BP2" s="145"/>
      <c r="BQ2" s="145"/>
      <c r="BR2" s="145"/>
      <c r="BS2" s="145"/>
      <c r="BT2" s="145"/>
      <c r="BU2" s="145"/>
      <c r="BV2" s="145"/>
      <c r="BW2" s="145"/>
      <c r="BX2" s="145"/>
      <c r="BY2" s="145"/>
      <c r="BZ2" s="145"/>
      <c r="CA2" s="145"/>
      <c r="CB2" s="145"/>
      <c r="CC2" s="145"/>
      <c r="CD2" s="145"/>
      <c r="CE2" s="145"/>
      <c r="CF2" s="145"/>
      <c r="CG2" s="145"/>
      <c r="CH2" s="145"/>
      <c r="CI2" s="145"/>
    </row>
    <row r="3" spans="1:87" ht="28.5" customHeight="1" x14ac:dyDescent="0.2">
      <c r="A3" s="1318"/>
      <c r="B3" s="1318"/>
      <c r="C3" s="1318"/>
      <c r="D3" s="1318"/>
      <c r="E3" s="1318"/>
      <c r="F3" s="1318"/>
      <c r="G3" s="1318"/>
      <c r="H3" s="1318"/>
      <c r="I3" s="1318"/>
      <c r="J3" s="1318"/>
      <c r="K3" s="1318"/>
      <c r="L3" s="1318"/>
      <c r="M3" s="1318"/>
      <c r="N3" s="1318"/>
      <c r="O3" s="1318"/>
      <c r="P3" s="1318"/>
      <c r="Q3" s="1318"/>
      <c r="R3" s="1318"/>
      <c r="S3" s="1318"/>
      <c r="T3" s="1318"/>
      <c r="U3" s="1318"/>
      <c r="V3" s="1318"/>
      <c r="W3" s="1318"/>
      <c r="X3" s="1318"/>
      <c r="Y3" s="1318"/>
      <c r="Z3" s="1318"/>
      <c r="AA3" s="1318"/>
      <c r="AB3" s="1318"/>
      <c r="AC3" s="1318"/>
      <c r="AD3" s="1318"/>
      <c r="AE3" s="1318"/>
      <c r="AF3" s="1318"/>
      <c r="AG3" s="1318"/>
      <c r="AH3" s="1318"/>
      <c r="AI3" s="1318"/>
      <c r="AJ3" s="1318"/>
      <c r="AK3" s="1318"/>
      <c r="AL3" s="1318"/>
      <c r="AM3" s="1318"/>
      <c r="AN3" s="1318"/>
      <c r="AO3" s="1318"/>
      <c r="AP3" s="1318"/>
      <c r="AQ3" s="1318"/>
      <c r="AR3" s="1318"/>
      <c r="AS3" s="1318"/>
      <c r="AT3" s="1318"/>
      <c r="AU3" s="1318"/>
      <c r="AV3" s="1318"/>
      <c r="AW3" s="1318"/>
      <c r="AX3" s="1318"/>
      <c r="AY3" s="1318"/>
      <c r="AZ3" s="1318"/>
      <c r="BA3" s="1318"/>
      <c r="BB3" s="1318"/>
      <c r="BC3" s="1318"/>
      <c r="BD3" s="1318"/>
      <c r="BE3" s="1318"/>
      <c r="BF3" s="1318"/>
      <c r="BG3" s="1318"/>
      <c r="BH3" s="1318"/>
      <c r="BI3" s="1318"/>
      <c r="BJ3" s="1318"/>
      <c r="BK3" s="1318"/>
      <c r="BL3" s="1318"/>
      <c r="BM3" s="1319"/>
      <c r="BN3" s="144" t="s">
        <v>5</v>
      </c>
      <c r="BO3" s="147" t="s">
        <v>6</v>
      </c>
      <c r="BP3" s="145"/>
      <c r="BQ3" s="145"/>
      <c r="BR3" s="145"/>
      <c r="BS3" s="145"/>
      <c r="BT3" s="145"/>
      <c r="BU3" s="145"/>
      <c r="BV3" s="145"/>
      <c r="BW3" s="145"/>
      <c r="BX3" s="145"/>
      <c r="BY3" s="145"/>
      <c r="BZ3" s="145"/>
      <c r="CA3" s="145"/>
      <c r="CB3" s="145"/>
      <c r="CC3" s="145"/>
      <c r="CD3" s="145"/>
      <c r="CE3" s="145"/>
      <c r="CF3" s="145"/>
      <c r="CG3" s="145"/>
      <c r="CH3" s="145"/>
      <c r="CI3" s="145"/>
    </row>
    <row r="4" spans="1:87" ht="26.25" customHeight="1" x14ac:dyDescent="0.2">
      <c r="A4" s="1320"/>
      <c r="B4" s="1320"/>
      <c r="C4" s="1320"/>
      <c r="D4" s="1320"/>
      <c r="E4" s="1320"/>
      <c r="F4" s="1320"/>
      <c r="G4" s="1320"/>
      <c r="H4" s="1320"/>
      <c r="I4" s="1320"/>
      <c r="J4" s="1320"/>
      <c r="K4" s="1320"/>
      <c r="L4" s="1320"/>
      <c r="M4" s="1320"/>
      <c r="N4" s="1320"/>
      <c r="O4" s="1320"/>
      <c r="P4" s="1320"/>
      <c r="Q4" s="1320"/>
      <c r="R4" s="1320"/>
      <c r="S4" s="1320"/>
      <c r="T4" s="1320"/>
      <c r="U4" s="1320"/>
      <c r="V4" s="1320"/>
      <c r="W4" s="1320"/>
      <c r="X4" s="1320"/>
      <c r="Y4" s="1320"/>
      <c r="Z4" s="1320"/>
      <c r="AA4" s="1320"/>
      <c r="AB4" s="1320"/>
      <c r="AC4" s="1320"/>
      <c r="AD4" s="1320"/>
      <c r="AE4" s="1320"/>
      <c r="AF4" s="1320"/>
      <c r="AG4" s="1320"/>
      <c r="AH4" s="1320"/>
      <c r="AI4" s="1320"/>
      <c r="AJ4" s="1320"/>
      <c r="AK4" s="1320"/>
      <c r="AL4" s="1320"/>
      <c r="AM4" s="1320"/>
      <c r="AN4" s="1320"/>
      <c r="AO4" s="1320"/>
      <c r="AP4" s="1320"/>
      <c r="AQ4" s="1320"/>
      <c r="AR4" s="1320"/>
      <c r="AS4" s="1320"/>
      <c r="AT4" s="1320"/>
      <c r="AU4" s="1320"/>
      <c r="AV4" s="1320"/>
      <c r="AW4" s="1320"/>
      <c r="AX4" s="1320"/>
      <c r="AY4" s="1320"/>
      <c r="AZ4" s="1320"/>
      <c r="BA4" s="1320"/>
      <c r="BB4" s="1320"/>
      <c r="BC4" s="1320"/>
      <c r="BD4" s="1320"/>
      <c r="BE4" s="1320"/>
      <c r="BF4" s="1320"/>
      <c r="BG4" s="1320"/>
      <c r="BH4" s="1320"/>
      <c r="BI4" s="1320"/>
      <c r="BJ4" s="1320"/>
      <c r="BK4" s="1320"/>
      <c r="BL4" s="1320"/>
      <c r="BM4" s="1321"/>
      <c r="BN4" s="144" t="s">
        <v>7</v>
      </c>
      <c r="BO4" s="148" t="s">
        <v>8</v>
      </c>
      <c r="BP4" s="145"/>
      <c r="BQ4" s="145"/>
      <c r="BR4" s="145"/>
      <c r="BS4" s="145"/>
      <c r="BT4" s="145"/>
      <c r="BU4" s="145"/>
      <c r="BV4" s="145"/>
      <c r="BW4" s="145"/>
      <c r="BX4" s="145"/>
      <c r="BY4" s="145"/>
      <c r="BZ4" s="145"/>
      <c r="CA4" s="145"/>
      <c r="CB4" s="145"/>
      <c r="CC4" s="145"/>
      <c r="CD4" s="145"/>
      <c r="CE4" s="145"/>
      <c r="CF4" s="145"/>
      <c r="CG4" s="145"/>
      <c r="CH4" s="145"/>
      <c r="CI4" s="145"/>
    </row>
    <row r="5" spans="1:87" s="4" customFormat="1" ht="27" customHeight="1" x14ac:dyDescent="0.2">
      <c r="A5" s="1231" t="s">
        <v>9</v>
      </c>
      <c r="B5" s="1231"/>
      <c r="C5" s="1231"/>
      <c r="D5" s="1231"/>
      <c r="E5" s="1231"/>
      <c r="F5" s="1231"/>
      <c r="G5" s="1231"/>
      <c r="H5" s="1231"/>
      <c r="I5" s="1231"/>
      <c r="J5" s="1231"/>
      <c r="K5" s="7"/>
      <c r="L5" s="1233" t="s">
        <v>10</v>
      </c>
      <c r="M5" s="1233"/>
      <c r="N5" s="1233"/>
      <c r="O5" s="1233"/>
      <c r="P5" s="1233"/>
      <c r="Q5" s="1233"/>
      <c r="R5" s="1233"/>
      <c r="S5" s="1233"/>
      <c r="T5" s="1233"/>
      <c r="U5" s="1233"/>
      <c r="V5" s="1233"/>
      <c r="W5" s="1233"/>
      <c r="X5" s="1233"/>
      <c r="Y5" s="1233"/>
      <c r="Z5" s="1233"/>
      <c r="AA5" s="1233"/>
      <c r="AB5" s="1233"/>
      <c r="AC5" s="1233"/>
      <c r="AD5" s="1233"/>
      <c r="AE5" s="1233"/>
      <c r="AF5" s="1233"/>
      <c r="AG5" s="1233"/>
      <c r="AH5" s="1233"/>
      <c r="AI5" s="1233"/>
      <c r="AJ5" s="1233"/>
      <c r="AK5" s="1233"/>
      <c r="AL5" s="1233"/>
      <c r="AM5" s="1233"/>
      <c r="AN5" s="1233"/>
      <c r="AO5" s="1233"/>
      <c r="AP5" s="1233"/>
      <c r="AQ5" s="1233"/>
      <c r="AR5" s="1233"/>
      <c r="AS5" s="1233"/>
      <c r="AT5" s="1233"/>
      <c r="AU5" s="1233"/>
      <c r="AV5" s="1233"/>
      <c r="AW5" s="1233"/>
      <c r="AX5" s="1233"/>
      <c r="AY5" s="1233"/>
      <c r="AZ5" s="1233"/>
      <c r="BA5" s="1233"/>
      <c r="BB5" s="1233"/>
      <c r="BC5" s="1233"/>
      <c r="BD5" s="1233"/>
      <c r="BE5" s="1233"/>
      <c r="BF5" s="1233"/>
      <c r="BG5" s="1233"/>
      <c r="BH5" s="1233"/>
      <c r="BI5" s="1233"/>
      <c r="BJ5" s="1233"/>
      <c r="BK5" s="1233"/>
      <c r="BL5" s="1233"/>
      <c r="BM5" s="1233"/>
      <c r="BN5" s="1233"/>
      <c r="BO5" s="1233"/>
      <c r="BP5" s="3"/>
      <c r="BQ5" s="3"/>
      <c r="BR5" s="3"/>
      <c r="BS5" s="3"/>
      <c r="BT5" s="3"/>
      <c r="BU5" s="3"/>
      <c r="BV5" s="3"/>
      <c r="BW5" s="3"/>
      <c r="BX5" s="3"/>
      <c r="BY5" s="3"/>
      <c r="BZ5" s="3"/>
      <c r="CA5" s="3"/>
      <c r="CB5" s="3"/>
      <c r="CC5" s="3"/>
      <c r="CD5" s="3"/>
      <c r="CE5" s="3"/>
      <c r="CF5" s="3"/>
    </row>
    <row r="6" spans="1:87" s="4" customFormat="1" ht="27" customHeight="1" thickBot="1" x14ac:dyDescent="0.25">
      <c r="A6" s="1232"/>
      <c r="B6" s="1232"/>
      <c r="C6" s="1232"/>
      <c r="D6" s="1232"/>
      <c r="E6" s="1232"/>
      <c r="F6" s="1232"/>
      <c r="G6" s="1232"/>
      <c r="H6" s="1232"/>
      <c r="I6" s="1232"/>
      <c r="J6" s="1232"/>
      <c r="K6" s="8"/>
      <c r="L6" s="239"/>
      <c r="M6" s="10"/>
      <c r="N6" s="240"/>
      <c r="O6" s="8"/>
      <c r="P6" s="10"/>
      <c r="Q6" s="240"/>
      <c r="R6" s="240"/>
      <c r="S6" s="240"/>
      <c r="T6" s="10"/>
      <c r="U6" s="10"/>
      <c r="V6" s="10"/>
      <c r="W6" s="10"/>
      <c r="X6" s="10"/>
      <c r="Y6" s="1233" t="s">
        <v>11</v>
      </c>
      <c r="Z6" s="1233"/>
      <c r="AA6" s="1233"/>
      <c r="AB6" s="1233"/>
      <c r="AC6" s="1233"/>
      <c r="AD6" s="1233"/>
      <c r="AE6" s="1233"/>
      <c r="AF6" s="1233"/>
      <c r="AG6" s="1233"/>
      <c r="AH6" s="1233"/>
      <c r="AI6" s="1233"/>
      <c r="AJ6" s="1233"/>
      <c r="AK6" s="1233"/>
      <c r="AL6" s="1233"/>
      <c r="AM6" s="1233"/>
      <c r="AN6" s="1233"/>
      <c r="AO6" s="1233"/>
      <c r="AP6" s="1233"/>
      <c r="AQ6" s="1233"/>
      <c r="AR6" s="1233"/>
      <c r="AS6" s="1233"/>
      <c r="AT6" s="1233"/>
      <c r="AU6" s="1233"/>
      <c r="AV6" s="1233"/>
      <c r="AW6" s="1233"/>
      <c r="AX6" s="1233"/>
      <c r="AY6" s="1233"/>
      <c r="AZ6" s="1233"/>
      <c r="BA6" s="1233"/>
      <c r="BB6" s="1233"/>
      <c r="BC6" s="1233"/>
      <c r="BD6" s="1233"/>
      <c r="BE6" s="8"/>
      <c r="BF6" s="8"/>
      <c r="BG6" s="8"/>
      <c r="BH6" s="8"/>
      <c r="BI6" s="8"/>
      <c r="BJ6" s="8"/>
      <c r="BK6" s="8"/>
      <c r="BL6" s="8"/>
      <c r="BM6" s="8"/>
      <c r="BN6" s="8"/>
      <c r="BO6" s="541"/>
      <c r="BP6" s="3"/>
      <c r="BQ6" s="3"/>
      <c r="BR6" s="3"/>
      <c r="BS6" s="3"/>
      <c r="BT6" s="3"/>
      <c r="BU6" s="3"/>
      <c r="BV6" s="3"/>
      <c r="BW6" s="3"/>
      <c r="BX6" s="3"/>
      <c r="BY6" s="3"/>
      <c r="BZ6" s="3"/>
      <c r="CA6" s="3"/>
      <c r="CB6" s="3"/>
      <c r="CC6" s="3"/>
      <c r="CD6" s="3"/>
      <c r="CE6" s="3"/>
      <c r="CF6" s="3"/>
    </row>
    <row r="7" spans="1:87" s="4" customFormat="1" ht="43.5" customHeight="1" x14ac:dyDescent="0.2">
      <c r="A7" s="1234" t="s">
        <v>12</v>
      </c>
      <c r="B7" s="1221" t="s">
        <v>13</v>
      </c>
      <c r="C7" s="1221"/>
      <c r="D7" s="1221" t="s">
        <v>12</v>
      </c>
      <c r="E7" s="1221" t="s">
        <v>14</v>
      </c>
      <c r="F7" s="1221"/>
      <c r="G7" s="1237" t="s">
        <v>12</v>
      </c>
      <c r="H7" s="1221" t="s">
        <v>15</v>
      </c>
      <c r="I7" s="1221" t="s">
        <v>16</v>
      </c>
      <c r="J7" s="1222" t="s">
        <v>17</v>
      </c>
      <c r="K7" s="1223"/>
      <c r="L7" s="1221" t="s">
        <v>18</v>
      </c>
      <c r="M7" s="1221" t="s">
        <v>19</v>
      </c>
      <c r="N7" s="1221" t="s">
        <v>10</v>
      </c>
      <c r="O7" s="1226" t="s">
        <v>20</v>
      </c>
      <c r="P7" s="1253" t="s">
        <v>21</v>
      </c>
      <c r="Q7" s="1221" t="s">
        <v>22</v>
      </c>
      <c r="R7" s="1221" t="s">
        <v>23</v>
      </c>
      <c r="S7" s="1221" t="s">
        <v>24</v>
      </c>
      <c r="T7" s="1253" t="s">
        <v>21</v>
      </c>
      <c r="U7" s="1253" t="s">
        <v>25</v>
      </c>
      <c r="V7" s="1253" t="s">
        <v>26</v>
      </c>
      <c r="W7" s="1264" t="s">
        <v>12</v>
      </c>
      <c r="X7" s="1221" t="s">
        <v>27</v>
      </c>
      <c r="Y7" s="1240" t="s">
        <v>28</v>
      </c>
      <c r="Z7" s="1241"/>
      <c r="AA7" s="1241"/>
      <c r="AB7" s="1242"/>
      <c r="AC7" s="1243" t="s">
        <v>29</v>
      </c>
      <c r="AD7" s="1244"/>
      <c r="AE7" s="1244"/>
      <c r="AF7" s="1244"/>
      <c r="AG7" s="1244"/>
      <c r="AH7" s="1244"/>
      <c r="AI7" s="1244"/>
      <c r="AJ7" s="1245"/>
      <c r="AK7" s="1246" t="s">
        <v>30</v>
      </c>
      <c r="AL7" s="1247"/>
      <c r="AM7" s="1247"/>
      <c r="AN7" s="1247"/>
      <c r="AO7" s="1247"/>
      <c r="AP7" s="1247"/>
      <c r="AQ7" s="1247"/>
      <c r="AR7" s="1247"/>
      <c r="AS7" s="1247"/>
      <c r="AT7" s="1247"/>
      <c r="AU7" s="1247"/>
      <c r="AV7" s="1248"/>
      <c r="AW7" s="1254" t="s">
        <v>31</v>
      </c>
      <c r="AX7" s="1255"/>
      <c r="AY7" s="1255"/>
      <c r="AZ7" s="1255"/>
      <c r="BA7" s="1255"/>
      <c r="BB7" s="1256"/>
      <c r="BC7" s="1257" t="s">
        <v>32</v>
      </c>
      <c r="BD7" s="1258"/>
      <c r="BE7" s="1261" t="s">
        <v>33</v>
      </c>
      <c r="BF7" s="1262"/>
      <c r="BG7" s="1262"/>
      <c r="BH7" s="1262"/>
      <c r="BI7" s="1262"/>
      <c r="BJ7" s="1263"/>
      <c r="BK7" s="1266" t="s">
        <v>34</v>
      </c>
      <c r="BL7" s="1267"/>
      <c r="BM7" s="1266" t="s">
        <v>35</v>
      </c>
      <c r="BN7" s="1267"/>
      <c r="BO7" s="1270" t="s">
        <v>36</v>
      </c>
      <c r="BP7" s="3"/>
      <c r="BQ7" s="3"/>
      <c r="BR7" s="3"/>
      <c r="BS7" s="3"/>
      <c r="BT7" s="3"/>
      <c r="BU7" s="3"/>
      <c r="BV7" s="3"/>
      <c r="BW7" s="3"/>
      <c r="BX7" s="3"/>
      <c r="BY7" s="3"/>
      <c r="BZ7" s="3"/>
      <c r="CA7" s="3"/>
      <c r="CB7" s="3"/>
      <c r="CC7" s="3"/>
      <c r="CD7" s="3"/>
    </row>
    <row r="8" spans="1:87" s="4" customFormat="1" ht="120.75" customHeight="1" x14ac:dyDescent="0.2">
      <c r="A8" s="1235"/>
      <c r="B8" s="1221"/>
      <c r="C8" s="1221"/>
      <c r="D8" s="1221"/>
      <c r="E8" s="1221"/>
      <c r="F8" s="1221"/>
      <c r="G8" s="1238"/>
      <c r="H8" s="1221"/>
      <c r="I8" s="1221"/>
      <c r="J8" s="1224"/>
      <c r="K8" s="1225"/>
      <c r="L8" s="1221"/>
      <c r="M8" s="1221"/>
      <c r="N8" s="1221"/>
      <c r="O8" s="1226"/>
      <c r="P8" s="1253"/>
      <c r="Q8" s="1221"/>
      <c r="R8" s="1221"/>
      <c r="S8" s="1221"/>
      <c r="T8" s="1253"/>
      <c r="U8" s="1253"/>
      <c r="V8" s="1253"/>
      <c r="W8" s="1264"/>
      <c r="X8" s="1221"/>
      <c r="Y8" s="1249" t="s">
        <v>37</v>
      </c>
      <c r="Z8" s="1250"/>
      <c r="AA8" s="1251" t="s">
        <v>38</v>
      </c>
      <c r="AB8" s="1252"/>
      <c r="AC8" s="1249" t="s">
        <v>39</v>
      </c>
      <c r="AD8" s="1250"/>
      <c r="AE8" s="1249" t="s">
        <v>40</v>
      </c>
      <c r="AF8" s="1250"/>
      <c r="AG8" s="1249" t="s">
        <v>41</v>
      </c>
      <c r="AH8" s="1250"/>
      <c r="AI8" s="1249" t="s">
        <v>42</v>
      </c>
      <c r="AJ8" s="1250"/>
      <c r="AK8" s="1249" t="s">
        <v>43</v>
      </c>
      <c r="AL8" s="1250"/>
      <c r="AM8" s="1249" t="s">
        <v>44</v>
      </c>
      <c r="AN8" s="1250"/>
      <c r="AO8" s="1249" t="s">
        <v>45</v>
      </c>
      <c r="AP8" s="1250"/>
      <c r="AQ8" s="1249" t="s">
        <v>46</v>
      </c>
      <c r="AR8" s="1250"/>
      <c r="AS8" s="1249" t="s">
        <v>47</v>
      </c>
      <c r="AT8" s="1250"/>
      <c r="AU8" s="1249" t="s">
        <v>48</v>
      </c>
      <c r="AV8" s="1250"/>
      <c r="AW8" s="1249" t="s">
        <v>49</v>
      </c>
      <c r="AX8" s="1250"/>
      <c r="AY8" s="1249" t="s">
        <v>50</v>
      </c>
      <c r="AZ8" s="1250"/>
      <c r="BA8" s="1302" t="s">
        <v>51</v>
      </c>
      <c r="BB8" s="1302"/>
      <c r="BC8" s="1259"/>
      <c r="BD8" s="1260"/>
      <c r="BE8" s="1274" t="s">
        <v>52</v>
      </c>
      <c r="BF8" s="1273" t="s">
        <v>53</v>
      </c>
      <c r="BG8" s="1274" t="s">
        <v>54</v>
      </c>
      <c r="BH8" s="1275" t="s">
        <v>55</v>
      </c>
      <c r="BI8" s="1274" t="s">
        <v>56</v>
      </c>
      <c r="BJ8" s="1276" t="s">
        <v>57</v>
      </c>
      <c r="BK8" s="1509"/>
      <c r="BL8" s="1510"/>
      <c r="BM8" s="1268"/>
      <c r="BN8" s="1269"/>
      <c r="BO8" s="1271"/>
      <c r="BP8" s="3"/>
      <c r="BQ8" s="3"/>
      <c r="BR8" s="3"/>
      <c r="BS8" s="3"/>
      <c r="BT8" s="3"/>
      <c r="BU8" s="3"/>
      <c r="BV8" s="3"/>
      <c r="BW8" s="3"/>
      <c r="BX8" s="3"/>
      <c r="BY8" s="3"/>
      <c r="BZ8" s="3"/>
      <c r="CA8" s="3"/>
      <c r="CB8" s="3"/>
      <c r="CC8" s="3"/>
      <c r="CD8" s="3"/>
    </row>
    <row r="9" spans="1:87" s="4" customFormat="1" ht="21.75" customHeight="1" x14ac:dyDescent="0.2">
      <c r="A9" s="1236"/>
      <c r="B9" s="1221"/>
      <c r="C9" s="1221"/>
      <c r="D9" s="1221"/>
      <c r="E9" s="1221"/>
      <c r="F9" s="1221"/>
      <c r="G9" s="1239"/>
      <c r="H9" s="1221"/>
      <c r="I9" s="1221"/>
      <c r="J9" s="12" t="s">
        <v>58</v>
      </c>
      <c r="K9" s="12" t="s">
        <v>59</v>
      </c>
      <c r="L9" s="1221"/>
      <c r="M9" s="1221"/>
      <c r="N9" s="1221"/>
      <c r="O9" s="1226"/>
      <c r="P9" s="1253"/>
      <c r="Q9" s="1221"/>
      <c r="R9" s="1221"/>
      <c r="S9" s="1221"/>
      <c r="T9" s="1253"/>
      <c r="U9" s="1253"/>
      <c r="V9" s="1253"/>
      <c r="W9" s="1264"/>
      <c r="X9" s="1221"/>
      <c r="Y9" s="12" t="s">
        <v>58</v>
      </c>
      <c r="Z9" s="12" t="s">
        <v>60</v>
      </c>
      <c r="AA9" s="12" t="s">
        <v>58</v>
      </c>
      <c r="AB9" s="12" t="s">
        <v>60</v>
      </c>
      <c r="AC9" s="12" t="s">
        <v>58</v>
      </c>
      <c r="AD9" s="12" t="s">
        <v>60</v>
      </c>
      <c r="AE9" s="12" t="s">
        <v>58</v>
      </c>
      <c r="AF9" s="12" t="s">
        <v>60</v>
      </c>
      <c r="AG9" s="12" t="s">
        <v>58</v>
      </c>
      <c r="AH9" s="12" t="s">
        <v>60</v>
      </c>
      <c r="AI9" s="12" t="s">
        <v>58</v>
      </c>
      <c r="AJ9" s="12" t="s">
        <v>60</v>
      </c>
      <c r="AK9" s="12" t="s">
        <v>58</v>
      </c>
      <c r="AL9" s="12" t="s">
        <v>60</v>
      </c>
      <c r="AM9" s="12" t="s">
        <v>58</v>
      </c>
      <c r="AN9" s="12" t="s">
        <v>60</v>
      </c>
      <c r="AO9" s="12" t="s">
        <v>58</v>
      </c>
      <c r="AP9" s="12" t="s">
        <v>60</v>
      </c>
      <c r="AQ9" s="12" t="s">
        <v>58</v>
      </c>
      <c r="AR9" s="12" t="s">
        <v>60</v>
      </c>
      <c r="AS9" s="12" t="s">
        <v>58</v>
      </c>
      <c r="AT9" s="12" t="s">
        <v>60</v>
      </c>
      <c r="AU9" s="12" t="s">
        <v>58</v>
      </c>
      <c r="AV9" s="12" t="s">
        <v>60</v>
      </c>
      <c r="AW9" s="12" t="s">
        <v>58</v>
      </c>
      <c r="AX9" s="12" t="s">
        <v>60</v>
      </c>
      <c r="AY9" s="12" t="s">
        <v>58</v>
      </c>
      <c r="AZ9" s="12" t="s">
        <v>60</v>
      </c>
      <c r="BA9" s="12" t="s">
        <v>58</v>
      </c>
      <c r="BB9" s="12" t="s">
        <v>60</v>
      </c>
      <c r="BC9" s="12" t="s">
        <v>58</v>
      </c>
      <c r="BD9" s="12" t="s">
        <v>60</v>
      </c>
      <c r="BE9" s="1274"/>
      <c r="BF9" s="1273"/>
      <c r="BG9" s="1274"/>
      <c r="BH9" s="1275"/>
      <c r="BI9" s="1274"/>
      <c r="BJ9" s="1277"/>
      <c r="BK9" s="13" t="s">
        <v>58</v>
      </c>
      <c r="BL9" s="13" t="s">
        <v>60</v>
      </c>
      <c r="BM9" s="13" t="s">
        <v>58</v>
      </c>
      <c r="BN9" s="13" t="s">
        <v>60</v>
      </c>
      <c r="BO9" s="1272"/>
      <c r="BP9" s="3"/>
      <c r="BQ9" s="3"/>
      <c r="BR9" s="3"/>
      <c r="BS9" s="3"/>
      <c r="BT9" s="3"/>
      <c r="BU9" s="3"/>
      <c r="BV9" s="3"/>
      <c r="BW9" s="3"/>
      <c r="BX9" s="3"/>
      <c r="BY9" s="3"/>
      <c r="BZ9" s="3"/>
      <c r="CA9" s="3"/>
      <c r="CB9" s="3"/>
      <c r="CC9" s="3"/>
      <c r="CD9" s="3"/>
    </row>
    <row r="10" spans="1:87" s="91" customFormat="1" ht="25.5" customHeight="1" x14ac:dyDescent="0.2">
      <c r="A10" s="611">
        <v>4</v>
      </c>
      <c r="B10" s="612" t="s">
        <v>514</v>
      </c>
      <c r="C10" s="157"/>
      <c r="D10" s="158"/>
      <c r="E10" s="158"/>
      <c r="F10" s="158"/>
      <c r="G10" s="158"/>
      <c r="H10" s="161"/>
      <c r="I10" s="158"/>
      <c r="J10" s="158"/>
      <c r="K10" s="158"/>
      <c r="L10" s="160"/>
      <c r="M10" s="160"/>
      <c r="N10" s="161"/>
      <c r="O10" s="162"/>
      <c r="P10" s="163"/>
      <c r="Q10" s="161"/>
      <c r="R10" s="161"/>
      <c r="S10" s="161"/>
      <c r="T10" s="164"/>
      <c r="U10" s="164"/>
      <c r="V10" s="164"/>
      <c r="W10" s="165"/>
      <c r="X10" s="160"/>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613"/>
      <c r="BL10" s="613"/>
      <c r="BM10" s="613"/>
      <c r="BN10" s="613"/>
      <c r="BO10" s="161"/>
      <c r="BP10" s="3"/>
      <c r="BQ10" s="3"/>
      <c r="BR10" s="3"/>
      <c r="BS10" s="3"/>
      <c r="BT10" s="3"/>
      <c r="BU10" s="3"/>
      <c r="BV10" s="3"/>
      <c r="BW10" s="3"/>
      <c r="BX10" s="3"/>
      <c r="BY10" s="3"/>
      <c r="BZ10" s="3"/>
      <c r="CA10" s="3"/>
      <c r="CB10" s="3"/>
      <c r="CC10" s="3"/>
      <c r="CD10" s="3"/>
      <c r="CE10" s="3"/>
      <c r="CF10" s="3"/>
      <c r="CG10" s="3"/>
      <c r="CH10" s="3"/>
      <c r="CI10" s="3"/>
    </row>
    <row r="11" spans="1:87" s="3" customFormat="1" ht="23.25" customHeight="1" x14ac:dyDescent="0.2">
      <c r="A11" s="1594"/>
      <c r="B11" s="1595"/>
      <c r="C11" s="1596"/>
      <c r="D11" s="492">
        <v>45</v>
      </c>
      <c r="E11" s="1376" t="s">
        <v>75</v>
      </c>
      <c r="F11" s="1376"/>
      <c r="G11" s="1377"/>
      <c r="H11" s="1377"/>
      <c r="I11" s="1377"/>
      <c r="J11" s="1377"/>
      <c r="K11" s="1377"/>
      <c r="L11" s="1377"/>
      <c r="M11" s="1377"/>
      <c r="N11" s="1377"/>
      <c r="O11" s="1377"/>
      <c r="P11" s="171"/>
      <c r="Q11" s="169"/>
      <c r="R11" s="169"/>
      <c r="S11" s="169"/>
      <c r="T11" s="172"/>
      <c r="U11" s="172"/>
      <c r="V11" s="172"/>
      <c r="W11" s="173"/>
      <c r="X11" s="174"/>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175"/>
      <c r="BK11" s="614"/>
      <c r="BL11" s="614"/>
      <c r="BM11" s="614"/>
      <c r="BN11" s="614"/>
      <c r="BO11" s="169"/>
      <c r="BP11" s="177"/>
      <c r="BQ11" s="177"/>
    </row>
    <row r="12" spans="1:87" s="3" customFormat="1" ht="37.5" customHeight="1" x14ac:dyDescent="0.2">
      <c r="A12" s="615"/>
      <c r="B12" s="616"/>
      <c r="C12" s="616"/>
      <c r="D12" s="617"/>
      <c r="E12" s="618"/>
      <c r="F12" s="619"/>
      <c r="G12" s="1604" t="s">
        <v>62</v>
      </c>
      <c r="H12" s="1608" t="s">
        <v>515</v>
      </c>
      <c r="I12" s="1608" t="s">
        <v>516</v>
      </c>
      <c r="J12" s="1604">
        <v>1</v>
      </c>
      <c r="K12" s="1604"/>
      <c r="L12" s="196" t="s">
        <v>517</v>
      </c>
      <c r="M12" s="1604" t="s">
        <v>518</v>
      </c>
      <c r="N12" s="1608" t="s">
        <v>519</v>
      </c>
      <c r="O12" s="1604">
        <f>+T12/P12</f>
        <v>0.22790314799006262</v>
      </c>
      <c r="P12" s="1607">
        <f>SUM(T12:T15)</f>
        <v>255021326</v>
      </c>
      <c r="Q12" s="1608" t="s">
        <v>520</v>
      </c>
      <c r="R12" s="1608" t="s">
        <v>521</v>
      </c>
      <c r="S12" s="1608" t="s">
        <v>522</v>
      </c>
      <c r="T12" s="183">
        <f>37000000+21120163</f>
        <v>58120163</v>
      </c>
      <c r="U12" s="183">
        <v>37000000</v>
      </c>
      <c r="V12" s="183">
        <f>U12</f>
        <v>37000000</v>
      </c>
      <c r="W12" s="620">
        <v>20</v>
      </c>
      <c r="X12" s="621" t="s">
        <v>523</v>
      </c>
      <c r="Y12" s="1303">
        <v>294321</v>
      </c>
      <c r="Z12" s="1303"/>
      <c r="AA12" s="1303">
        <v>283947</v>
      </c>
      <c r="AB12" s="1303"/>
      <c r="AC12" s="1303">
        <v>135754</v>
      </c>
      <c r="AD12" s="1303"/>
      <c r="AE12" s="1303">
        <v>44640</v>
      </c>
      <c r="AF12" s="1303"/>
      <c r="AG12" s="1303">
        <v>308178</v>
      </c>
      <c r="AH12" s="1303"/>
      <c r="AI12" s="1303">
        <v>89696</v>
      </c>
      <c r="AJ12" s="1303"/>
      <c r="AK12" s="1303">
        <v>2145</v>
      </c>
      <c r="AL12" s="1303"/>
      <c r="AM12" s="1303">
        <v>12718</v>
      </c>
      <c r="AN12" s="1303"/>
      <c r="AO12" s="1303">
        <v>26</v>
      </c>
      <c r="AP12" s="1303"/>
      <c r="AQ12" s="1303">
        <v>37</v>
      </c>
      <c r="AR12" s="1303"/>
      <c r="AS12" s="1303">
        <v>0</v>
      </c>
      <c r="AT12" s="1303"/>
      <c r="AU12" s="1303">
        <v>0</v>
      </c>
      <c r="AV12" s="1303"/>
      <c r="AW12" s="1303">
        <v>52505</v>
      </c>
      <c r="AX12" s="1303"/>
      <c r="AY12" s="1303">
        <v>16897</v>
      </c>
      <c r="AZ12" s="1303"/>
      <c r="BA12" s="1303">
        <v>61646</v>
      </c>
      <c r="BB12" s="1303"/>
      <c r="BC12" s="1303">
        <v>578268</v>
      </c>
      <c r="BD12" s="1303"/>
      <c r="BE12" s="1303">
        <v>7</v>
      </c>
      <c r="BF12" s="1309">
        <f>SUM(U12:U15)</f>
        <v>132781000</v>
      </c>
      <c r="BG12" s="1309">
        <f>SUM(V12:V15)</f>
        <v>79345333.329999998</v>
      </c>
      <c r="BH12" s="1312">
        <f>BG12/BF12</f>
        <v>0.59756541470541713</v>
      </c>
      <c r="BI12" s="1303" t="s">
        <v>72</v>
      </c>
      <c r="BJ12" s="1303" t="s">
        <v>524</v>
      </c>
      <c r="BK12" s="1552">
        <v>44033</v>
      </c>
      <c r="BL12" s="1552">
        <v>43857</v>
      </c>
      <c r="BM12" s="1552">
        <v>44195</v>
      </c>
      <c r="BN12" s="1552"/>
      <c r="BO12" s="1303" t="s">
        <v>525</v>
      </c>
      <c r="BP12" s="191"/>
      <c r="BQ12" s="177"/>
    </row>
    <row r="13" spans="1:87" s="3" customFormat="1" ht="42.75" customHeight="1" x14ac:dyDescent="0.2">
      <c r="A13" s="615"/>
      <c r="B13" s="616"/>
      <c r="C13" s="616"/>
      <c r="D13" s="615"/>
      <c r="E13" s="616"/>
      <c r="F13" s="622"/>
      <c r="G13" s="1605"/>
      <c r="H13" s="1609"/>
      <c r="I13" s="1609"/>
      <c r="J13" s="1605"/>
      <c r="K13" s="1605"/>
      <c r="L13" s="439" t="s">
        <v>526</v>
      </c>
      <c r="M13" s="1605"/>
      <c r="N13" s="1609"/>
      <c r="O13" s="1605"/>
      <c r="P13" s="1605"/>
      <c r="Q13" s="1609"/>
      <c r="R13" s="1609"/>
      <c r="S13" s="1610"/>
      <c r="T13" s="623">
        <f>47000000</f>
        <v>47000000</v>
      </c>
      <c r="U13" s="624"/>
      <c r="V13" s="623"/>
      <c r="W13" s="620">
        <v>88</v>
      </c>
      <c r="X13" s="621" t="s">
        <v>527</v>
      </c>
      <c r="Y13" s="1304"/>
      <c r="Z13" s="1304"/>
      <c r="AA13" s="1304"/>
      <c r="AB13" s="1304"/>
      <c r="AC13" s="1304"/>
      <c r="AD13" s="1304"/>
      <c r="AE13" s="1304"/>
      <c r="AF13" s="1304"/>
      <c r="AG13" s="1304"/>
      <c r="AH13" s="1304"/>
      <c r="AI13" s="1304"/>
      <c r="AJ13" s="1304"/>
      <c r="AK13" s="1304"/>
      <c r="AL13" s="1304"/>
      <c r="AM13" s="1304"/>
      <c r="AN13" s="1304"/>
      <c r="AO13" s="1304"/>
      <c r="AP13" s="1304"/>
      <c r="AQ13" s="1304"/>
      <c r="AR13" s="1304"/>
      <c r="AS13" s="1304"/>
      <c r="AT13" s="1304"/>
      <c r="AU13" s="1304"/>
      <c r="AV13" s="1304"/>
      <c r="AW13" s="1304"/>
      <c r="AX13" s="1304"/>
      <c r="AY13" s="1304"/>
      <c r="AZ13" s="1304"/>
      <c r="BA13" s="1304"/>
      <c r="BB13" s="1304"/>
      <c r="BC13" s="1304"/>
      <c r="BD13" s="1304"/>
      <c r="BE13" s="1304"/>
      <c r="BF13" s="1310"/>
      <c r="BG13" s="1310"/>
      <c r="BH13" s="1313"/>
      <c r="BI13" s="1304"/>
      <c r="BJ13" s="1304"/>
      <c r="BK13" s="1598"/>
      <c r="BL13" s="1598"/>
      <c r="BM13" s="1598"/>
      <c r="BN13" s="1598"/>
      <c r="BO13" s="1304"/>
      <c r="BP13" s="191"/>
      <c r="BQ13" s="177"/>
    </row>
    <row r="14" spans="1:87" s="3" customFormat="1" ht="36.75" customHeight="1" x14ac:dyDescent="0.2">
      <c r="A14" s="615"/>
      <c r="B14" s="616"/>
      <c r="C14" s="616"/>
      <c r="D14" s="615"/>
      <c r="E14" s="616"/>
      <c r="F14" s="622"/>
      <c r="G14" s="1605"/>
      <c r="H14" s="1609"/>
      <c r="I14" s="1609"/>
      <c r="J14" s="1605"/>
      <c r="K14" s="1605"/>
      <c r="L14" s="439" t="s">
        <v>517</v>
      </c>
      <c r="M14" s="1605"/>
      <c r="N14" s="1609"/>
      <c r="O14" s="1605"/>
      <c r="P14" s="1605"/>
      <c r="Q14" s="1609"/>
      <c r="R14" s="1609"/>
      <c r="S14" s="1608" t="s">
        <v>528</v>
      </c>
      <c r="T14" s="183">
        <f>95781000+21120163</f>
        <v>116901163</v>
      </c>
      <c r="U14" s="183">
        <v>95781000</v>
      </c>
      <c r="V14" s="183">
        <f>79345333.33-V12</f>
        <v>42345333.329999998</v>
      </c>
      <c r="W14" s="620">
        <v>20</v>
      </c>
      <c r="X14" s="621" t="s">
        <v>523</v>
      </c>
      <c r="Y14" s="1304"/>
      <c r="Z14" s="1304"/>
      <c r="AA14" s="1304"/>
      <c r="AB14" s="1304"/>
      <c r="AC14" s="1304"/>
      <c r="AD14" s="1304"/>
      <c r="AE14" s="1304"/>
      <c r="AF14" s="1304"/>
      <c r="AG14" s="1304"/>
      <c r="AH14" s="1304"/>
      <c r="AI14" s="1304"/>
      <c r="AJ14" s="1304"/>
      <c r="AK14" s="1304"/>
      <c r="AL14" s="1304"/>
      <c r="AM14" s="1304"/>
      <c r="AN14" s="1304"/>
      <c r="AO14" s="1304"/>
      <c r="AP14" s="1304"/>
      <c r="AQ14" s="1304"/>
      <c r="AR14" s="1304"/>
      <c r="AS14" s="1304"/>
      <c r="AT14" s="1304"/>
      <c r="AU14" s="1304"/>
      <c r="AV14" s="1304"/>
      <c r="AW14" s="1304"/>
      <c r="AX14" s="1304"/>
      <c r="AY14" s="1304"/>
      <c r="AZ14" s="1304"/>
      <c r="BA14" s="1304"/>
      <c r="BB14" s="1304"/>
      <c r="BC14" s="1304"/>
      <c r="BD14" s="1304"/>
      <c r="BE14" s="1304"/>
      <c r="BF14" s="1310"/>
      <c r="BG14" s="1310"/>
      <c r="BH14" s="1313"/>
      <c r="BI14" s="1304"/>
      <c r="BJ14" s="1304"/>
      <c r="BK14" s="1598"/>
      <c r="BL14" s="1598"/>
      <c r="BM14" s="1598"/>
      <c r="BN14" s="1598"/>
      <c r="BO14" s="1304"/>
      <c r="BP14" s="191"/>
      <c r="BQ14" s="177"/>
    </row>
    <row r="15" spans="1:87" s="3" customFormat="1" ht="42" customHeight="1" x14ac:dyDescent="0.2">
      <c r="A15" s="615"/>
      <c r="B15" s="616"/>
      <c r="C15" s="616"/>
      <c r="D15" s="615"/>
      <c r="E15" s="616"/>
      <c r="F15" s="622"/>
      <c r="G15" s="1606"/>
      <c r="H15" s="1610"/>
      <c r="I15" s="1610"/>
      <c r="J15" s="1606"/>
      <c r="K15" s="1606"/>
      <c r="L15" s="106" t="s">
        <v>526</v>
      </c>
      <c r="M15" s="1606"/>
      <c r="N15" s="1610"/>
      <c r="O15" s="1606"/>
      <c r="P15" s="1606"/>
      <c r="Q15" s="1610"/>
      <c r="R15" s="1610"/>
      <c r="S15" s="1610"/>
      <c r="T15" s="183">
        <v>33000000</v>
      </c>
      <c r="U15" s="183"/>
      <c r="V15" s="183"/>
      <c r="W15" s="620">
        <v>88</v>
      </c>
      <c r="X15" s="621" t="s">
        <v>527</v>
      </c>
      <c r="Y15" s="1305"/>
      <c r="Z15" s="1305"/>
      <c r="AA15" s="1305"/>
      <c r="AB15" s="1305"/>
      <c r="AC15" s="1305"/>
      <c r="AD15" s="1305"/>
      <c r="AE15" s="1305"/>
      <c r="AF15" s="1305"/>
      <c r="AG15" s="1305"/>
      <c r="AH15" s="1305"/>
      <c r="AI15" s="1305"/>
      <c r="AJ15" s="1305"/>
      <c r="AK15" s="1305"/>
      <c r="AL15" s="1305"/>
      <c r="AM15" s="1305"/>
      <c r="AN15" s="1305"/>
      <c r="AO15" s="1305"/>
      <c r="AP15" s="1305"/>
      <c r="AQ15" s="1305"/>
      <c r="AR15" s="1305"/>
      <c r="AS15" s="1305"/>
      <c r="AT15" s="1305"/>
      <c r="AU15" s="1305"/>
      <c r="AV15" s="1305"/>
      <c r="AW15" s="1305"/>
      <c r="AX15" s="1305"/>
      <c r="AY15" s="1305"/>
      <c r="AZ15" s="1305"/>
      <c r="BA15" s="1305"/>
      <c r="BB15" s="1305"/>
      <c r="BC15" s="1305"/>
      <c r="BD15" s="1305"/>
      <c r="BE15" s="1305"/>
      <c r="BF15" s="1311"/>
      <c r="BG15" s="1311"/>
      <c r="BH15" s="1314"/>
      <c r="BI15" s="1305"/>
      <c r="BJ15" s="1305"/>
      <c r="BK15" s="1553"/>
      <c r="BL15" s="1553"/>
      <c r="BM15" s="1553"/>
      <c r="BN15" s="1553"/>
      <c r="BO15" s="1305"/>
      <c r="BP15" s="191"/>
      <c r="BQ15" s="177"/>
    </row>
    <row r="16" spans="1:87" s="3" customFormat="1" ht="76.5" customHeight="1" x14ac:dyDescent="0.2">
      <c r="A16" s="615"/>
      <c r="B16" s="616"/>
      <c r="C16" s="616"/>
      <c r="D16" s="615"/>
      <c r="E16" s="616"/>
      <c r="F16" s="622"/>
      <c r="G16" s="1604" t="s">
        <v>62</v>
      </c>
      <c r="H16" s="1299" t="s">
        <v>529</v>
      </c>
      <c r="I16" s="1296" t="s">
        <v>530</v>
      </c>
      <c r="J16" s="1281">
        <v>1</v>
      </c>
      <c r="K16" s="1281"/>
      <c r="L16" s="625" t="s">
        <v>531</v>
      </c>
      <c r="M16" s="1413" t="s">
        <v>532</v>
      </c>
      <c r="N16" s="1415" t="s">
        <v>533</v>
      </c>
      <c r="O16" s="1312">
        <f>+T18/P16</f>
        <v>0.31774466067031903</v>
      </c>
      <c r="P16" s="1599">
        <f>SUM(T16:T18)</f>
        <v>486246103</v>
      </c>
      <c r="Q16" s="1293" t="s">
        <v>534</v>
      </c>
      <c r="R16" s="1455" t="s">
        <v>535</v>
      </c>
      <c r="S16" s="626" t="s">
        <v>536</v>
      </c>
      <c r="T16" s="623">
        <v>94385500</v>
      </c>
      <c r="U16" s="623"/>
      <c r="V16" s="623"/>
      <c r="W16" s="620">
        <v>20</v>
      </c>
      <c r="X16" s="627" t="s">
        <v>537</v>
      </c>
      <c r="Y16" s="1303">
        <v>294321</v>
      </c>
      <c r="Z16" s="1303"/>
      <c r="AA16" s="1303">
        <v>283947</v>
      </c>
      <c r="AB16" s="1303"/>
      <c r="AC16" s="1303">
        <v>135754</v>
      </c>
      <c r="AD16" s="1303"/>
      <c r="AE16" s="1303">
        <v>44640</v>
      </c>
      <c r="AF16" s="1303"/>
      <c r="AG16" s="1303">
        <v>308178</v>
      </c>
      <c r="AH16" s="1303"/>
      <c r="AI16" s="1303">
        <v>89696</v>
      </c>
      <c r="AJ16" s="1303"/>
      <c r="AK16" s="1303">
        <v>2145</v>
      </c>
      <c r="AL16" s="1303"/>
      <c r="AM16" s="1303">
        <v>12718</v>
      </c>
      <c r="AN16" s="1303"/>
      <c r="AO16" s="1303">
        <v>26</v>
      </c>
      <c r="AP16" s="1303"/>
      <c r="AQ16" s="1303">
        <v>37</v>
      </c>
      <c r="AR16" s="1303"/>
      <c r="AS16" s="1303">
        <v>0</v>
      </c>
      <c r="AT16" s="1303"/>
      <c r="AU16" s="1303">
        <v>0</v>
      </c>
      <c r="AV16" s="1303"/>
      <c r="AW16" s="1303">
        <v>52505</v>
      </c>
      <c r="AX16" s="1303"/>
      <c r="AY16" s="1303">
        <v>16897</v>
      </c>
      <c r="AZ16" s="1303"/>
      <c r="BA16" s="1303">
        <v>61646</v>
      </c>
      <c r="BB16" s="1303"/>
      <c r="BC16" s="1303">
        <v>578268</v>
      </c>
      <c r="BD16" s="1303"/>
      <c r="BE16" s="1303">
        <v>13</v>
      </c>
      <c r="BF16" s="1309">
        <f>SUM(U16:U18)</f>
        <v>142973000</v>
      </c>
      <c r="BG16" s="1309">
        <f>SUM(V16:V18)</f>
        <v>112496000</v>
      </c>
      <c r="BH16" s="1312">
        <f>BG16/BF16</f>
        <v>0.78683387772516489</v>
      </c>
      <c r="BI16" s="1303" t="s">
        <v>72</v>
      </c>
      <c r="BJ16" s="1303" t="s">
        <v>524</v>
      </c>
      <c r="BK16" s="1552">
        <v>44033</v>
      </c>
      <c r="BL16" s="1552">
        <v>43871</v>
      </c>
      <c r="BM16" s="1552">
        <v>44195</v>
      </c>
      <c r="BN16" s="1552"/>
      <c r="BO16" s="1303" t="s">
        <v>538</v>
      </c>
      <c r="BP16" s="191"/>
      <c r="BQ16" s="177"/>
    </row>
    <row r="17" spans="1:69" s="3" customFormat="1" ht="54" customHeight="1" x14ac:dyDescent="0.2">
      <c r="A17" s="615"/>
      <c r="B17" s="616"/>
      <c r="C17" s="616"/>
      <c r="D17" s="615"/>
      <c r="E17" s="616"/>
      <c r="F17" s="622"/>
      <c r="G17" s="1605"/>
      <c r="H17" s="1300"/>
      <c r="I17" s="1297"/>
      <c r="J17" s="1282"/>
      <c r="K17" s="1282"/>
      <c r="L17" s="628" t="s">
        <v>539</v>
      </c>
      <c r="M17" s="1414"/>
      <c r="N17" s="1416"/>
      <c r="O17" s="1313"/>
      <c r="P17" s="1600"/>
      <c r="Q17" s="1294"/>
      <c r="R17" s="1456"/>
      <c r="S17" s="1602" t="s">
        <v>540</v>
      </c>
      <c r="T17" s="623">
        <f>142973000+94385500</f>
        <v>237358500</v>
      </c>
      <c r="U17" s="183">
        <v>142973000</v>
      </c>
      <c r="V17" s="183">
        <v>112496000</v>
      </c>
      <c r="W17" s="620">
        <v>20</v>
      </c>
      <c r="X17" s="627" t="s">
        <v>537</v>
      </c>
      <c r="Y17" s="1304"/>
      <c r="Z17" s="1304"/>
      <c r="AA17" s="1304"/>
      <c r="AB17" s="1304"/>
      <c r="AC17" s="1304"/>
      <c r="AD17" s="1304"/>
      <c r="AE17" s="1304"/>
      <c r="AF17" s="1304"/>
      <c r="AG17" s="1304"/>
      <c r="AH17" s="1304"/>
      <c r="AI17" s="1304"/>
      <c r="AJ17" s="1304"/>
      <c r="AK17" s="1304"/>
      <c r="AL17" s="1304"/>
      <c r="AM17" s="1304"/>
      <c r="AN17" s="1304"/>
      <c r="AO17" s="1304"/>
      <c r="AP17" s="1304"/>
      <c r="AQ17" s="1304"/>
      <c r="AR17" s="1304"/>
      <c r="AS17" s="1304"/>
      <c r="AT17" s="1304"/>
      <c r="AU17" s="1304"/>
      <c r="AV17" s="1304"/>
      <c r="AW17" s="1304"/>
      <c r="AX17" s="1304"/>
      <c r="AY17" s="1304"/>
      <c r="AZ17" s="1304"/>
      <c r="BA17" s="1304"/>
      <c r="BB17" s="1304"/>
      <c r="BC17" s="1304"/>
      <c r="BD17" s="1304"/>
      <c r="BE17" s="1304"/>
      <c r="BF17" s="1310"/>
      <c r="BG17" s="1310"/>
      <c r="BH17" s="1313"/>
      <c r="BI17" s="1304"/>
      <c r="BJ17" s="1304"/>
      <c r="BK17" s="1598"/>
      <c r="BL17" s="1598"/>
      <c r="BM17" s="1598"/>
      <c r="BN17" s="1598"/>
      <c r="BO17" s="1304"/>
      <c r="BP17" s="191"/>
      <c r="BQ17" s="177"/>
    </row>
    <row r="18" spans="1:69" s="3" customFormat="1" ht="31.5" customHeight="1" x14ac:dyDescent="0.2">
      <c r="A18" s="615"/>
      <c r="B18" s="616"/>
      <c r="C18" s="616"/>
      <c r="D18" s="629"/>
      <c r="E18" s="630"/>
      <c r="F18" s="631"/>
      <c r="G18" s="1606"/>
      <c r="H18" s="1301"/>
      <c r="I18" s="1298"/>
      <c r="J18" s="1283"/>
      <c r="K18" s="1283"/>
      <c r="L18" s="632" t="s">
        <v>541</v>
      </c>
      <c r="M18" s="1432"/>
      <c r="N18" s="1420"/>
      <c r="O18" s="1314"/>
      <c r="P18" s="1601"/>
      <c r="Q18" s="1295"/>
      <c r="R18" s="1457"/>
      <c r="S18" s="1603"/>
      <c r="T18" s="633">
        <v>154502103</v>
      </c>
      <c r="U18" s="633"/>
      <c r="V18" s="633"/>
      <c r="W18" s="634">
        <v>88</v>
      </c>
      <c r="X18" s="635" t="s">
        <v>542</v>
      </c>
      <c r="Y18" s="1305"/>
      <c r="Z18" s="1305"/>
      <c r="AA18" s="1305"/>
      <c r="AB18" s="1305"/>
      <c r="AC18" s="1305"/>
      <c r="AD18" s="1305"/>
      <c r="AE18" s="1305"/>
      <c r="AF18" s="1305"/>
      <c r="AG18" s="1305"/>
      <c r="AH18" s="1305"/>
      <c r="AI18" s="1305"/>
      <c r="AJ18" s="1305"/>
      <c r="AK18" s="1305"/>
      <c r="AL18" s="1305"/>
      <c r="AM18" s="1305"/>
      <c r="AN18" s="1305"/>
      <c r="AO18" s="1305"/>
      <c r="AP18" s="1305"/>
      <c r="AQ18" s="1305"/>
      <c r="AR18" s="1305"/>
      <c r="AS18" s="1305"/>
      <c r="AT18" s="1305"/>
      <c r="AU18" s="1305"/>
      <c r="AV18" s="1305"/>
      <c r="AW18" s="1305"/>
      <c r="AX18" s="1305"/>
      <c r="AY18" s="1305"/>
      <c r="AZ18" s="1305"/>
      <c r="BA18" s="1305"/>
      <c r="BB18" s="1305"/>
      <c r="BC18" s="1305"/>
      <c r="BD18" s="1305"/>
      <c r="BE18" s="1305"/>
      <c r="BF18" s="1311"/>
      <c r="BG18" s="1311"/>
      <c r="BH18" s="1314"/>
      <c r="BI18" s="1305"/>
      <c r="BJ18" s="1305"/>
      <c r="BK18" s="1553"/>
      <c r="BL18" s="1553"/>
      <c r="BM18" s="1553"/>
      <c r="BN18" s="1553"/>
      <c r="BO18" s="1305"/>
      <c r="BP18" s="191"/>
      <c r="BQ18" s="177"/>
    </row>
    <row r="19" spans="1:69" s="4" customFormat="1" ht="28.5" customHeight="1" x14ac:dyDescent="0.2">
      <c r="A19" s="1547"/>
      <c r="B19" s="1548"/>
      <c r="C19" s="1549"/>
      <c r="D19" s="636">
        <v>42</v>
      </c>
      <c r="E19" s="519" t="s">
        <v>61</v>
      </c>
      <c r="F19" s="520"/>
      <c r="G19" s="521"/>
      <c r="H19" s="52"/>
      <c r="I19" s="52"/>
      <c r="J19" s="521"/>
      <c r="K19" s="521"/>
      <c r="L19" s="50"/>
      <c r="M19" s="522"/>
      <c r="N19" s="52"/>
      <c r="O19" s="523"/>
      <c r="P19" s="526"/>
      <c r="Q19" s="52"/>
      <c r="R19" s="52"/>
      <c r="S19" s="52"/>
      <c r="T19" s="526"/>
      <c r="U19" s="526"/>
      <c r="V19" s="526"/>
      <c r="W19" s="527"/>
      <c r="X19" s="637"/>
      <c r="Y19" s="521"/>
      <c r="Z19" s="521"/>
      <c r="AA19" s="521"/>
      <c r="AB19" s="521"/>
      <c r="AC19" s="521"/>
      <c r="AD19" s="521"/>
      <c r="AE19" s="521"/>
      <c r="AF19" s="521"/>
      <c r="AG19" s="521"/>
      <c r="AH19" s="521"/>
      <c r="AI19" s="521"/>
      <c r="AJ19" s="521"/>
      <c r="AK19" s="521"/>
      <c r="AL19" s="521"/>
      <c r="AM19" s="521"/>
      <c r="AN19" s="521"/>
      <c r="AO19" s="521"/>
      <c r="AP19" s="521"/>
      <c r="AQ19" s="521"/>
      <c r="AR19" s="521"/>
      <c r="AS19" s="521"/>
      <c r="AT19" s="521"/>
      <c r="AU19" s="521"/>
      <c r="AV19" s="521"/>
      <c r="AW19" s="521"/>
      <c r="AX19" s="521"/>
      <c r="AY19" s="521"/>
      <c r="AZ19" s="521"/>
      <c r="BA19" s="521"/>
      <c r="BB19" s="521"/>
      <c r="BC19" s="521"/>
      <c r="BD19" s="521"/>
      <c r="BE19" s="521"/>
      <c r="BF19" s="521"/>
      <c r="BG19" s="521"/>
      <c r="BH19" s="521"/>
      <c r="BI19" s="521"/>
      <c r="BJ19" s="521"/>
      <c r="BK19" s="529"/>
      <c r="BL19" s="529"/>
      <c r="BM19" s="530"/>
      <c r="BN19" s="530"/>
      <c r="BO19" s="52"/>
      <c r="BP19" s="91"/>
      <c r="BQ19" s="91"/>
    </row>
    <row r="20" spans="1:69" s="4" customFormat="1" ht="131.25" customHeight="1" x14ac:dyDescent="0.2">
      <c r="A20" s="638"/>
      <c r="B20" s="639"/>
      <c r="C20" s="639"/>
      <c r="D20" s="640"/>
      <c r="E20" s="641"/>
      <c r="F20" s="642"/>
      <c r="G20" s="179" t="s">
        <v>62</v>
      </c>
      <c r="H20" s="213" t="s">
        <v>543</v>
      </c>
      <c r="I20" s="213" t="s">
        <v>544</v>
      </c>
      <c r="J20" s="92">
        <v>30</v>
      </c>
      <c r="K20" s="114"/>
      <c r="L20" s="34" t="s">
        <v>545</v>
      </c>
      <c r="M20" s="533" t="s">
        <v>546</v>
      </c>
      <c r="N20" s="33" t="s">
        <v>547</v>
      </c>
      <c r="O20" s="285">
        <f>+T20/P20</f>
        <v>1</v>
      </c>
      <c r="P20" s="643">
        <v>250000000</v>
      </c>
      <c r="Q20" s="644" t="s">
        <v>548</v>
      </c>
      <c r="R20" s="621" t="s">
        <v>549</v>
      </c>
      <c r="S20" s="534" t="s">
        <v>543</v>
      </c>
      <c r="T20" s="645">
        <v>250000000</v>
      </c>
      <c r="U20" s="645"/>
      <c r="V20" s="645"/>
      <c r="W20" s="110">
        <v>20</v>
      </c>
      <c r="X20" s="621" t="s">
        <v>523</v>
      </c>
      <c r="Y20" s="92">
        <v>294321</v>
      </c>
      <c r="Z20" s="92"/>
      <c r="AA20" s="92">
        <v>283947</v>
      </c>
      <c r="AB20" s="92"/>
      <c r="AC20" s="92">
        <v>135754</v>
      </c>
      <c r="AD20" s="92"/>
      <c r="AE20" s="92">
        <v>44640</v>
      </c>
      <c r="AF20" s="92"/>
      <c r="AG20" s="92">
        <v>308178</v>
      </c>
      <c r="AH20" s="92"/>
      <c r="AI20" s="92">
        <v>89696</v>
      </c>
      <c r="AJ20" s="92"/>
      <c r="AK20" s="92">
        <v>2145</v>
      </c>
      <c r="AL20" s="92"/>
      <c r="AM20" s="92">
        <v>12718</v>
      </c>
      <c r="AN20" s="92"/>
      <c r="AO20" s="92">
        <v>26</v>
      </c>
      <c r="AP20" s="92"/>
      <c r="AQ20" s="92">
        <v>37</v>
      </c>
      <c r="AR20" s="92"/>
      <c r="AS20" s="92">
        <v>0</v>
      </c>
      <c r="AT20" s="92"/>
      <c r="AU20" s="92">
        <v>0</v>
      </c>
      <c r="AV20" s="92"/>
      <c r="AW20" s="92">
        <v>52505</v>
      </c>
      <c r="AX20" s="92"/>
      <c r="AY20" s="92">
        <v>16897</v>
      </c>
      <c r="AZ20" s="92"/>
      <c r="BA20" s="92">
        <v>61646</v>
      </c>
      <c r="BB20" s="92"/>
      <c r="BC20" s="92">
        <v>578268</v>
      </c>
      <c r="BD20" s="114"/>
      <c r="BE20" s="646"/>
      <c r="BF20" s="510">
        <f>U20</f>
        <v>0</v>
      </c>
      <c r="BG20" s="510">
        <f>V20</f>
        <v>0</v>
      </c>
      <c r="BH20" s="646"/>
      <c r="BI20" s="646"/>
      <c r="BJ20" s="646"/>
      <c r="BK20" s="647">
        <v>44033</v>
      </c>
      <c r="BL20" s="647"/>
      <c r="BM20" s="647">
        <v>44195</v>
      </c>
      <c r="BN20" s="647">
        <v>44021</v>
      </c>
      <c r="BO20" s="414" t="s">
        <v>538</v>
      </c>
    </row>
    <row r="21" spans="1:69" s="221" customFormat="1" ht="25.5" customHeight="1" x14ac:dyDescent="0.2">
      <c r="A21" s="208"/>
      <c r="B21" s="538"/>
      <c r="C21" s="538"/>
      <c r="D21" s="209"/>
      <c r="E21" s="210"/>
      <c r="F21" s="211"/>
      <c r="G21" s="211"/>
      <c r="H21" s="118"/>
      <c r="I21" s="212"/>
      <c r="J21" s="212"/>
      <c r="K21" s="212"/>
      <c r="L21" s="214"/>
      <c r="M21" s="214"/>
      <c r="N21" s="118"/>
      <c r="O21" s="215"/>
      <c r="P21" s="216">
        <f>SUM(P12:P20)</f>
        <v>991267429</v>
      </c>
      <c r="Q21" s="118"/>
      <c r="R21" s="118"/>
      <c r="S21" s="118"/>
      <c r="T21" s="216">
        <f>SUM(T12:T20)</f>
        <v>991267429</v>
      </c>
      <c r="U21" s="216">
        <f>SUM(U12:U20)</f>
        <v>275754000</v>
      </c>
      <c r="V21" s="216">
        <f>SUM(V12:V20)</f>
        <v>191841333.32999998</v>
      </c>
      <c r="W21" s="217"/>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2"/>
      <c r="BE21" s="212"/>
      <c r="BF21" s="212"/>
      <c r="BG21" s="212"/>
      <c r="BH21" s="212"/>
      <c r="BI21" s="212"/>
      <c r="BJ21" s="212"/>
      <c r="BK21" s="648"/>
      <c r="BL21" s="648"/>
      <c r="BM21" s="220"/>
      <c r="BN21" s="220"/>
      <c r="BO21" s="213"/>
    </row>
    <row r="22" spans="1:69" ht="15" x14ac:dyDescent="0.2">
      <c r="A22" s="88"/>
      <c r="B22" s="4"/>
      <c r="C22" s="4"/>
      <c r="D22" s="4"/>
      <c r="E22" s="4"/>
      <c r="F22" s="4"/>
      <c r="G22" s="4"/>
      <c r="H22" s="125"/>
      <c r="I22" s="3"/>
      <c r="J22" s="3"/>
      <c r="K22" s="3"/>
      <c r="L22" s="126"/>
      <c r="M22" s="126"/>
      <c r="N22" s="125"/>
      <c r="O22" s="127"/>
      <c r="P22" s="649"/>
      <c r="Q22" s="125"/>
      <c r="R22" s="125"/>
      <c r="S22" s="125"/>
      <c r="T22" s="141"/>
      <c r="U22" s="141"/>
      <c r="V22" s="141"/>
      <c r="W22" s="131"/>
      <c r="X22" s="132"/>
      <c r="Y22" s="650"/>
      <c r="Z22" s="650"/>
      <c r="AA22" s="650"/>
      <c r="AB22" s="650"/>
      <c r="AC22" s="650"/>
      <c r="AD22" s="650"/>
      <c r="AE22" s="650"/>
      <c r="AF22" s="650"/>
      <c r="AG22" s="650"/>
      <c r="AH22" s="650"/>
      <c r="AI22" s="650"/>
      <c r="AJ22" s="650"/>
      <c r="AK22" s="650"/>
      <c r="AL22" s="650"/>
      <c r="AM22" s="650"/>
      <c r="AN22" s="650"/>
      <c r="AO22" s="650"/>
      <c r="AP22" s="650"/>
      <c r="AQ22" s="650"/>
      <c r="AR22" s="650"/>
      <c r="AS22" s="650"/>
      <c r="AT22" s="650"/>
      <c r="AU22" s="650"/>
      <c r="AV22" s="650"/>
      <c r="AW22" s="650"/>
      <c r="AX22" s="650"/>
      <c r="AY22" s="650"/>
      <c r="AZ22" s="650"/>
      <c r="BA22" s="650"/>
      <c r="BB22" s="650"/>
      <c r="BC22" s="650"/>
      <c r="BD22" s="4"/>
      <c r="BE22" s="4"/>
      <c r="BF22" s="4"/>
      <c r="BG22" s="4"/>
      <c r="BH22" s="4"/>
      <c r="BI22" s="4"/>
      <c r="BJ22" s="4"/>
      <c r="BK22" s="651"/>
      <c r="BL22" s="651"/>
      <c r="BM22" s="135"/>
      <c r="BN22" s="135"/>
      <c r="BO22" s="136"/>
    </row>
    <row r="26" spans="1:69" ht="27" customHeight="1" x14ac:dyDescent="0.2">
      <c r="B26" s="236"/>
      <c r="C26" s="236"/>
      <c r="D26" s="236"/>
      <c r="E26" s="236"/>
      <c r="F26" s="236"/>
      <c r="G26" s="236"/>
    </row>
    <row r="27" spans="1:69" ht="27" customHeight="1" x14ac:dyDescent="0.25">
      <c r="B27" s="1370" t="s">
        <v>550</v>
      </c>
      <c r="C27" s="1370"/>
      <c r="D27" s="1370"/>
      <c r="E27" s="1370"/>
      <c r="F27" s="1370"/>
    </row>
    <row r="28" spans="1:69" ht="27" customHeight="1" x14ac:dyDescent="0.25">
      <c r="B28" s="1370" t="s">
        <v>551</v>
      </c>
      <c r="C28" s="1370"/>
      <c r="D28" s="1370"/>
      <c r="E28" s="1370"/>
      <c r="F28" s="1370"/>
    </row>
    <row r="29" spans="1:69" ht="27" customHeight="1" x14ac:dyDescent="0.2">
      <c r="B29" s="145"/>
      <c r="C29" s="224"/>
      <c r="D29" s="225"/>
      <c r="E29" s="226"/>
      <c r="F29" s="227"/>
    </row>
  </sheetData>
  <sheetProtection password="A60F" sheet="1" objects="1" scenarios="1"/>
  <mergeCells count="171">
    <mergeCell ref="M7:M9"/>
    <mergeCell ref="N7:N9"/>
    <mergeCell ref="O7:O9"/>
    <mergeCell ref="A1:BM4"/>
    <mergeCell ref="A5:J6"/>
    <mergeCell ref="L5:BO5"/>
    <mergeCell ref="Y6:BD6"/>
    <mergeCell ref="A7:A9"/>
    <mergeCell ref="B7:C9"/>
    <mergeCell ref="D7:D9"/>
    <mergeCell ref="E7:F9"/>
    <mergeCell ref="G7:G9"/>
    <mergeCell ref="H7:H9"/>
    <mergeCell ref="X7:X9"/>
    <mergeCell ref="Y7:AB7"/>
    <mergeCell ref="AC7:AJ7"/>
    <mergeCell ref="AK7:AV7"/>
    <mergeCell ref="Y8:Z8"/>
    <mergeCell ref="AA8:AB8"/>
    <mergeCell ref="AC8:AD8"/>
    <mergeCell ref="AE8:AF8"/>
    <mergeCell ref="BK7:BL8"/>
    <mergeCell ref="BM7:BN8"/>
    <mergeCell ref="BO7:BO9"/>
    <mergeCell ref="BF8:BF9"/>
    <mergeCell ref="BG8:BG9"/>
    <mergeCell ref="BH8:BH9"/>
    <mergeCell ref="BI8:BI9"/>
    <mergeCell ref="BJ8:BJ9"/>
    <mergeCell ref="A11:C11"/>
    <mergeCell ref="E11:O11"/>
    <mergeCell ref="AW8:AX8"/>
    <mergeCell ref="AY8:AZ8"/>
    <mergeCell ref="BA8:BB8"/>
    <mergeCell ref="BE8:BE9"/>
    <mergeCell ref="P7:P9"/>
    <mergeCell ref="Q7:Q9"/>
    <mergeCell ref="R7:R9"/>
    <mergeCell ref="S7:S9"/>
    <mergeCell ref="T7:T9"/>
    <mergeCell ref="U7:U9"/>
    <mergeCell ref="AW7:BB7"/>
    <mergeCell ref="BC7:BD8"/>
    <mergeCell ref="BE7:BJ7"/>
    <mergeCell ref="I7:I9"/>
    <mergeCell ref="J7:K8"/>
    <mergeCell ref="L7:L9"/>
    <mergeCell ref="G12:G15"/>
    <mergeCell ref="H12:H15"/>
    <mergeCell ref="I12:I15"/>
    <mergeCell ref="J12:J15"/>
    <mergeCell ref="K12:K15"/>
    <mergeCell ref="M12:M15"/>
    <mergeCell ref="N12:N15"/>
    <mergeCell ref="AS8:AT8"/>
    <mergeCell ref="AU8:AV8"/>
    <mergeCell ref="AG8:AH8"/>
    <mergeCell ref="AI8:AJ8"/>
    <mergeCell ref="AK8:AL8"/>
    <mergeCell ref="AM8:AN8"/>
    <mergeCell ref="AO8:AP8"/>
    <mergeCell ref="AQ8:AR8"/>
    <mergeCell ref="V7:V9"/>
    <mergeCell ref="W7:W9"/>
    <mergeCell ref="Z12:Z15"/>
    <mergeCell ref="AA12:AA15"/>
    <mergeCell ref="AB12:AB15"/>
    <mergeCell ref="AC12:AC15"/>
    <mergeCell ref="AD12:AD15"/>
    <mergeCell ref="AE12:AE15"/>
    <mergeCell ref="O12:O15"/>
    <mergeCell ref="P12:P15"/>
    <mergeCell ref="Q12:Q15"/>
    <mergeCell ref="R12:R15"/>
    <mergeCell ref="S12:S13"/>
    <mergeCell ref="Y12:Y15"/>
    <mergeCell ref="S14:S15"/>
    <mergeCell ref="AL12:AL15"/>
    <mergeCell ref="AM12:AM15"/>
    <mergeCell ref="AN12:AN15"/>
    <mergeCell ref="AO12:AO15"/>
    <mergeCell ref="AP12:AP15"/>
    <mergeCell ref="AQ12:AQ15"/>
    <mergeCell ref="AF12:AF15"/>
    <mergeCell ref="AG12:AG15"/>
    <mergeCell ref="AH12:AH15"/>
    <mergeCell ref="AI12:AI15"/>
    <mergeCell ref="AJ12:AJ15"/>
    <mergeCell ref="AK12:AK15"/>
    <mergeCell ref="AX12:AX15"/>
    <mergeCell ref="AY12:AY15"/>
    <mergeCell ref="AZ12:AZ15"/>
    <mergeCell ref="BA12:BA15"/>
    <mergeCell ref="BB12:BB15"/>
    <mergeCell ref="BC12:BC15"/>
    <mergeCell ref="AR12:AR15"/>
    <mergeCell ref="AS12:AS15"/>
    <mergeCell ref="AT12:AT15"/>
    <mergeCell ref="AU12:AU15"/>
    <mergeCell ref="AV12:AV15"/>
    <mergeCell ref="AW12:AW15"/>
    <mergeCell ref="BJ12:BJ15"/>
    <mergeCell ref="BK12:BK15"/>
    <mergeCell ref="BL12:BL15"/>
    <mergeCell ref="BM12:BM15"/>
    <mergeCell ref="BN12:BN15"/>
    <mergeCell ref="BO12:BO15"/>
    <mergeCell ref="BD12:BD15"/>
    <mergeCell ref="BE12:BE15"/>
    <mergeCell ref="BF12:BF15"/>
    <mergeCell ref="BG12:BG15"/>
    <mergeCell ref="BH12:BH15"/>
    <mergeCell ref="BI12:BI15"/>
    <mergeCell ref="N16:N18"/>
    <mergeCell ref="O16:O18"/>
    <mergeCell ref="P16:P18"/>
    <mergeCell ref="Q16:Q18"/>
    <mergeCell ref="R16:R18"/>
    <mergeCell ref="Y16:Y18"/>
    <mergeCell ref="S17:S18"/>
    <mergeCell ref="G16:G18"/>
    <mergeCell ref="H16:H18"/>
    <mergeCell ref="I16:I18"/>
    <mergeCell ref="J16:J18"/>
    <mergeCell ref="K16:K18"/>
    <mergeCell ref="M16:M18"/>
    <mergeCell ref="AF16:AF18"/>
    <mergeCell ref="AG16:AG18"/>
    <mergeCell ref="AH16:AH18"/>
    <mergeCell ref="AI16:AI18"/>
    <mergeCell ref="AJ16:AJ18"/>
    <mergeCell ref="AK16:AK18"/>
    <mergeCell ref="Z16:Z18"/>
    <mergeCell ref="AA16:AA18"/>
    <mergeCell ref="AB16:AB18"/>
    <mergeCell ref="AC16:AC18"/>
    <mergeCell ref="AD16:AD18"/>
    <mergeCell ref="AE16:AE18"/>
    <mergeCell ref="AU16:AU18"/>
    <mergeCell ref="AV16:AV18"/>
    <mergeCell ref="AW16:AW18"/>
    <mergeCell ref="AL16:AL18"/>
    <mergeCell ref="AM16:AM18"/>
    <mergeCell ref="AN16:AN18"/>
    <mergeCell ref="AO16:AO18"/>
    <mergeCell ref="AP16:AP18"/>
    <mergeCell ref="AQ16:AQ18"/>
    <mergeCell ref="A19:C19"/>
    <mergeCell ref="B27:F27"/>
    <mergeCell ref="B28:F28"/>
    <mergeCell ref="BJ16:BJ18"/>
    <mergeCell ref="BK16:BK18"/>
    <mergeCell ref="BL16:BL18"/>
    <mergeCell ref="BM16:BM18"/>
    <mergeCell ref="BN16:BN18"/>
    <mergeCell ref="BO16:BO18"/>
    <mergeCell ref="BD16:BD18"/>
    <mergeCell ref="BE16:BE18"/>
    <mergeCell ref="BF16:BF18"/>
    <mergeCell ref="BG16:BG18"/>
    <mergeCell ref="BH16:BH18"/>
    <mergeCell ref="BI16:BI18"/>
    <mergeCell ref="AX16:AX18"/>
    <mergeCell ref="AY16:AY18"/>
    <mergeCell ref="AZ16:AZ18"/>
    <mergeCell ref="BA16:BA18"/>
    <mergeCell ref="BB16:BB18"/>
    <mergeCell ref="BC16:BC18"/>
    <mergeCell ref="AR16:AR18"/>
    <mergeCell ref="AS16:AS18"/>
    <mergeCell ref="AT16:AT18"/>
  </mergeCells>
  <pageMargins left="0.7" right="0.7" top="0.75" bottom="0.75" header="0.3" footer="0.3"/>
  <pageSetup orientation="portrait" horizontalDpi="360" verticalDpi="36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H42"/>
  <sheetViews>
    <sheetView showGridLines="0" zoomScale="60" zoomScaleNormal="60" workbookViewId="0">
      <selection sqref="A1:BM4"/>
    </sheetView>
  </sheetViews>
  <sheetFormatPr baseColWidth="10" defaultColWidth="11.42578125" defaultRowHeight="27" customHeight="1" x14ac:dyDescent="0.2"/>
  <cols>
    <col min="1" max="1" width="16" style="222" customWidth="1"/>
    <col min="2" max="2" width="14.5703125" style="146" customWidth="1"/>
    <col min="3" max="3" width="4.5703125" style="146" customWidth="1"/>
    <col min="4" max="4" width="15.42578125" style="146" customWidth="1"/>
    <col min="5" max="5" width="9.5703125" style="146" customWidth="1"/>
    <col min="6" max="6" width="8" style="146" customWidth="1"/>
    <col min="7" max="7" width="13.7109375" style="146" customWidth="1"/>
    <col min="8" max="8" width="40.5703125" style="225" customWidth="1"/>
    <col min="9" max="9" width="41.7109375" style="145" customWidth="1"/>
    <col min="10" max="11" width="21.140625" style="145" customWidth="1"/>
    <col min="12" max="12" width="39.42578125" style="690" customWidth="1"/>
    <col min="13" max="13" width="21.85546875" style="224" customWidth="1"/>
    <col min="14" max="14" width="38.42578125" style="225" customWidth="1"/>
    <col min="15" max="15" width="15.5703125" style="226" customWidth="1"/>
    <col min="16" max="16" width="29.85546875" style="227" customWidth="1"/>
    <col min="17" max="17" width="48.28515625" style="223" customWidth="1"/>
    <col min="18" max="18" width="63" style="223" customWidth="1"/>
    <col min="19" max="19" width="39.7109375" style="223" customWidth="1"/>
    <col min="20" max="22" width="31.140625" style="235" customWidth="1"/>
    <col min="23" max="23" width="21.85546875" style="229" customWidth="1"/>
    <col min="24" max="24" width="40.28515625" style="230" customWidth="1"/>
    <col min="25" max="26" width="11.5703125" style="346" customWidth="1"/>
    <col min="27" max="28" width="12" style="346" customWidth="1"/>
    <col min="29" max="30" width="11" style="346" customWidth="1"/>
    <col min="31" max="32" width="10.140625" style="346" customWidth="1"/>
    <col min="33" max="33" width="11.7109375" style="346" customWidth="1"/>
    <col min="34" max="34" width="10.5703125" style="346" customWidth="1"/>
    <col min="35" max="37" width="10" style="346" customWidth="1"/>
    <col min="38" max="54" width="10.140625" style="346" customWidth="1"/>
    <col min="55" max="56" width="12" style="346" customWidth="1"/>
    <col min="57" max="57" width="23.140625" style="346" customWidth="1"/>
    <col min="58" max="58" width="28.140625" style="346" customWidth="1"/>
    <col min="59" max="59" width="30.28515625" style="346" customWidth="1"/>
    <col min="60" max="61" width="23.140625" style="346" customWidth="1"/>
    <col min="62" max="62" width="26.42578125" style="346" customWidth="1"/>
    <col min="63" max="64" width="21.140625" style="231" customWidth="1"/>
    <col min="65" max="66" width="20.85546875" style="232" customWidth="1"/>
    <col min="67" max="67" width="31.85546875" style="233" customWidth="1"/>
    <col min="68" max="16384" width="11.42578125" style="146"/>
  </cols>
  <sheetData>
    <row r="1" spans="1:86" ht="27" customHeight="1" x14ac:dyDescent="0.2">
      <c r="A1" s="1318" t="s">
        <v>552</v>
      </c>
      <c r="B1" s="1318"/>
      <c r="C1" s="1318"/>
      <c r="D1" s="1318"/>
      <c r="E1" s="1318"/>
      <c r="F1" s="1318"/>
      <c r="G1" s="1318"/>
      <c r="H1" s="1318"/>
      <c r="I1" s="1318"/>
      <c r="J1" s="1318"/>
      <c r="K1" s="1318"/>
      <c r="L1" s="1318"/>
      <c r="M1" s="1318"/>
      <c r="N1" s="1318"/>
      <c r="O1" s="1318"/>
      <c r="P1" s="1318"/>
      <c r="Q1" s="1318"/>
      <c r="R1" s="1318"/>
      <c r="S1" s="1318"/>
      <c r="T1" s="1318"/>
      <c r="U1" s="1318"/>
      <c r="V1" s="1318"/>
      <c r="W1" s="1318"/>
      <c r="X1" s="1318"/>
      <c r="Y1" s="1318"/>
      <c r="Z1" s="1318"/>
      <c r="AA1" s="1318"/>
      <c r="AB1" s="1318"/>
      <c r="AC1" s="1318"/>
      <c r="AD1" s="1318"/>
      <c r="AE1" s="1318"/>
      <c r="AF1" s="1318"/>
      <c r="AG1" s="1318"/>
      <c r="AH1" s="1318"/>
      <c r="AI1" s="1318"/>
      <c r="AJ1" s="1318"/>
      <c r="AK1" s="1318"/>
      <c r="AL1" s="1318"/>
      <c r="AM1" s="1318"/>
      <c r="AN1" s="1318"/>
      <c r="AO1" s="1318"/>
      <c r="AP1" s="1318"/>
      <c r="AQ1" s="1318"/>
      <c r="AR1" s="1318"/>
      <c r="AS1" s="1318"/>
      <c r="AT1" s="1318"/>
      <c r="AU1" s="1318"/>
      <c r="AV1" s="1318"/>
      <c r="AW1" s="1318"/>
      <c r="AX1" s="1318"/>
      <c r="AY1" s="1318"/>
      <c r="AZ1" s="1318"/>
      <c r="BA1" s="1318"/>
      <c r="BB1" s="1318"/>
      <c r="BC1" s="1318"/>
      <c r="BD1" s="1318"/>
      <c r="BE1" s="1318"/>
      <c r="BF1" s="1318"/>
      <c r="BG1" s="1318"/>
      <c r="BH1" s="1318"/>
      <c r="BI1" s="1318"/>
      <c r="BJ1" s="1318"/>
      <c r="BK1" s="1318"/>
      <c r="BL1" s="1318"/>
      <c r="BM1" s="1319"/>
      <c r="BN1" s="143" t="s">
        <v>1</v>
      </c>
      <c r="BO1" s="144" t="s">
        <v>131</v>
      </c>
      <c r="BP1" s="145"/>
      <c r="BQ1" s="145"/>
      <c r="BR1" s="145"/>
      <c r="BS1" s="145"/>
      <c r="BT1" s="145"/>
      <c r="BU1" s="145"/>
      <c r="BV1" s="145"/>
      <c r="BW1" s="145"/>
      <c r="BX1" s="145"/>
      <c r="BY1" s="145"/>
      <c r="BZ1" s="145"/>
      <c r="CA1" s="145"/>
      <c r="CB1" s="145"/>
      <c r="CC1" s="145"/>
      <c r="CD1" s="145"/>
      <c r="CE1" s="145"/>
      <c r="CF1" s="145"/>
      <c r="CG1" s="145"/>
      <c r="CH1" s="145"/>
    </row>
    <row r="2" spans="1:86" ht="27" customHeight="1" x14ac:dyDescent="0.2">
      <c r="A2" s="1318"/>
      <c r="B2" s="1318"/>
      <c r="C2" s="1318"/>
      <c r="D2" s="1318"/>
      <c r="E2" s="1318"/>
      <c r="F2" s="1318"/>
      <c r="G2" s="1318"/>
      <c r="H2" s="1318"/>
      <c r="I2" s="1318"/>
      <c r="J2" s="1318"/>
      <c r="K2" s="1318"/>
      <c r="L2" s="1318"/>
      <c r="M2" s="1318"/>
      <c r="N2" s="1318"/>
      <c r="O2" s="1318"/>
      <c r="P2" s="1318"/>
      <c r="Q2" s="1318"/>
      <c r="R2" s="1318"/>
      <c r="S2" s="1318"/>
      <c r="T2" s="1318"/>
      <c r="U2" s="1318"/>
      <c r="V2" s="1318"/>
      <c r="W2" s="1318"/>
      <c r="X2" s="1318"/>
      <c r="Y2" s="1318"/>
      <c r="Z2" s="1318"/>
      <c r="AA2" s="1318"/>
      <c r="AB2" s="1318"/>
      <c r="AC2" s="1318"/>
      <c r="AD2" s="1318"/>
      <c r="AE2" s="1318"/>
      <c r="AF2" s="1318"/>
      <c r="AG2" s="1318"/>
      <c r="AH2" s="1318"/>
      <c r="AI2" s="1318"/>
      <c r="AJ2" s="1318"/>
      <c r="AK2" s="1318"/>
      <c r="AL2" s="1318"/>
      <c r="AM2" s="1318"/>
      <c r="AN2" s="1318"/>
      <c r="AO2" s="1318"/>
      <c r="AP2" s="1318"/>
      <c r="AQ2" s="1318"/>
      <c r="AR2" s="1318"/>
      <c r="AS2" s="1318"/>
      <c r="AT2" s="1318"/>
      <c r="AU2" s="1318"/>
      <c r="AV2" s="1318"/>
      <c r="AW2" s="1318"/>
      <c r="AX2" s="1318"/>
      <c r="AY2" s="1318"/>
      <c r="AZ2" s="1318"/>
      <c r="BA2" s="1318"/>
      <c r="BB2" s="1318"/>
      <c r="BC2" s="1318"/>
      <c r="BD2" s="1318"/>
      <c r="BE2" s="1318"/>
      <c r="BF2" s="1318"/>
      <c r="BG2" s="1318"/>
      <c r="BH2" s="1318"/>
      <c r="BI2" s="1318"/>
      <c r="BJ2" s="1318"/>
      <c r="BK2" s="1318"/>
      <c r="BL2" s="1318"/>
      <c r="BM2" s="1319"/>
      <c r="BN2" s="143" t="s">
        <v>3</v>
      </c>
      <c r="BO2" s="144" t="s">
        <v>4</v>
      </c>
      <c r="BP2" s="145"/>
      <c r="BQ2" s="145"/>
      <c r="BR2" s="145"/>
      <c r="BS2" s="145"/>
      <c r="BT2" s="145"/>
      <c r="BU2" s="145"/>
      <c r="BV2" s="145"/>
      <c r="BW2" s="145"/>
      <c r="BX2" s="145"/>
      <c r="BY2" s="145"/>
      <c r="BZ2" s="145"/>
      <c r="CA2" s="145"/>
      <c r="CB2" s="145"/>
      <c r="CC2" s="145"/>
      <c r="CD2" s="145"/>
      <c r="CE2" s="145"/>
      <c r="CF2" s="145"/>
      <c r="CG2" s="145"/>
      <c r="CH2" s="145"/>
    </row>
    <row r="3" spans="1:86" ht="27" customHeight="1" x14ac:dyDescent="0.2">
      <c r="A3" s="1318"/>
      <c r="B3" s="1318"/>
      <c r="C3" s="1318"/>
      <c r="D3" s="1318"/>
      <c r="E3" s="1318"/>
      <c r="F3" s="1318"/>
      <c r="G3" s="1318"/>
      <c r="H3" s="1318"/>
      <c r="I3" s="1318"/>
      <c r="J3" s="1318"/>
      <c r="K3" s="1318"/>
      <c r="L3" s="1318"/>
      <c r="M3" s="1318"/>
      <c r="N3" s="1318"/>
      <c r="O3" s="1318"/>
      <c r="P3" s="1318"/>
      <c r="Q3" s="1318"/>
      <c r="R3" s="1318"/>
      <c r="S3" s="1318"/>
      <c r="T3" s="1318"/>
      <c r="U3" s="1318"/>
      <c r="V3" s="1318"/>
      <c r="W3" s="1318"/>
      <c r="X3" s="1318"/>
      <c r="Y3" s="1318"/>
      <c r="Z3" s="1318"/>
      <c r="AA3" s="1318"/>
      <c r="AB3" s="1318"/>
      <c r="AC3" s="1318"/>
      <c r="AD3" s="1318"/>
      <c r="AE3" s="1318"/>
      <c r="AF3" s="1318"/>
      <c r="AG3" s="1318"/>
      <c r="AH3" s="1318"/>
      <c r="AI3" s="1318"/>
      <c r="AJ3" s="1318"/>
      <c r="AK3" s="1318"/>
      <c r="AL3" s="1318"/>
      <c r="AM3" s="1318"/>
      <c r="AN3" s="1318"/>
      <c r="AO3" s="1318"/>
      <c r="AP3" s="1318"/>
      <c r="AQ3" s="1318"/>
      <c r="AR3" s="1318"/>
      <c r="AS3" s="1318"/>
      <c r="AT3" s="1318"/>
      <c r="AU3" s="1318"/>
      <c r="AV3" s="1318"/>
      <c r="AW3" s="1318"/>
      <c r="AX3" s="1318"/>
      <c r="AY3" s="1318"/>
      <c r="AZ3" s="1318"/>
      <c r="BA3" s="1318"/>
      <c r="BB3" s="1318"/>
      <c r="BC3" s="1318"/>
      <c r="BD3" s="1318"/>
      <c r="BE3" s="1318"/>
      <c r="BF3" s="1318"/>
      <c r="BG3" s="1318"/>
      <c r="BH3" s="1318"/>
      <c r="BI3" s="1318"/>
      <c r="BJ3" s="1318"/>
      <c r="BK3" s="1318"/>
      <c r="BL3" s="1318"/>
      <c r="BM3" s="1319"/>
      <c r="BN3" s="143" t="s">
        <v>5</v>
      </c>
      <c r="BO3" s="147" t="s">
        <v>6</v>
      </c>
      <c r="BP3" s="145"/>
      <c r="BQ3" s="145"/>
      <c r="BR3" s="145"/>
      <c r="BS3" s="145"/>
      <c r="BT3" s="145"/>
      <c r="BU3" s="145"/>
      <c r="BV3" s="145"/>
      <c r="BW3" s="145"/>
      <c r="BX3" s="145"/>
      <c r="BY3" s="145"/>
      <c r="BZ3" s="145"/>
      <c r="CA3" s="145"/>
      <c r="CB3" s="145"/>
      <c r="CC3" s="145"/>
      <c r="CD3" s="145"/>
      <c r="CE3" s="145"/>
      <c r="CF3" s="145"/>
      <c r="CG3" s="145"/>
      <c r="CH3" s="145"/>
    </row>
    <row r="4" spans="1:86" ht="27" customHeight="1" x14ac:dyDescent="0.2">
      <c r="A4" s="1320"/>
      <c r="B4" s="1320"/>
      <c r="C4" s="1320"/>
      <c r="D4" s="1320"/>
      <c r="E4" s="1320"/>
      <c r="F4" s="1320"/>
      <c r="G4" s="1320"/>
      <c r="H4" s="1320"/>
      <c r="I4" s="1320"/>
      <c r="J4" s="1320"/>
      <c r="K4" s="1320"/>
      <c r="L4" s="1320"/>
      <c r="M4" s="1320"/>
      <c r="N4" s="1320"/>
      <c r="O4" s="1320"/>
      <c r="P4" s="1320"/>
      <c r="Q4" s="1320"/>
      <c r="R4" s="1320"/>
      <c r="S4" s="1320"/>
      <c r="T4" s="1320"/>
      <c r="U4" s="1320"/>
      <c r="V4" s="1320"/>
      <c r="W4" s="1320"/>
      <c r="X4" s="1320"/>
      <c r="Y4" s="1320"/>
      <c r="Z4" s="1320"/>
      <c r="AA4" s="1320"/>
      <c r="AB4" s="1320"/>
      <c r="AC4" s="1320"/>
      <c r="AD4" s="1320"/>
      <c r="AE4" s="1320"/>
      <c r="AF4" s="1320"/>
      <c r="AG4" s="1320"/>
      <c r="AH4" s="1320"/>
      <c r="AI4" s="1320"/>
      <c r="AJ4" s="1320"/>
      <c r="AK4" s="1320"/>
      <c r="AL4" s="1320"/>
      <c r="AM4" s="1320"/>
      <c r="AN4" s="1320"/>
      <c r="AO4" s="1320"/>
      <c r="AP4" s="1320"/>
      <c r="AQ4" s="1320"/>
      <c r="AR4" s="1320"/>
      <c r="AS4" s="1320"/>
      <c r="AT4" s="1320"/>
      <c r="AU4" s="1320"/>
      <c r="AV4" s="1320"/>
      <c r="AW4" s="1320"/>
      <c r="AX4" s="1320"/>
      <c r="AY4" s="1320"/>
      <c r="AZ4" s="1320"/>
      <c r="BA4" s="1320"/>
      <c r="BB4" s="1320"/>
      <c r="BC4" s="1320"/>
      <c r="BD4" s="1320"/>
      <c r="BE4" s="1320"/>
      <c r="BF4" s="1320"/>
      <c r="BG4" s="1320"/>
      <c r="BH4" s="1320"/>
      <c r="BI4" s="1320"/>
      <c r="BJ4" s="1320"/>
      <c r="BK4" s="1320"/>
      <c r="BL4" s="1320"/>
      <c r="BM4" s="1321"/>
      <c r="BN4" s="143" t="s">
        <v>7</v>
      </c>
      <c r="BO4" s="148" t="s">
        <v>8</v>
      </c>
      <c r="BP4" s="145"/>
      <c r="BQ4" s="145"/>
      <c r="BR4" s="145"/>
      <c r="BS4" s="145"/>
      <c r="BT4" s="145"/>
      <c r="BU4" s="145"/>
      <c r="BV4" s="145"/>
      <c r="BW4" s="145"/>
      <c r="BX4" s="145"/>
      <c r="BY4" s="145"/>
      <c r="BZ4" s="145"/>
      <c r="CA4" s="145"/>
      <c r="CB4" s="145"/>
      <c r="CC4" s="145"/>
      <c r="CD4" s="145"/>
      <c r="CE4" s="145"/>
      <c r="CF4" s="145"/>
      <c r="CG4" s="145"/>
      <c r="CH4" s="145"/>
    </row>
    <row r="5" spans="1:86" s="4" customFormat="1" ht="27" customHeight="1" x14ac:dyDescent="0.2">
      <c r="A5" s="1231" t="s">
        <v>9</v>
      </c>
      <c r="B5" s="1231"/>
      <c r="C5" s="1231"/>
      <c r="D5" s="1231"/>
      <c r="E5" s="1231"/>
      <c r="F5" s="1231"/>
      <c r="G5" s="1231"/>
      <c r="H5" s="1231"/>
      <c r="I5" s="1231"/>
      <c r="J5" s="1231"/>
      <c r="K5" s="7"/>
      <c r="L5" s="1233" t="s">
        <v>10</v>
      </c>
      <c r="M5" s="1233"/>
      <c r="N5" s="1233"/>
      <c r="O5" s="1233"/>
      <c r="P5" s="1233"/>
      <c r="Q5" s="1233"/>
      <c r="R5" s="1233"/>
      <c r="S5" s="1233"/>
      <c r="T5" s="1233"/>
      <c r="U5" s="1233"/>
      <c r="V5" s="1233"/>
      <c r="W5" s="1233"/>
      <c r="X5" s="1233"/>
      <c r="Y5" s="1233"/>
      <c r="Z5" s="1233"/>
      <c r="AA5" s="1233"/>
      <c r="AB5" s="1233"/>
      <c r="AC5" s="1233"/>
      <c r="AD5" s="1233"/>
      <c r="AE5" s="1233"/>
      <c r="AF5" s="1233"/>
      <c r="AG5" s="1233"/>
      <c r="AH5" s="1233"/>
      <c r="AI5" s="1233"/>
      <c r="AJ5" s="1233"/>
      <c r="AK5" s="1233"/>
      <c r="AL5" s="1233"/>
      <c r="AM5" s="1233"/>
      <c r="AN5" s="1233"/>
      <c r="AO5" s="1233"/>
      <c r="AP5" s="1233"/>
      <c r="AQ5" s="1233"/>
      <c r="AR5" s="1233"/>
      <c r="AS5" s="1233"/>
      <c r="AT5" s="1233"/>
      <c r="AU5" s="1233"/>
      <c r="AV5" s="1233"/>
      <c r="AW5" s="1233"/>
      <c r="AX5" s="1233"/>
      <c r="AY5" s="1233"/>
      <c r="AZ5" s="1233"/>
      <c r="BA5" s="1233"/>
      <c r="BB5" s="1233"/>
      <c r="BC5" s="1233"/>
      <c r="BD5" s="1233"/>
      <c r="BE5" s="1233"/>
      <c r="BF5" s="1233"/>
      <c r="BG5" s="1233"/>
      <c r="BH5" s="1233"/>
      <c r="BI5" s="1233"/>
      <c r="BJ5" s="1233"/>
      <c r="BK5" s="1233"/>
      <c r="BL5" s="1233"/>
      <c r="BM5" s="1233"/>
      <c r="BN5" s="1233"/>
      <c r="BO5" s="1233"/>
      <c r="BP5" s="3"/>
      <c r="BQ5" s="3"/>
      <c r="BR5" s="3"/>
      <c r="BS5" s="3"/>
      <c r="BT5" s="3"/>
      <c r="BU5" s="3"/>
      <c r="BV5" s="3"/>
      <c r="BW5" s="3"/>
      <c r="BX5" s="3"/>
      <c r="BY5" s="3"/>
      <c r="BZ5" s="3"/>
      <c r="CA5" s="3"/>
      <c r="CB5" s="3"/>
      <c r="CC5" s="3"/>
      <c r="CD5" s="3"/>
      <c r="CE5" s="3"/>
      <c r="CF5" s="3"/>
    </row>
    <row r="6" spans="1:86" s="4" customFormat="1" ht="27" customHeight="1" thickBot="1" x14ac:dyDescent="0.25">
      <c r="A6" s="1232"/>
      <c r="B6" s="1232"/>
      <c r="C6" s="1232"/>
      <c r="D6" s="1232"/>
      <c r="E6" s="1232"/>
      <c r="F6" s="1232"/>
      <c r="G6" s="1232"/>
      <c r="H6" s="1232"/>
      <c r="I6" s="1232"/>
      <c r="J6" s="1232"/>
      <c r="K6" s="8"/>
      <c r="L6" s="239"/>
      <c r="M6" s="10"/>
      <c r="N6" s="240"/>
      <c r="O6" s="8"/>
      <c r="P6" s="10"/>
      <c r="Q6" s="240"/>
      <c r="R6" s="240"/>
      <c r="S6" s="240"/>
      <c r="T6" s="10"/>
      <c r="U6" s="10"/>
      <c r="V6" s="10"/>
      <c r="W6" s="10"/>
      <c r="X6" s="10"/>
      <c r="Y6" s="1233" t="s">
        <v>11</v>
      </c>
      <c r="Z6" s="1233"/>
      <c r="AA6" s="1233"/>
      <c r="AB6" s="1233"/>
      <c r="AC6" s="1233"/>
      <c r="AD6" s="1233"/>
      <c r="AE6" s="1233"/>
      <c r="AF6" s="1233"/>
      <c r="AG6" s="1233"/>
      <c r="AH6" s="1233"/>
      <c r="AI6" s="1233"/>
      <c r="AJ6" s="1233"/>
      <c r="AK6" s="1233"/>
      <c r="AL6" s="1233"/>
      <c r="AM6" s="1233"/>
      <c r="AN6" s="1233"/>
      <c r="AO6" s="1233"/>
      <c r="AP6" s="1233"/>
      <c r="AQ6" s="1233"/>
      <c r="AR6" s="1233"/>
      <c r="AS6" s="1233"/>
      <c r="AT6" s="1233"/>
      <c r="AU6" s="1233"/>
      <c r="AV6" s="1233"/>
      <c r="AW6" s="1233"/>
      <c r="AX6" s="1233"/>
      <c r="AY6" s="1233"/>
      <c r="AZ6" s="1233"/>
      <c r="BA6" s="1233"/>
      <c r="BB6" s="1233"/>
      <c r="BC6" s="1233"/>
      <c r="BD6" s="1233"/>
      <c r="BE6" s="8"/>
      <c r="BF6" s="8"/>
      <c r="BG6" s="8"/>
      <c r="BH6" s="8"/>
      <c r="BI6" s="8"/>
      <c r="BJ6" s="8"/>
      <c r="BK6" s="8"/>
      <c r="BL6" s="8"/>
      <c r="BM6" s="8"/>
      <c r="BN6" s="8"/>
      <c r="BO6" s="541"/>
      <c r="BP6" s="3"/>
      <c r="BQ6" s="3"/>
      <c r="BR6" s="3"/>
      <c r="BS6" s="3"/>
      <c r="BT6" s="3"/>
      <c r="BU6" s="3"/>
      <c r="BV6" s="3"/>
      <c r="BW6" s="3"/>
      <c r="BX6" s="3"/>
      <c r="BY6" s="3"/>
      <c r="BZ6" s="3"/>
      <c r="CA6" s="3"/>
      <c r="CB6" s="3"/>
      <c r="CC6" s="3"/>
      <c r="CD6" s="3"/>
      <c r="CE6" s="3"/>
      <c r="CF6" s="3"/>
    </row>
    <row r="7" spans="1:86" s="4" customFormat="1" ht="43.5" customHeight="1" x14ac:dyDescent="0.2">
      <c r="A7" s="1234" t="s">
        <v>12</v>
      </c>
      <c r="B7" s="1221" t="s">
        <v>13</v>
      </c>
      <c r="C7" s="1221"/>
      <c r="D7" s="1221" t="s">
        <v>12</v>
      </c>
      <c r="E7" s="1221" t="s">
        <v>14</v>
      </c>
      <c r="F7" s="1221"/>
      <c r="G7" s="1237" t="s">
        <v>12</v>
      </c>
      <c r="H7" s="1221" t="s">
        <v>15</v>
      </c>
      <c r="I7" s="1221" t="s">
        <v>16</v>
      </c>
      <c r="J7" s="1222" t="s">
        <v>17</v>
      </c>
      <c r="K7" s="1223"/>
      <c r="L7" s="1221" t="s">
        <v>18</v>
      </c>
      <c r="M7" s="1221" t="s">
        <v>19</v>
      </c>
      <c r="N7" s="1221" t="s">
        <v>10</v>
      </c>
      <c r="O7" s="1226" t="s">
        <v>20</v>
      </c>
      <c r="P7" s="1253" t="s">
        <v>21</v>
      </c>
      <c r="Q7" s="1221" t="s">
        <v>22</v>
      </c>
      <c r="R7" s="1221" t="s">
        <v>23</v>
      </c>
      <c r="S7" s="1221" t="s">
        <v>24</v>
      </c>
      <c r="T7" s="1253" t="s">
        <v>21</v>
      </c>
      <c r="U7" s="1253" t="s">
        <v>25</v>
      </c>
      <c r="V7" s="1253" t="s">
        <v>26</v>
      </c>
      <c r="W7" s="1264" t="s">
        <v>12</v>
      </c>
      <c r="X7" s="1221" t="s">
        <v>27</v>
      </c>
      <c r="Y7" s="1240" t="s">
        <v>28</v>
      </c>
      <c r="Z7" s="1241"/>
      <c r="AA7" s="1241"/>
      <c r="AB7" s="1242"/>
      <c r="AC7" s="1243" t="s">
        <v>29</v>
      </c>
      <c r="AD7" s="1244"/>
      <c r="AE7" s="1244"/>
      <c r="AF7" s="1244"/>
      <c r="AG7" s="1244"/>
      <c r="AH7" s="1244"/>
      <c r="AI7" s="1244"/>
      <c r="AJ7" s="1245"/>
      <c r="AK7" s="1246" t="s">
        <v>30</v>
      </c>
      <c r="AL7" s="1247"/>
      <c r="AM7" s="1247"/>
      <c r="AN7" s="1247"/>
      <c r="AO7" s="1247"/>
      <c r="AP7" s="1247"/>
      <c r="AQ7" s="1247"/>
      <c r="AR7" s="1247"/>
      <c r="AS7" s="1247"/>
      <c r="AT7" s="1247"/>
      <c r="AU7" s="1247"/>
      <c r="AV7" s="1248"/>
      <c r="AW7" s="1254" t="s">
        <v>31</v>
      </c>
      <c r="AX7" s="1255"/>
      <c r="AY7" s="1255"/>
      <c r="AZ7" s="1255"/>
      <c r="BA7" s="1255"/>
      <c r="BB7" s="1256"/>
      <c r="BC7" s="1257" t="s">
        <v>32</v>
      </c>
      <c r="BD7" s="1258"/>
      <c r="BE7" s="1622" t="s">
        <v>33</v>
      </c>
      <c r="BF7" s="1623"/>
      <c r="BG7" s="1623"/>
      <c r="BH7" s="1623"/>
      <c r="BI7" s="1623"/>
      <c r="BJ7" s="1624"/>
      <c r="BK7" s="1266" t="s">
        <v>34</v>
      </c>
      <c r="BL7" s="1267"/>
      <c r="BM7" s="1266" t="s">
        <v>35</v>
      </c>
      <c r="BN7" s="1267"/>
      <c r="BO7" s="1270" t="s">
        <v>36</v>
      </c>
      <c r="BP7" s="3"/>
      <c r="BQ7" s="3"/>
      <c r="BR7" s="3"/>
      <c r="BS7" s="3"/>
      <c r="BT7" s="3"/>
      <c r="BU7" s="3"/>
      <c r="BV7" s="3"/>
      <c r="BW7" s="3"/>
      <c r="BX7" s="3"/>
      <c r="BY7" s="3"/>
      <c r="BZ7" s="3"/>
      <c r="CA7" s="3"/>
      <c r="CB7" s="3"/>
      <c r="CC7" s="3"/>
      <c r="CD7" s="3"/>
    </row>
    <row r="8" spans="1:86" s="4" customFormat="1" ht="120.75" customHeight="1" x14ac:dyDescent="0.2">
      <c r="A8" s="1235"/>
      <c r="B8" s="1221"/>
      <c r="C8" s="1221"/>
      <c r="D8" s="1221"/>
      <c r="E8" s="1221"/>
      <c r="F8" s="1221"/>
      <c r="G8" s="1238"/>
      <c r="H8" s="1221"/>
      <c r="I8" s="1221"/>
      <c r="J8" s="1224"/>
      <c r="K8" s="1225"/>
      <c r="L8" s="1221"/>
      <c r="M8" s="1221"/>
      <c r="N8" s="1221"/>
      <c r="O8" s="1226"/>
      <c r="P8" s="1253"/>
      <c r="Q8" s="1221"/>
      <c r="R8" s="1221"/>
      <c r="S8" s="1221"/>
      <c r="T8" s="1253"/>
      <c r="U8" s="1253"/>
      <c r="V8" s="1253"/>
      <c r="W8" s="1264"/>
      <c r="X8" s="1221"/>
      <c r="Y8" s="1249" t="s">
        <v>37</v>
      </c>
      <c r="Z8" s="1250"/>
      <c r="AA8" s="1251" t="s">
        <v>38</v>
      </c>
      <c r="AB8" s="1252"/>
      <c r="AC8" s="1249" t="s">
        <v>39</v>
      </c>
      <c r="AD8" s="1250"/>
      <c r="AE8" s="1249" t="s">
        <v>40</v>
      </c>
      <c r="AF8" s="1250"/>
      <c r="AG8" s="1249" t="s">
        <v>41</v>
      </c>
      <c r="AH8" s="1250"/>
      <c r="AI8" s="1249" t="s">
        <v>42</v>
      </c>
      <c r="AJ8" s="1250"/>
      <c r="AK8" s="1249" t="s">
        <v>43</v>
      </c>
      <c r="AL8" s="1250"/>
      <c r="AM8" s="1249" t="s">
        <v>44</v>
      </c>
      <c r="AN8" s="1250"/>
      <c r="AO8" s="1249" t="s">
        <v>45</v>
      </c>
      <c r="AP8" s="1250"/>
      <c r="AQ8" s="1249" t="s">
        <v>46</v>
      </c>
      <c r="AR8" s="1250"/>
      <c r="AS8" s="1249" t="s">
        <v>47</v>
      </c>
      <c r="AT8" s="1250"/>
      <c r="AU8" s="1249" t="s">
        <v>48</v>
      </c>
      <c r="AV8" s="1250"/>
      <c r="AW8" s="1249" t="s">
        <v>49</v>
      </c>
      <c r="AX8" s="1250"/>
      <c r="AY8" s="1249" t="s">
        <v>50</v>
      </c>
      <c r="AZ8" s="1250"/>
      <c r="BA8" s="1302" t="s">
        <v>51</v>
      </c>
      <c r="BB8" s="1302"/>
      <c r="BC8" s="1259"/>
      <c r="BD8" s="1260"/>
      <c r="BE8" s="1274" t="s">
        <v>52</v>
      </c>
      <c r="BF8" s="1273" t="s">
        <v>53</v>
      </c>
      <c r="BG8" s="1274" t="s">
        <v>54</v>
      </c>
      <c r="BH8" s="1275" t="s">
        <v>55</v>
      </c>
      <c r="BI8" s="1274" t="s">
        <v>56</v>
      </c>
      <c r="BJ8" s="1276" t="s">
        <v>57</v>
      </c>
      <c r="BK8" s="1509"/>
      <c r="BL8" s="1510"/>
      <c r="BM8" s="1268"/>
      <c r="BN8" s="1269"/>
      <c r="BO8" s="1271"/>
      <c r="BP8" s="3"/>
      <c r="BQ8" s="3"/>
      <c r="BR8" s="3"/>
      <c r="BS8" s="3"/>
      <c r="BT8" s="3"/>
      <c r="BU8" s="3"/>
      <c r="BV8" s="3"/>
      <c r="BW8" s="3"/>
      <c r="BX8" s="3"/>
      <c r="BY8" s="3"/>
      <c r="BZ8" s="3"/>
      <c r="CA8" s="3"/>
      <c r="CB8" s="3"/>
      <c r="CC8" s="3"/>
      <c r="CD8" s="3"/>
    </row>
    <row r="9" spans="1:86" s="4" customFormat="1" ht="21.75" customHeight="1" x14ac:dyDescent="0.2">
      <c r="A9" s="1236"/>
      <c r="B9" s="1221"/>
      <c r="C9" s="1221"/>
      <c r="D9" s="1221"/>
      <c r="E9" s="1221"/>
      <c r="F9" s="1221"/>
      <c r="G9" s="1239"/>
      <c r="H9" s="1221"/>
      <c r="I9" s="1221"/>
      <c r="J9" s="12" t="s">
        <v>58</v>
      </c>
      <c r="K9" s="12" t="s">
        <v>59</v>
      </c>
      <c r="L9" s="1221"/>
      <c r="M9" s="1221"/>
      <c r="N9" s="1221"/>
      <c r="O9" s="1226"/>
      <c r="P9" s="1253"/>
      <c r="Q9" s="1221"/>
      <c r="R9" s="1221"/>
      <c r="S9" s="1221"/>
      <c r="T9" s="1253"/>
      <c r="U9" s="1253"/>
      <c r="V9" s="1253"/>
      <c r="W9" s="1264"/>
      <c r="X9" s="1221"/>
      <c r="Y9" s="12" t="s">
        <v>58</v>
      </c>
      <c r="Z9" s="12" t="s">
        <v>60</v>
      </c>
      <c r="AA9" s="12" t="s">
        <v>58</v>
      </c>
      <c r="AB9" s="12" t="s">
        <v>60</v>
      </c>
      <c r="AC9" s="12" t="s">
        <v>58</v>
      </c>
      <c r="AD9" s="12" t="s">
        <v>60</v>
      </c>
      <c r="AE9" s="12" t="s">
        <v>58</v>
      </c>
      <c r="AF9" s="12" t="s">
        <v>60</v>
      </c>
      <c r="AG9" s="12" t="s">
        <v>58</v>
      </c>
      <c r="AH9" s="12" t="s">
        <v>60</v>
      </c>
      <c r="AI9" s="12" t="s">
        <v>58</v>
      </c>
      <c r="AJ9" s="12" t="s">
        <v>60</v>
      </c>
      <c r="AK9" s="12" t="s">
        <v>58</v>
      </c>
      <c r="AL9" s="12" t="s">
        <v>60</v>
      </c>
      <c r="AM9" s="12" t="s">
        <v>58</v>
      </c>
      <c r="AN9" s="12" t="s">
        <v>60</v>
      </c>
      <c r="AO9" s="12" t="s">
        <v>58</v>
      </c>
      <c r="AP9" s="12" t="s">
        <v>60</v>
      </c>
      <c r="AQ9" s="12" t="s">
        <v>58</v>
      </c>
      <c r="AR9" s="12" t="s">
        <v>60</v>
      </c>
      <c r="AS9" s="12" t="s">
        <v>58</v>
      </c>
      <c r="AT9" s="12" t="s">
        <v>60</v>
      </c>
      <c r="AU9" s="12" t="s">
        <v>58</v>
      </c>
      <c r="AV9" s="12" t="s">
        <v>60</v>
      </c>
      <c r="AW9" s="12" t="s">
        <v>58</v>
      </c>
      <c r="AX9" s="12" t="s">
        <v>60</v>
      </c>
      <c r="AY9" s="12" t="s">
        <v>58</v>
      </c>
      <c r="AZ9" s="12" t="s">
        <v>60</v>
      </c>
      <c r="BA9" s="12" t="s">
        <v>58</v>
      </c>
      <c r="BB9" s="12" t="s">
        <v>60</v>
      </c>
      <c r="BC9" s="12" t="s">
        <v>58</v>
      </c>
      <c r="BD9" s="12" t="s">
        <v>60</v>
      </c>
      <c r="BE9" s="1274"/>
      <c r="BF9" s="1273"/>
      <c r="BG9" s="1274"/>
      <c r="BH9" s="1275"/>
      <c r="BI9" s="1274"/>
      <c r="BJ9" s="1277"/>
      <c r="BK9" s="13" t="s">
        <v>58</v>
      </c>
      <c r="BL9" s="13" t="s">
        <v>60</v>
      </c>
      <c r="BM9" s="13" t="s">
        <v>58</v>
      </c>
      <c r="BN9" s="13" t="s">
        <v>60</v>
      </c>
      <c r="BO9" s="1272"/>
      <c r="BP9" s="3"/>
      <c r="BQ9" s="3"/>
      <c r="BR9" s="3"/>
      <c r="BS9" s="3"/>
      <c r="BT9" s="3"/>
      <c r="BU9" s="3"/>
      <c r="BV9" s="3"/>
      <c r="BW9" s="3"/>
      <c r="BX9" s="3"/>
      <c r="BY9" s="3"/>
      <c r="BZ9" s="3"/>
      <c r="CA9" s="3"/>
      <c r="CB9" s="3"/>
      <c r="CC9" s="3"/>
      <c r="CD9" s="3"/>
    </row>
    <row r="10" spans="1:86" s="91" customFormat="1" ht="27.75" customHeight="1" x14ac:dyDescent="0.2">
      <c r="A10" s="611">
        <v>1</v>
      </c>
      <c r="B10" s="156" t="s">
        <v>156</v>
      </c>
      <c r="C10" s="241"/>
      <c r="D10" s="242"/>
      <c r="E10" s="243"/>
      <c r="F10" s="243"/>
      <c r="G10" s="243"/>
      <c r="H10" s="243"/>
      <c r="I10" s="243"/>
      <c r="J10" s="653"/>
      <c r="K10" s="653"/>
      <c r="L10" s="654"/>
      <c r="M10" s="244"/>
      <c r="N10" s="245"/>
      <c r="O10" s="246"/>
      <c r="P10" s="247"/>
      <c r="Q10" s="248"/>
      <c r="R10" s="248"/>
      <c r="S10" s="248"/>
      <c r="T10" s="249"/>
      <c r="U10" s="249"/>
      <c r="V10" s="249"/>
      <c r="W10" s="250"/>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244"/>
      <c r="BK10" s="251"/>
      <c r="BL10" s="251"/>
      <c r="BM10" s="251"/>
      <c r="BN10" s="251"/>
      <c r="BO10" s="655"/>
      <c r="BP10" s="3"/>
      <c r="BQ10" s="3"/>
      <c r="BR10" s="3"/>
      <c r="BS10" s="3"/>
      <c r="BT10" s="3"/>
      <c r="BU10" s="3"/>
      <c r="BV10" s="3"/>
      <c r="BW10" s="3"/>
      <c r="BX10" s="3"/>
      <c r="BY10" s="3"/>
      <c r="BZ10" s="3"/>
      <c r="CA10" s="3"/>
      <c r="CB10" s="3"/>
      <c r="CC10" s="3"/>
      <c r="CD10" s="3"/>
      <c r="CE10" s="3"/>
      <c r="CF10" s="3"/>
      <c r="CG10" s="3"/>
      <c r="CH10" s="3"/>
    </row>
    <row r="11" spans="1:86" s="3" customFormat="1" ht="27" customHeight="1" x14ac:dyDescent="0.2">
      <c r="A11" s="167"/>
      <c r="B11" s="253"/>
      <c r="C11" s="254"/>
      <c r="D11" s="656">
        <v>15</v>
      </c>
      <c r="E11" s="260" t="s">
        <v>175</v>
      </c>
      <c r="F11" s="257"/>
      <c r="G11" s="258"/>
      <c r="H11" s="259"/>
      <c r="I11" s="260"/>
      <c r="J11" s="261"/>
      <c r="K11" s="261"/>
      <c r="L11" s="657"/>
      <c r="M11" s="262"/>
      <c r="N11" s="263"/>
      <c r="O11" s="264"/>
      <c r="P11" s="265"/>
      <c r="Q11" s="266"/>
      <c r="R11" s="266"/>
      <c r="S11" s="266"/>
      <c r="T11" s="267"/>
      <c r="U11" s="267"/>
      <c r="V11" s="267"/>
      <c r="W11" s="268"/>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262"/>
      <c r="BK11" s="269"/>
      <c r="BL11" s="269"/>
      <c r="BM11" s="269"/>
      <c r="BN11" s="269"/>
      <c r="BO11" s="658"/>
    </row>
    <row r="12" spans="1:86" s="3" customFormat="1" ht="112.5" customHeight="1" x14ac:dyDescent="0.2">
      <c r="A12" s="28"/>
      <c r="B12" s="73"/>
      <c r="C12" s="74"/>
      <c r="D12" s="659"/>
      <c r="E12" s="389"/>
      <c r="F12" s="390"/>
      <c r="G12" s="271">
        <v>2201033</v>
      </c>
      <c r="H12" s="503" t="s">
        <v>553</v>
      </c>
      <c r="I12" s="213" t="s">
        <v>554</v>
      </c>
      <c r="J12" s="36">
        <v>9000</v>
      </c>
      <c r="K12" s="428"/>
      <c r="L12" s="1619" t="s">
        <v>555</v>
      </c>
      <c r="M12" s="1496" t="s">
        <v>556</v>
      </c>
      <c r="N12" s="1415" t="s">
        <v>557</v>
      </c>
      <c r="O12" s="429">
        <f>(T12)/(P12+P13+P14)</f>
        <v>0.2289699035127705</v>
      </c>
      <c r="P12" s="430">
        <f>+T12</f>
        <v>3960452042</v>
      </c>
      <c r="Q12" s="1296" t="s">
        <v>558</v>
      </c>
      <c r="R12" s="1468" t="s">
        <v>559</v>
      </c>
      <c r="S12" s="503" t="s">
        <v>553</v>
      </c>
      <c r="T12" s="274">
        <v>3960452042</v>
      </c>
      <c r="U12" s="430">
        <f>2718997934.00168+805474.99831599</f>
        <v>2719803408.9999957</v>
      </c>
      <c r="V12" s="430">
        <f>1072414775.00168+805474.99831599</f>
        <v>1073220249.9999959</v>
      </c>
      <c r="W12" s="1478" t="s">
        <v>560</v>
      </c>
      <c r="X12" s="1296" t="s">
        <v>561</v>
      </c>
      <c r="Y12" s="1436">
        <v>20196</v>
      </c>
      <c r="Z12" s="1436"/>
      <c r="AA12" s="1436">
        <v>20595</v>
      </c>
      <c r="AB12" s="1436"/>
      <c r="AC12" s="1436">
        <v>29775</v>
      </c>
      <c r="AD12" s="1436"/>
      <c r="AE12" s="1436">
        <v>9453</v>
      </c>
      <c r="AF12" s="1436"/>
      <c r="AG12" s="1436">
        <v>1396</v>
      </c>
      <c r="AH12" s="1436"/>
      <c r="AI12" s="1436">
        <v>167</v>
      </c>
      <c r="AJ12" s="1436"/>
      <c r="AK12" s="1436">
        <v>274</v>
      </c>
      <c r="AL12" s="1436"/>
      <c r="AM12" s="1436">
        <v>330</v>
      </c>
      <c r="AN12" s="1436"/>
      <c r="AO12" s="1436">
        <v>0</v>
      </c>
      <c r="AP12" s="1436"/>
      <c r="AQ12" s="1436">
        <v>0</v>
      </c>
      <c r="AR12" s="1436"/>
      <c r="AS12" s="1436">
        <v>0</v>
      </c>
      <c r="AT12" s="1436"/>
      <c r="AU12" s="1436">
        <v>0</v>
      </c>
      <c r="AV12" s="1436"/>
      <c r="AW12" s="1436">
        <v>3097</v>
      </c>
      <c r="AX12" s="1436"/>
      <c r="AY12" s="1436">
        <v>2611</v>
      </c>
      <c r="AZ12" s="1436"/>
      <c r="BA12" s="1436">
        <v>50</v>
      </c>
      <c r="BB12" s="1436"/>
      <c r="BC12" s="1436">
        <f>+Y12+AA12</f>
        <v>40791</v>
      </c>
      <c r="BD12" s="1436"/>
      <c r="BE12" s="1436">
        <v>3</v>
      </c>
      <c r="BF12" s="1540">
        <f>SUM(U12:U14)</f>
        <v>13146107120.999996</v>
      </c>
      <c r="BG12" s="1540">
        <f>SUM(V12:V14)</f>
        <v>3140538986.9999962</v>
      </c>
      <c r="BH12" s="1542">
        <f>BG12/BF12</f>
        <v>0.23889497918233166</v>
      </c>
      <c r="BI12" s="1614" t="s">
        <v>562</v>
      </c>
      <c r="BJ12" s="1614" t="s">
        <v>563</v>
      </c>
      <c r="BK12" s="1315">
        <v>43832</v>
      </c>
      <c r="BL12" s="1541">
        <v>43863</v>
      </c>
      <c r="BM12" s="1315">
        <v>44195</v>
      </c>
      <c r="BN12" s="1436" t="s">
        <v>564</v>
      </c>
      <c r="BO12" s="1406" t="s">
        <v>565</v>
      </c>
    </row>
    <row r="13" spans="1:86" s="4" customFormat="1" ht="65.25" customHeight="1" x14ac:dyDescent="0.2">
      <c r="A13" s="283"/>
      <c r="B13" s="91"/>
      <c r="C13" s="89"/>
      <c r="D13" s="91"/>
      <c r="E13" s="91"/>
      <c r="F13" s="89"/>
      <c r="G13" s="271">
        <v>2201028</v>
      </c>
      <c r="H13" s="503" t="s">
        <v>566</v>
      </c>
      <c r="I13" s="213" t="s">
        <v>567</v>
      </c>
      <c r="J13" s="92">
        <v>9000</v>
      </c>
      <c r="K13" s="646"/>
      <c r="L13" s="1620"/>
      <c r="M13" s="1496"/>
      <c r="N13" s="1416"/>
      <c r="O13" s="295">
        <f>(T13)/(P12+P13+P14)</f>
        <v>0.7431113003535309</v>
      </c>
      <c r="P13" s="430">
        <f>+T13</f>
        <v>12853465113.83</v>
      </c>
      <c r="Q13" s="1297"/>
      <c r="R13" s="1511"/>
      <c r="S13" s="503" t="s">
        <v>566</v>
      </c>
      <c r="T13" s="274">
        <v>12853465113.83</v>
      </c>
      <c r="U13" s="430">
        <v>10426303712</v>
      </c>
      <c r="V13" s="430">
        <v>2067318737</v>
      </c>
      <c r="W13" s="1534"/>
      <c r="X13" s="1297"/>
      <c r="Y13" s="1617"/>
      <c r="Z13" s="1617"/>
      <c r="AA13" s="1617"/>
      <c r="AB13" s="1617"/>
      <c r="AC13" s="1617"/>
      <c r="AD13" s="1617"/>
      <c r="AE13" s="1617"/>
      <c r="AF13" s="1617"/>
      <c r="AG13" s="1617"/>
      <c r="AH13" s="1617"/>
      <c r="AI13" s="1617"/>
      <c r="AJ13" s="1617"/>
      <c r="AK13" s="1617"/>
      <c r="AL13" s="1617"/>
      <c r="AM13" s="1617"/>
      <c r="AN13" s="1617"/>
      <c r="AO13" s="1617"/>
      <c r="AP13" s="1617"/>
      <c r="AQ13" s="1617"/>
      <c r="AR13" s="1617"/>
      <c r="AS13" s="1617"/>
      <c r="AT13" s="1617"/>
      <c r="AU13" s="1617"/>
      <c r="AV13" s="1617"/>
      <c r="AW13" s="1617"/>
      <c r="AX13" s="1617"/>
      <c r="AY13" s="1617"/>
      <c r="AZ13" s="1617"/>
      <c r="BA13" s="1617"/>
      <c r="BB13" s="1617"/>
      <c r="BC13" s="1617"/>
      <c r="BD13" s="1617"/>
      <c r="BE13" s="1617"/>
      <c r="BF13" s="1617"/>
      <c r="BG13" s="1617"/>
      <c r="BH13" s="1543"/>
      <c r="BI13" s="1615"/>
      <c r="BJ13" s="1615"/>
      <c r="BK13" s="1316"/>
      <c r="BL13" s="1617"/>
      <c r="BM13" s="1316"/>
      <c r="BN13" s="1617"/>
      <c r="BO13" s="1407"/>
    </row>
    <row r="14" spans="1:86" s="4" customFormat="1" ht="65.25" customHeight="1" x14ac:dyDescent="0.2">
      <c r="A14" s="283"/>
      <c r="B14" s="91"/>
      <c r="C14" s="89"/>
      <c r="D14" s="91"/>
      <c r="E14" s="91"/>
      <c r="F14" s="89"/>
      <c r="G14" s="271">
        <v>2201029</v>
      </c>
      <c r="H14" s="534" t="s">
        <v>568</v>
      </c>
      <c r="I14" s="213" t="s">
        <v>569</v>
      </c>
      <c r="J14" s="92">
        <v>300</v>
      </c>
      <c r="K14" s="646"/>
      <c r="L14" s="1621"/>
      <c r="M14" s="1496"/>
      <c r="N14" s="1420"/>
      <c r="O14" s="295">
        <f>(T14)/(P12+P13+P14)</f>
        <v>2.7918796133698558E-2</v>
      </c>
      <c r="P14" s="430">
        <f>+T14</f>
        <v>482906493.21831596</v>
      </c>
      <c r="Q14" s="1298"/>
      <c r="R14" s="1469"/>
      <c r="S14" s="534" t="s">
        <v>568</v>
      </c>
      <c r="T14" s="274">
        <f>482906759.578316-266.36</f>
        <v>482906493.21831596</v>
      </c>
      <c r="U14" s="430"/>
      <c r="V14" s="430"/>
      <c r="W14" s="1479"/>
      <c r="X14" s="1298"/>
      <c r="Y14" s="1437"/>
      <c r="Z14" s="1437"/>
      <c r="AA14" s="1437"/>
      <c r="AB14" s="1437"/>
      <c r="AC14" s="1437"/>
      <c r="AD14" s="1437"/>
      <c r="AE14" s="1437"/>
      <c r="AF14" s="1437"/>
      <c r="AG14" s="1437"/>
      <c r="AH14" s="1437"/>
      <c r="AI14" s="1437"/>
      <c r="AJ14" s="1437"/>
      <c r="AK14" s="1437"/>
      <c r="AL14" s="1437"/>
      <c r="AM14" s="1437"/>
      <c r="AN14" s="1437"/>
      <c r="AO14" s="1437"/>
      <c r="AP14" s="1437"/>
      <c r="AQ14" s="1437"/>
      <c r="AR14" s="1437"/>
      <c r="AS14" s="1437"/>
      <c r="AT14" s="1437"/>
      <c r="AU14" s="1437"/>
      <c r="AV14" s="1437"/>
      <c r="AW14" s="1437"/>
      <c r="AX14" s="1437"/>
      <c r="AY14" s="1437"/>
      <c r="AZ14" s="1437"/>
      <c r="BA14" s="1437"/>
      <c r="BB14" s="1437"/>
      <c r="BC14" s="1437"/>
      <c r="BD14" s="1437"/>
      <c r="BE14" s="1437"/>
      <c r="BF14" s="1437"/>
      <c r="BG14" s="1437"/>
      <c r="BH14" s="1544"/>
      <c r="BI14" s="1616"/>
      <c r="BJ14" s="1616"/>
      <c r="BK14" s="1317"/>
      <c r="BL14" s="1437"/>
      <c r="BM14" s="1317"/>
      <c r="BN14" s="1437"/>
      <c r="BO14" s="1470"/>
    </row>
    <row r="15" spans="1:86" s="4" customFormat="1" ht="99.75" customHeight="1" x14ac:dyDescent="0.2">
      <c r="A15" s="283"/>
      <c r="B15" s="91"/>
      <c r="C15" s="89"/>
      <c r="D15" s="91"/>
      <c r="E15" s="91"/>
      <c r="F15" s="89"/>
      <c r="G15" s="271">
        <v>2201055</v>
      </c>
      <c r="H15" s="503" t="s">
        <v>570</v>
      </c>
      <c r="I15" s="213" t="s">
        <v>571</v>
      </c>
      <c r="J15" s="92">
        <v>1</v>
      </c>
      <c r="K15" s="660"/>
      <c r="L15" s="1281" t="s">
        <v>572</v>
      </c>
      <c r="M15" s="1496" t="s">
        <v>573</v>
      </c>
      <c r="N15" s="1416" t="s">
        <v>574</v>
      </c>
      <c r="O15" s="295">
        <f>(T15)/(P15+P16)</f>
        <v>3.1862745098039214E-2</v>
      </c>
      <c r="P15" s="430">
        <f t="shared" ref="P15:P33" si="0">+T15</f>
        <v>52000000</v>
      </c>
      <c r="Q15" s="1416" t="s">
        <v>575</v>
      </c>
      <c r="R15" s="1497" t="s">
        <v>576</v>
      </c>
      <c r="S15" s="503" t="s">
        <v>570</v>
      </c>
      <c r="T15" s="274">
        <v>52000000</v>
      </c>
      <c r="U15" s="661"/>
      <c r="V15" s="661"/>
      <c r="W15" s="1438">
        <v>25</v>
      </c>
      <c r="X15" s="1293" t="s">
        <v>577</v>
      </c>
      <c r="Y15" s="1436">
        <v>0</v>
      </c>
      <c r="Z15" s="1436"/>
      <c r="AA15" s="1436">
        <v>0</v>
      </c>
      <c r="AB15" s="1436"/>
      <c r="AC15" s="1436">
        <v>0</v>
      </c>
      <c r="AD15" s="1436"/>
      <c r="AE15" s="1436">
        <v>0</v>
      </c>
      <c r="AF15" s="1436"/>
      <c r="AG15" s="1436">
        <v>0</v>
      </c>
      <c r="AH15" s="1436"/>
      <c r="AI15" s="1436">
        <v>167</v>
      </c>
      <c r="AJ15" s="1436"/>
      <c r="AK15" s="1436">
        <v>274</v>
      </c>
      <c r="AL15" s="1436"/>
      <c r="AM15" s="1436">
        <v>330</v>
      </c>
      <c r="AN15" s="1436"/>
      <c r="AO15" s="1436">
        <v>0</v>
      </c>
      <c r="AP15" s="1436"/>
      <c r="AQ15" s="1436">
        <v>0</v>
      </c>
      <c r="AR15" s="1436"/>
      <c r="AS15" s="1436">
        <v>0</v>
      </c>
      <c r="AT15" s="1436"/>
      <c r="AU15" s="1436">
        <v>0</v>
      </c>
      <c r="AV15" s="1436"/>
      <c r="AW15" s="1436">
        <v>3097</v>
      </c>
      <c r="AX15" s="1436"/>
      <c r="AY15" s="1436">
        <v>2611</v>
      </c>
      <c r="AZ15" s="1436"/>
      <c r="BA15" s="1436">
        <v>50</v>
      </c>
      <c r="BB15" s="1436"/>
      <c r="BC15" s="1436">
        <f>SUM(AI15+BA15+AK15+AM15+AW15+AY15)</f>
        <v>6529</v>
      </c>
      <c r="BD15" s="1436"/>
      <c r="BE15" s="1436">
        <v>19</v>
      </c>
      <c r="BF15" s="1540">
        <f>SUM(U15:U16)</f>
        <v>1187277568</v>
      </c>
      <c r="BG15" s="1540">
        <f>SUM(V15:V16)</f>
        <v>474613150</v>
      </c>
      <c r="BH15" s="1542">
        <f>BG15/BF15</f>
        <v>0.39974910904743044</v>
      </c>
      <c r="BI15" s="1614" t="s">
        <v>578</v>
      </c>
      <c r="BJ15" s="1614" t="s">
        <v>579</v>
      </c>
      <c r="BK15" s="1315">
        <v>43832</v>
      </c>
      <c r="BL15" s="1541">
        <v>43876</v>
      </c>
      <c r="BM15" s="1315">
        <v>44195</v>
      </c>
      <c r="BN15" s="1541">
        <v>44187</v>
      </c>
      <c r="BO15" s="1478" t="s">
        <v>565</v>
      </c>
    </row>
    <row r="16" spans="1:86" s="4" customFormat="1" ht="65.25" customHeight="1" x14ac:dyDescent="0.2">
      <c r="A16" s="283"/>
      <c r="B16" s="91"/>
      <c r="C16" s="89"/>
      <c r="D16" s="91"/>
      <c r="E16" s="91"/>
      <c r="F16" s="89"/>
      <c r="G16" s="271">
        <v>2201030</v>
      </c>
      <c r="H16" s="503" t="s">
        <v>580</v>
      </c>
      <c r="I16" s="213" t="s">
        <v>581</v>
      </c>
      <c r="J16" s="92">
        <v>2500</v>
      </c>
      <c r="K16" s="646"/>
      <c r="L16" s="1283"/>
      <c r="M16" s="1496"/>
      <c r="N16" s="1420"/>
      <c r="O16" s="295">
        <f>(T16)/(P15+P16)</f>
        <v>0.96813725490196079</v>
      </c>
      <c r="P16" s="430">
        <f t="shared" si="0"/>
        <v>1580000000</v>
      </c>
      <c r="Q16" s="1416"/>
      <c r="R16" s="1497"/>
      <c r="S16" s="503" t="s">
        <v>580</v>
      </c>
      <c r="T16" s="274">
        <v>1580000000</v>
      </c>
      <c r="U16" s="430">
        <v>1187277568</v>
      </c>
      <c r="V16" s="430">
        <v>474613150</v>
      </c>
      <c r="W16" s="1439"/>
      <c r="X16" s="1295"/>
      <c r="Y16" s="1437"/>
      <c r="Z16" s="1437"/>
      <c r="AA16" s="1437"/>
      <c r="AB16" s="1437"/>
      <c r="AC16" s="1437"/>
      <c r="AD16" s="1437"/>
      <c r="AE16" s="1437"/>
      <c r="AF16" s="1437"/>
      <c r="AG16" s="1437"/>
      <c r="AH16" s="1437"/>
      <c r="AI16" s="1437"/>
      <c r="AJ16" s="1437"/>
      <c r="AK16" s="1437"/>
      <c r="AL16" s="1437"/>
      <c r="AM16" s="1437"/>
      <c r="AN16" s="1437"/>
      <c r="AO16" s="1437"/>
      <c r="AP16" s="1437"/>
      <c r="AQ16" s="1437"/>
      <c r="AR16" s="1437"/>
      <c r="AS16" s="1437"/>
      <c r="AT16" s="1437"/>
      <c r="AU16" s="1437"/>
      <c r="AV16" s="1437"/>
      <c r="AW16" s="1437"/>
      <c r="AX16" s="1437"/>
      <c r="AY16" s="1437"/>
      <c r="AZ16" s="1437"/>
      <c r="BA16" s="1437"/>
      <c r="BB16" s="1437"/>
      <c r="BC16" s="1437"/>
      <c r="BD16" s="1437"/>
      <c r="BE16" s="1437"/>
      <c r="BF16" s="1437"/>
      <c r="BG16" s="1437"/>
      <c r="BH16" s="1544"/>
      <c r="BI16" s="1616"/>
      <c r="BJ16" s="1616"/>
      <c r="BK16" s="1317"/>
      <c r="BL16" s="1437"/>
      <c r="BM16" s="1317"/>
      <c r="BN16" s="1437"/>
      <c r="BO16" s="1479"/>
    </row>
    <row r="17" spans="1:67" s="4" customFormat="1" ht="217.5" customHeight="1" x14ac:dyDescent="0.2">
      <c r="A17" s="283"/>
      <c r="B17" s="91"/>
      <c r="C17" s="89"/>
      <c r="D17" s="91"/>
      <c r="E17" s="91"/>
      <c r="F17" s="89"/>
      <c r="G17" s="662">
        <v>2201071</v>
      </c>
      <c r="H17" s="32" t="s">
        <v>582</v>
      </c>
      <c r="I17" s="213" t="s">
        <v>583</v>
      </c>
      <c r="J17" s="92">
        <v>54</v>
      </c>
      <c r="K17" s="646"/>
      <c r="L17" s="34" t="s">
        <v>584</v>
      </c>
      <c r="M17" s="37" t="s">
        <v>585</v>
      </c>
      <c r="N17" s="32" t="s">
        <v>586</v>
      </c>
      <c r="O17" s="285">
        <f>T17/P17</f>
        <v>1</v>
      </c>
      <c r="P17" s="430">
        <f t="shared" si="0"/>
        <v>151921135464.94</v>
      </c>
      <c r="Q17" s="40" t="s">
        <v>587</v>
      </c>
      <c r="R17" s="40" t="s">
        <v>588</v>
      </c>
      <c r="S17" s="32" t="s">
        <v>582</v>
      </c>
      <c r="T17" s="274">
        <v>151921135464.94</v>
      </c>
      <c r="U17" s="274">
        <v>68622972343</v>
      </c>
      <c r="V17" s="274">
        <v>68270946215</v>
      </c>
      <c r="W17" s="46" t="s">
        <v>589</v>
      </c>
      <c r="X17" s="40" t="s">
        <v>590</v>
      </c>
      <c r="Y17" s="333">
        <v>20196</v>
      </c>
      <c r="Z17" s="333"/>
      <c r="AA17" s="333">
        <v>20595</v>
      </c>
      <c r="AB17" s="333"/>
      <c r="AC17" s="333">
        <v>29775</v>
      </c>
      <c r="AD17" s="333"/>
      <c r="AE17" s="333">
        <v>9453</v>
      </c>
      <c r="AF17" s="333"/>
      <c r="AG17" s="333">
        <v>1396</v>
      </c>
      <c r="AH17" s="333"/>
      <c r="AI17" s="333">
        <v>167</v>
      </c>
      <c r="AJ17" s="333"/>
      <c r="AK17" s="333">
        <v>274</v>
      </c>
      <c r="AL17" s="333"/>
      <c r="AM17" s="333">
        <v>330</v>
      </c>
      <c r="AN17" s="333"/>
      <c r="AO17" s="333">
        <v>0</v>
      </c>
      <c r="AP17" s="333"/>
      <c r="AQ17" s="333">
        <v>0</v>
      </c>
      <c r="AR17" s="333"/>
      <c r="AS17" s="333">
        <v>0</v>
      </c>
      <c r="AT17" s="333"/>
      <c r="AU17" s="333">
        <v>0</v>
      </c>
      <c r="AV17" s="333"/>
      <c r="AW17" s="333">
        <v>3097</v>
      </c>
      <c r="AX17" s="333"/>
      <c r="AY17" s="333">
        <v>2611</v>
      </c>
      <c r="AZ17" s="333"/>
      <c r="BA17" s="333">
        <v>50</v>
      </c>
      <c r="BB17" s="333"/>
      <c r="BC17" s="333">
        <f>+Y17+AA17</f>
        <v>40791</v>
      </c>
      <c r="BD17" s="333"/>
      <c r="BE17" s="333">
        <v>1</v>
      </c>
      <c r="BF17" s="593">
        <f>SUM(U17)</f>
        <v>68622972343</v>
      </c>
      <c r="BG17" s="593">
        <f>SUM(V17)</f>
        <v>68270946215</v>
      </c>
      <c r="BH17" s="594">
        <f>BG17/BF17</f>
        <v>0.9948701416452721</v>
      </c>
      <c r="BI17" s="663" t="s">
        <v>591</v>
      </c>
      <c r="BJ17" s="333" t="s">
        <v>592</v>
      </c>
      <c r="BK17" s="48">
        <v>43832</v>
      </c>
      <c r="BL17" s="48">
        <v>43832</v>
      </c>
      <c r="BM17" s="49">
        <v>44195</v>
      </c>
      <c r="BN17" s="49">
        <v>44196</v>
      </c>
      <c r="BO17" s="407" t="s">
        <v>565</v>
      </c>
    </row>
    <row r="18" spans="1:67" s="4" customFormat="1" ht="126.75" customHeight="1" x14ac:dyDescent="0.2">
      <c r="A18" s="283"/>
      <c r="B18" s="91"/>
      <c r="C18" s="89"/>
      <c r="D18" s="91"/>
      <c r="E18" s="91"/>
      <c r="F18" s="89"/>
      <c r="G18" s="662">
        <v>2201071</v>
      </c>
      <c r="H18" s="664" t="s">
        <v>582</v>
      </c>
      <c r="I18" s="213" t="s">
        <v>583</v>
      </c>
      <c r="J18" s="92">
        <v>54</v>
      </c>
      <c r="K18" s="646"/>
      <c r="L18" s="34" t="s">
        <v>593</v>
      </c>
      <c r="M18" s="502" t="s">
        <v>594</v>
      </c>
      <c r="N18" s="323" t="s">
        <v>595</v>
      </c>
      <c r="O18" s="285">
        <f>+T18/P18</f>
        <v>1</v>
      </c>
      <c r="P18" s="430">
        <f t="shared" si="0"/>
        <v>3762000000</v>
      </c>
      <c r="Q18" s="83" t="s">
        <v>596</v>
      </c>
      <c r="R18" s="83" t="s">
        <v>597</v>
      </c>
      <c r="S18" s="664" t="s">
        <v>582</v>
      </c>
      <c r="T18" s="274">
        <v>3762000000</v>
      </c>
      <c r="U18" s="274">
        <v>1006409799</v>
      </c>
      <c r="V18" s="274">
        <v>978969799</v>
      </c>
      <c r="W18" s="110">
        <v>25</v>
      </c>
      <c r="X18" s="40" t="s">
        <v>598</v>
      </c>
      <c r="Y18" s="111">
        <v>20196</v>
      </c>
      <c r="Z18" s="111"/>
      <c r="AA18" s="111">
        <v>20595</v>
      </c>
      <c r="AB18" s="111"/>
      <c r="AC18" s="111">
        <v>29775</v>
      </c>
      <c r="AD18" s="111"/>
      <c r="AE18" s="111">
        <v>9453</v>
      </c>
      <c r="AF18" s="111"/>
      <c r="AG18" s="111">
        <v>1396</v>
      </c>
      <c r="AH18" s="111"/>
      <c r="AI18" s="111">
        <v>167</v>
      </c>
      <c r="AJ18" s="111"/>
      <c r="AK18" s="111">
        <v>274</v>
      </c>
      <c r="AL18" s="111"/>
      <c r="AM18" s="111">
        <v>330</v>
      </c>
      <c r="AN18" s="111"/>
      <c r="AO18" s="111">
        <v>0</v>
      </c>
      <c r="AP18" s="111"/>
      <c r="AQ18" s="111">
        <v>0</v>
      </c>
      <c r="AR18" s="111"/>
      <c r="AS18" s="111">
        <v>0</v>
      </c>
      <c r="AT18" s="111"/>
      <c r="AU18" s="111">
        <v>0</v>
      </c>
      <c r="AV18" s="111"/>
      <c r="AW18" s="111">
        <v>3097</v>
      </c>
      <c r="AX18" s="111"/>
      <c r="AY18" s="111">
        <v>2611</v>
      </c>
      <c r="AZ18" s="111"/>
      <c r="BA18" s="111">
        <v>50</v>
      </c>
      <c r="BB18" s="111"/>
      <c r="BC18" s="111">
        <f>+Y18+AA18</f>
        <v>40791</v>
      </c>
      <c r="BD18" s="111"/>
      <c r="BE18" s="111">
        <v>1</v>
      </c>
      <c r="BF18" s="665">
        <f>U18</f>
        <v>1006409799</v>
      </c>
      <c r="BG18" s="665">
        <f>V18</f>
        <v>978969799</v>
      </c>
      <c r="BH18" s="513">
        <f>BG18/BF18</f>
        <v>0.97273476467810105</v>
      </c>
      <c r="BI18" s="663" t="s">
        <v>599</v>
      </c>
      <c r="BJ18" s="111" t="s">
        <v>592</v>
      </c>
      <c r="BK18" s="48">
        <v>43832</v>
      </c>
      <c r="BL18" s="48">
        <v>43832</v>
      </c>
      <c r="BM18" s="49">
        <v>44195</v>
      </c>
      <c r="BN18" s="49">
        <v>44196</v>
      </c>
      <c r="BO18" s="407" t="s">
        <v>565</v>
      </c>
    </row>
    <row r="19" spans="1:67" s="4" customFormat="1" ht="60.75" customHeight="1" x14ac:dyDescent="0.2">
      <c r="A19" s="283"/>
      <c r="B19" s="91"/>
      <c r="C19" s="89"/>
      <c r="D19" s="91"/>
      <c r="E19" s="91"/>
      <c r="F19" s="89"/>
      <c r="G19" s="271">
        <v>2201006</v>
      </c>
      <c r="H19" s="534" t="s">
        <v>600</v>
      </c>
      <c r="I19" s="213" t="s">
        <v>601</v>
      </c>
      <c r="J19" s="92">
        <v>54</v>
      </c>
      <c r="K19" s="646"/>
      <c r="L19" s="1281" t="s">
        <v>602</v>
      </c>
      <c r="M19" s="1449" t="s">
        <v>603</v>
      </c>
      <c r="N19" s="1299" t="s">
        <v>604</v>
      </c>
      <c r="O19" s="295">
        <f>(T19)/(P19+P20+P21+P22+P23+P24)</f>
        <v>0.13055768948395879</v>
      </c>
      <c r="P19" s="430">
        <f t="shared" si="0"/>
        <v>61600000</v>
      </c>
      <c r="Q19" s="1293" t="s">
        <v>605</v>
      </c>
      <c r="R19" s="1293" t="s">
        <v>606</v>
      </c>
      <c r="S19" s="534" t="s">
        <v>600</v>
      </c>
      <c r="T19" s="274">
        <v>61600000</v>
      </c>
      <c r="U19" s="430">
        <v>20000000</v>
      </c>
      <c r="V19" s="430">
        <v>20000000</v>
      </c>
      <c r="W19" s="1478" t="s">
        <v>607</v>
      </c>
      <c r="X19" s="1293" t="s">
        <v>608</v>
      </c>
      <c r="Y19" s="1436">
        <v>20196</v>
      </c>
      <c r="Z19" s="1436"/>
      <c r="AA19" s="1436">
        <v>20595</v>
      </c>
      <c r="AB19" s="1436"/>
      <c r="AC19" s="1436">
        <v>29775</v>
      </c>
      <c r="AD19" s="1436"/>
      <c r="AE19" s="1436">
        <v>94543</v>
      </c>
      <c r="AF19" s="1436"/>
      <c r="AG19" s="1436">
        <v>1396</v>
      </c>
      <c r="AH19" s="1436"/>
      <c r="AI19" s="1436">
        <v>167</v>
      </c>
      <c r="AJ19" s="1436"/>
      <c r="AK19" s="1436">
        <v>274</v>
      </c>
      <c r="AL19" s="1436"/>
      <c r="AM19" s="1436">
        <v>330</v>
      </c>
      <c r="AN19" s="1436"/>
      <c r="AO19" s="1436">
        <v>0</v>
      </c>
      <c r="AP19" s="1436"/>
      <c r="AQ19" s="1436">
        <v>0</v>
      </c>
      <c r="AR19" s="1436"/>
      <c r="AS19" s="1436">
        <v>0</v>
      </c>
      <c r="AT19" s="1436"/>
      <c r="AU19" s="1436"/>
      <c r="AV19" s="1436"/>
      <c r="AW19" s="1436">
        <v>3097</v>
      </c>
      <c r="AX19" s="1436"/>
      <c r="AY19" s="1436">
        <v>2611</v>
      </c>
      <c r="AZ19" s="1436"/>
      <c r="BA19" s="1436">
        <v>50</v>
      </c>
      <c r="BB19" s="1436"/>
      <c r="BC19" s="1436">
        <f>+Y19+AA19</f>
        <v>40791</v>
      </c>
      <c r="BD19" s="1436"/>
      <c r="BE19" s="1436">
        <v>5</v>
      </c>
      <c r="BF19" s="1540">
        <f>SUM(U19:U24)</f>
        <v>38960000</v>
      </c>
      <c r="BG19" s="1540">
        <f>SUM(V19:V24)</f>
        <v>38960000</v>
      </c>
      <c r="BH19" s="1542">
        <f>BG19/BF19</f>
        <v>1</v>
      </c>
      <c r="BI19" s="1614" t="s">
        <v>72</v>
      </c>
      <c r="BJ19" s="1614" t="s">
        <v>609</v>
      </c>
      <c r="BK19" s="1618" t="s">
        <v>610</v>
      </c>
      <c r="BL19" s="1507" t="s">
        <v>611</v>
      </c>
      <c r="BM19" s="1618" t="s">
        <v>612</v>
      </c>
      <c r="BN19" s="1507" t="s">
        <v>613</v>
      </c>
      <c r="BO19" s="1478" t="s">
        <v>565</v>
      </c>
    </row>
    <row r="20" spans="1:67" s="4" customFormat="1" ht="60.75" customHeight="1" x14ac:dyDescent="0.2">
      <c r="A20" s="283"/>
      <c r="B20" s="91"/>
      <c r="C20" s="89"/>
      <c r="D20" s="91"/>
      <c r="E20" s="91"/>
      <c r="F20" s="89"/>
      <c r="G20" s="271">
        <v>2201033</v>
      </c>
      <c r="H20" s="503" t="s">
        <v>553</v>
      </c>
      <c r="I20" s="213" t="s">
        <v>554</v>
      </c>
      <c r="J20" s="92">
        <v>9000</v>
      </c>
      <c r="K20" s="646"/>
      <c r="L20" s="1282"/>
      <c r="M20" s="1450"/>
      <c r="N20" s="1300"/>
      <c r="O20" s="295">
        <f>(T20)/(P19+P20+P21+P22+P23+P24)</f>
        <v>5.2986075277580688E-2</v>
      </c>
      <c r="P20" s="430">
        <f t="shared" si="0"/>
        <v>25000000</v>
      </c>
      <c r="Q20" s="1294"/>
      <c r="R20" s="1294"/>
      <c r="S20" s="503" t="s">
        <v>553</v>
      </c>
      <c r="T20" s="274">
        <v>25000000</v>
      </c>
      <c r="U20" s="430"/>
      <c r="V20" s="430"/>
      <c r="W20" s="1539"/>
      <c r="X20" s="1294"/>
      <c r="Y20" s="1617"/>
      <c r="Z20" s="1617"/>
      <c r="AA20" s="1617"/>
      <c r="AB20" s="1617"/>
      <c r="AC20" s="1617"/>
      <c r="AD20" s="1617"/>
      <c r="AE20" s="1617"/>
      <c r="AF20" s="1617"/>
      <c r="AG20" s="1617"/>
      <c r="AH20" s="1617"/>
      <c r="AI20" s="1617"/>
      <c r="AJ20" s="1617"/>
      <c r="AK20" s="1617"/>
      <c r="AL20" s="1617"/>
      <c r="AM20" s="1617"/>
      <c r="AN20" s="1617"/>
      <c r="AO20" s="1617"/>
      <c r="AP20" s="1617"/>
      <c r="AQ20" s="1617"/>
      <c r="AR20" s="1617"/>
      <c r="AS20" s="1617"/>
      <c r="AT20" s="1617"/>
      <c r="AU20" s="1617"/>
      <c r="AV20" s="1617"/>
      <c r="AW20" s="1617"/>
      <c r="AX20" s="1617"/>
      <c r="AY20" s="1617"/>
      <c r="AZ20" s="1617"/>
      <c r="BA20" s="1617"/>
      <c r="BB20" s="1617"/>
      <c r="BC20" s="1617"/>
      <c r="BD20" s="1617"/>
      <c r="BE20" s="1617"/>
      <c r="BF20" s="1617"/>
      <c r="BG20" s="1617"/>
      <c r="BH20" s="1543"/>
      <c r="BI20" s="1615"/>
      <c r="BJ20" s="1617"/>
      <c r="BK20" s="1316"/>
      <c r="BL20" s="1617"/>
      <c r="BM20" s="1316"/>
      <c r="BN20" s="1617"/>
      <c r="BO20" s="1534"/>
    </row>
    <row r="21" spans="1:67" s="4" customFormat="1" ht="55.5" customHeight="1" x14ac:dyDescent="0.2">
      <c r="A21" s="283"/>
      <c r="B21" s="91"/>
      <c r="C21" s="89"/>
      <c r="D21" s="91"/>
      <c r="E21" s="91"/>
      <c r="F21" s="89"/>
      <c r="G21" s="271">
        <v>2201068</v>
      </c>
      <c r="H21" s="503" t="s">
        <v>301</v>
      </c>
      <c r="I21" s="213" t="s">
        <v>302</v>
      </c>
      <c r="J21" s="92">
        <v>40</v>
      </c>
      <c r="K21" s="646"/>
      <c r="L21" s="1282"/>
      <c r="M21" s="1450"/>
      <c r="N21" s="1300"/>
      <c r="O21" s="295">
        <f>(T21)/(P19+P20+P22+P23+P24+P21)</f>
        <v>7.3709989040148041E-2</v>
      </c>
      <c r="P21" s="430">
        <f t="shared" si="0"/>
        <v>34778000</v>
      </c>
      <c r="Q21" s="1294"/>
      <c r="R21" s="1294"/>
      <c r="S21" s="503" t="s">
        <v>301</v>
      </c>
      <c r="T21" s="274">
        <v>34778000</v>
      </c>
      <c r="U21" s="430"/>
      <c r="V21" s="430"/>
      <c r="W21" s="1539"/>
      <c r="X21" s="1294"/>
      <c r="Y21" s="1617"/>
      <c r="Z21" s="1617"/>
      <c r="AA21" s="1617"/>
      <c r="AB21" s="1617"/>
      <c r="AC21" s="1617"/>
      <c r="AD21" s="1617"/>
      <c r="AE21" s="1617"/>
      <c r="AF21" s="1617"/>
      <c r="AG21" s="1617"/>
      <c r="AH21" s="1617"/>
      <c r="AI21" s="1617"/>
      <c r="AJ21" s="1617"/>
      <c r="AK21" s="1617"/>
      <c r="AL21" s="1617"/>
      <c r="AM21" s="1617"/>
      <c r="AN21" s="1617"/>
      <c r="AO21" s="1617"/>
      <c r="AP21" s="1617"/>
      <c r="AQ21" s="1617"/>
      <c r="AR21" s="1617"/>
      <c r="AS21" s="1617"/>
      <c r="AT21" s="1617"/>
      <c r="AU21" s="1617"/>
      <c r="AV21" s="1617"/>
      <c r="AW21" s="1617"/>
      <c r="AX21" s="1617"/>
      <c r="AY21" s="1617"/>
      <c r="AZ21" s="1617"/>
      <c r="BA21" s="1617"/>
      <c r="BB21" s="1617"/>
      <c r="BC21" s="1617"/>
      <c r="BD21" s="1617"/>
      <c r="BE21" s="1617"/>
      <c r="BF21" s="1617"/>
      <c r="BG21" s="1617"/>
      <c r="BH21" s="1543"/>
      <c r="BI21" s="1615"/>
      <c r="BJ21" s="1617"/>
      <c r="BK21" s="1316"/>
      <c r="BL21" s="1617"/>
      <c r="BM21" s="1316"/>
      <c r="BN21" s="1617"/>
      <c r="BO21" s="1534"/>
    </row>
    <row r="22" spans="1:67" s="4" customFormat="1" ht="65.25" customHeight="1" x14ac:dyDescent="0.2">
      <c r="A22" s="283"/>
      <c r="B22" s="91"/>
      <c r="C22" s="89"/>
      <c r="D22" s="91"/>
      <c r="E22" s="91"/>
      <c r="F22" s="89"/>
      <c r="G22" s="271">
        <v>2201046</v>
      </c>
      <c r="H22" s="534" t="s">
        <v>614</v>
      </c>
      <c r="I22" s="213" t="s">
        <v>615</v>
      </c>
      <c r="J22" s="92">
        <v>5</v>
      </c>
      <c r="K22" s="646"/>
      <c r="L22" s="1282"/>
      <c r="M22" s="1450"/>
      <c r="N22" s="1300"/>
      <c r="O22" s="295">
        <f>(T22)/(P22+P23+P24+P21+P20+P19)</f>
        <v>1.1444992259957428E-2</v>
      </c>
      <c r="P22" s="430">
        <f t="shared" si="0"/>
        <v>5400000</v>
      </c>
      <c r="Q22" s="1294"/>
      <c r="R22" s="1294"/>
      <c r="S22" s="534" t="s">
        <v>614</v>
      </c>
      <c r="T22" s="274">
        <v>5400000</v>
      </c>
      <c r="U22" s="430"/>
      <c r="V22" s="430"/>
      <c r="W22" s="1539"/>
      <c r="X22" s="1294"/>
      <c r="Y22" s="1617"/>
      <c r="Z22" s="1617"/>
      <c r="AA22" s="1617"/>
      <c r="AB22" s="1617"/>
      <c r="AC22" s="1617"/>
      <c r="AD22" s="1617"/>
      <c r="AE22" s="1617"/>
      <c r="AF22" s="1617"/>
      <c r="AG22" s="1617"/>
      <c r="AH22" s="1617"/>
      <c r="AI22" s="1617"/>
      <c r="AJ22" s="1617"/>
      <c r="AK22" s="1617"/>
      <c r="AL22" s="1617"/>
      <c r="AM22" s="1617"/>
      <c r="AN22" s="1617"/>
      <c r="AO22" s="1617"/>
      <c r="AP22" s="1617"/>
      <c r="AQ22" s="1617"/>
      <c r="AR22" s="1617"/>
      <c r="AS22" s="1617"/>
      <c r="AT22" s="1617"/>
      <c r="AU22" s="1617"/>
      <c r="AV22" s="1617"/>
      <c r="AW22" s="1617"/>
      <c r="AX22" s="1617"/>
      <c r="AY22" s="1617"/>
      <c r="AZ22" s="1617"/>
      <c r="BA22" s="1617"/>
      <c r="BB22" s="1617"/>
      <c r="BC22" s="1617"/>
      <c r="BD22" s="1617"/>
      <c r="BE22" s="1617"/>
      <c r="BF22" s="1617"/>
      <c r="BG22" s="1617"/>
      <c r="BH22" s="1543"/>
      <c r="BI22" s="1615"/>
      <c r="BJ22" s="1617"/>
      <c r="BK22" s="1316"/>
      <c r="BL22" s="1617"/>
      <c r="BM22" s="1316"/>
      <c r="BN22" s="1617"/>
      <c r="BO22" s="1534"/>
    </row>
    <row r="23" spans="1:67" s="4" customFormat="1" ht="83.25" customHeight="1" x14ac:dyDescent="0.2">
      <c r="A23" s="283"/>
      <c r="B23" s="91"/>
      <c r="C23" s="89"/>
      <c r="D23" s="91"/>
      <c r="E23" s="91"/>
      <c r="F23" s="89"/>
      <c r="G23" s="662" t="s">
        <v>62</v>
      </c>
      <c r="H23" s="503" t="s">
        <v>616</v>
      </c>
      <c r="I23" s="213" t="s">
        <v>177</v>
      </c>
      <c r="J23" s="92">
        <v>9</v>
      </c>
      <c r="K23" s="646"/>
      <c r="L23" s="1282"/>
      <c r="M23" s="1450"/>
      <c r="N23" s="1300"/>
      <c r="O23" s="295">
        <f>(T23)/(P19+P20+P21+P22+P24+P23)</f>
        <v>7.9323606245870718E-2</v>
      </c>
      <c r="P23" s="430">
        <f t="shared" si="0"/>
        <v>37426628.519999996</v>
      </c>
      <c r="Q23" s="1294"/>
      <c r="R23" s="1294"/>
      <c r="S23" s="503" t="s">
        <v>616</v>
      </c>
      <c r="T23" s="274">
        <v>37426628.519999996</v>
      </c>
      <c r="U23" s="430">
        <v>18960000</v>
      </c>
      <c r="V23" s="430">
        <v>18960000</v>
      </c>
      <c r="W23" s="1539"/>
      <c r="X23" s="1294"/>
      <c r="Y23" s="1617"/>
      <c r="Z23" s="1617"/>
      <c r="AA23" s="1617"/>
      <c r="AB23" s="1617"/>
      <c r="AC23" s="1617"/>
      <c r="AD23" s="1617"/>
      <c r="AE23" s="1617"/>
      <c r="AF23" s="1617"/>
      <c r="AG23" s="1617"/>
      <c r="AH23" s="1617"/>
      <c r="AI23" s="1617"/>
      <c r="AJ23" s="1617"/>
      <c r="AK23" s="1617"/>
      <c r="AL23" s="1617"/>
      <c r="AM23" s="1617"/>
      <c r="AN23" s="1617"/>
      <c r="AO23" s="1617"/>
      <c r="AP23" s="1617"/>
      <c r="AQ23" s="1617"/>
      <c r="AR23" s="1617"/>
      <c r="AS23" s="1617"/>
      <c r="AT23" s="1617"/>
      <c r="AU23" s="1617"/>
      <c r="AV23" s="1617"/>
      <c r="AW23" s="1617"/>
      <c r="AX23" s="1617"/>
      <c r="AY23" s="1617"/>
      <c r="AZ23" s="1617"/>
      <c r="BA23" s="1617"/>
      <c r="BB23" s="1617"/>
      <c r="BC23" s="1617"/>
      <c r="BD23" s="1617"/>
      <c r="BE23" s="1617"/>
      <c r="BF23" s="1617"/>
      <c r="BG23" s="1617"/>
      <c r="BH23" s="1543"/>
      <c r="BI23" s="1615"/>
      <c r="BJ23" s="1617"/>
      <c r="BK23" s="1316"/>
      <c r="BL23" s="1617"/>
      <c r="BM23" s="1316"/>
      <c r="BN23" s="1617"/>
      <c r="BO23" s="1534"/>
    </row>
    <row r="24" spans="1:67" s="4" customFormat="1" ht="51.75" customHeight="1" x14ac:dyDescent="0.2">
      <c r="A24" s="283"/>
      <c r="B24" s="91"/>
      <c r="C24" s="89"/>
      <c r="D24" s="91"/>
      <c r="E24" s="91"/>
      <c r="F24" s="89"/>
      <c r="G24" s="662">
        <v>2201026</v>
      </c>
      <c r="H24" s="503" t="s">
        <v>617</v>
      </c>
      <c r="I24" s="213" t="s">
        <v>618</v>
      </c>
      <c r="J24" s="92">
        <v>5</v>
      </c>
      <c r="K24" s="92"/>
      <c r="L24" s="1283"/>
      <c r="M24" s="1451"/>
      <c r="N24" s="1301"/>
      <c r="O24" s="295">
        <f>(T24)/(P19+P20+P21+P22+P23+P24)</f>
        <v>0.65197764769248434</v>
      </c>
      <c r="P24" s="430">
        <f t="shared" si="0"/>
        <v>307617446.78999996</v>
      </c>
      <c r="Q24" s="1295"/>
      <c r="R24" s="1295"/>
      <c r="S24" s="503" t="s">
        <v>617</v>
      </c>
      <c r="T24" s="274">
        <v>307617446.78999996</v>
      </c>
      <c r="U24" s="430"/>
      <c r="V24" s="430"/>
      <c r="W24" s="1473"/>
      <c r="X24" s="1295"/>
      <c r="Y24" s="1437"/>
      <c r="Z24" s="1437"/>
      <c r="AA24" s="1437"/>
      <c r="AB24" s="1437"/>
      <c r="AC24" s="1437"/>
      <c r="AD24" s="1437"/>
      <c r="AE24" s="1437"/>
      <c r="AF24" s="1437"/>
      <c r="AG24" s="1437"/>
      <c r="AH24" s="1437"/>
      <c r="AI24" s="1437"/>
      <c r="AJ24" s="1437"/>
      <c r="AK24" s="1437"/>
      <c r="AL24" s="1437"/>
      <c r="AM24" s="1437"/>
      <c r="AN24" s="1437"/>
      <c r="AO24" s="1437"/>
      <c r="AP24" s="1437"/>
      <c r="AQ24" s="1437"/>
      <c r="AR24" s="1437"/>
      <c r="AS24" s="1437"/>
      <c r="AT24" s="1437"/>
      <c r="AU24" s="1437"/>
      <c r="AV24" s="1437"/>
      <c r="AW24" s="1437"/>
      <c r="AX24" s="1437"/>
      <c r="AY24" s="1437"/>
      <c r="AZ24" s="1437"/>
      <c r="BA24" s="1437"/>
      <c r="BB24" s="1437"/>
      <c r="BC24" s="1437"/>
      <c r="BD24" s="1437"/>
      <c r="BE24" s="1437"/>
      <c r="BF24" s="1437"/>
      <c r="BG24" s="1437"/>
      <c r="BH24" s="1544"/>
      <c r="BI24" s="1616"/>
      <c r="BJ24" s="1437"/>
      <c r="BK24" s="1317"/>
      <c r="BL24" s="1437"/>
      <c r="BM24" s="1317"/>
      <c r="BN24" s="1437"/>
      <c r="BO24" s="1479"/>
    </row>
    <row r="25" spans="1:67" s="4" customFormat="1" ht="111.75" customHeight="1" x14ac:dyDescent="0.2">
      <c r="A25" s="283"/>
      <c r="B25" s="91"/>
      <c r="C25" s="89"/>
      <c r="D25" s="91"/>
      <c r="E25" s="91"/>
      <c r="F25" s="89"/>
      <c r="G25" s="271">
        <v>2201006</v>
      </c>
      <c r="H25" s="534" t="s">
        <v>600</v>
      </c>
      <c r="I25" s="213" t="s">
        <v>601</v>
      </c>
      <c r="J25" s="92">
        <v>54</v>
      </c>
      <c r="K25" s="646"/>
      <c r="L25" s="34" t="s">
        <v>619</v>
      </c>
      <c r="M25" s="502" t="s">
        <v>620</v>
      </c>
      <c r="N25" s="503" t="s">
        <v>621</v>
      </c>
      <c r="O25" s="285">
        <f>+T25/P25</f>
        <v>1</v>
      </c>
      <c r="P25" s="430">
        <f t="shared" si="0"/>
        <v>20000000</v>
      </c>
      <c r="Q25" s="40" t="s">
        <v>622</v>
      </c>
      <c r="R25" s="40" t="s">
        <v>623</v>
      </c>
      <c r="S25" s="534" t="s">
        <v>600</v>
      </c>
      <c r="T25" s="274">
        <v>20000000</v>
      </c>
      <c r="U25" s="274">
        <v>19200000</v>
      </c>
      <c r="V25" s="274">
        <v>12800000</v>
      </c>
      <c r="W25" s="110">
        <v>20</v>
      </c>
      <c r="X25" s="40" t="s">
        <v>624</v>
      </c>
      <c r="Y25" s="333">
        <v>20196</v>
      </c>
      <c r="Z25" s="333"/>
      <c r="AA25" s="333">
        <v>20595</v>
      </c>
      <c r="AB25" s="333"/>
      <c r="AC25" s="333">
        <v>29775</v>
      </c>
      <c r="AD25" s="333"/>
      <c r="AE25" s="333">
        <v>9453</v>
      </c>
      <c r="AF25" s="333"/>
      <c r="AG25" s="333">
        <v>1396</v>
      </c>
      <c r="AH25" s="333"/>
      <c r="AI25" s="333">
        <v>167</v>
      </c>
      <c r="AJ25" s="333"/>
      <c r="AK25" s="333">
        <v>274</v>
      </c>
      <c r="AL25" s="333"/>
      <c r="AM25" s="333">
        <v>330</v>
      </c>
      <c r="AN25" s="333"/>
      <c r="AO25" s="333">
        <v>0</v>
      </c>
      <c r="AP25" s="333"/>
      <c r="AQ25" s="333">
        <v>0</v>
      </c>
      <c r="AR25" s="333"/>
      <c r="AS25" s="333">
        <v>0</v>
      </c>
      <c r="AT25" s="333"/>
      <c r="AU25" s="333">
        <v>0</v>
      </c>
      <c r="AV25" s="333"/>
      <c r="AW25" s="333">
        <v>3097</v>
      </c>
      <c r="AX25" s="333"/>
      <c r="AY25" s="333">
        <v>2611</v>
      </c>
      <c r="AZ25" s="333"/>
      <c r="BA25" s="333">
        <v>50</v>
      </c>
      <c r="BB25" s="333"/>
      <c r="BC25" s="333">
        <f>+Y25+AA25</f>
        <v>40791</v>
      </c>
      <c r="BD25" s="333"/>
      <c r="BE25" s="333">
        <v>1</v>
      </c>
      <c r="BF25" s="665">
        <f t="shared" ref="BF25:BG27" si="1">U25</f>
        <v>19200000</v>
      </c>
      <c r="BG25" s="665">
        <f t="shared" si="1"/>
        <v>12800000</v>
      </c>
      <c r="BH25" s="513">
        <f>BG25/BF25</f>
        <v>0.66666666666666663</v>
      </c>
      <c r="BI25" s="663" t="s">
        <v>72</v>
      </c>
      <c r="BJ25" s="663" t="s">
        <v>625</v>
      </c>
      <c r="BK25" s="48">
        <v>43832</v>
      </c>
      <c r="BL25" s="48">
        <v>43862</v>
      </c>
      <c r="BM25" s="49">
        <v>44195</v>
      </c>
      <c r="BN25" s="49">
        <v>44073</v>
      </c>
      <c r="BO25" s="407" t="s">
        <v>565</v>
      </c>
    </row>
    <row r="26" spans="1:67" s="4" customFormat="1" ht="105" customHeight="1" x14ac:dyDescent="0.2">
      <c r="A26" s="283"/>
      <c r="B26" s="91"/>
      <c r="C26" s="89"/>
      <c r="D26" s="91"/>
      <c r="E26" s="91"/>
      <c r="F26" s="89"/>
      <c r="G26" s="271">
        <v>2201046</v>
      </c>
      <c r="H26" s="534" t="s">
        <v>614</v>
      </c>
      <c r="I26" s="213" t="s">
        <v>615</v>
      </c>
      <c r="J26" s="92">
        <v>5</v>
      </c>
      <c r="K26" s="646"/>
      <c r="L26" s="34" t="s">
        <v>626</v>
      </c>
      <c r="M26" s="502" t="s">
        <v>627</v>
      </c>
      <c r="N26" s="503" t="s">
        <v>628</v>
      </c>
      <c r="O26" s="285">
        <f>T26/(P26+P35)</f>
        <v>0.6341868431263743</v>
      </c>
      <c r="P26" s="430">
        <f t="shared" si="0"/>
        <v>76000000</v>
      </c>
      <c r="Q26" s="40" t="s">
        <v>629</v>
      </c>
      <c r="R26" s="40" t="s">
        <v>630</v>
      </c>
      <c r="S26" s="534" t="s">
        <v>614</v>
      </c>
      <c r="T26" s="274">
        <v>76000000</v>
      </c>
      <c r="U26" s="274">
        <v>12513333</v>
      </c>
      <c r="V26" s="274">
        <v>12513333</v>
      </c>
      <c r="W26" s="46" t="s">
        <v>631</v>
      </c>
      <c r="X26" s="40" t="s">
        <v>632</v>
      </c>
      <c r="Y26" s="333">
        <v>20196</v>
      </c>
      <c r="Z26" s="333"/>
      <c r="AA26" s="333">
        <v>20595</v>
      </c>
      <c r="AB26" s="333"/>
      <c r="AC26" s="333">
        <v>29775</v>
      </c>
      <c r="AD26" s="333"/>
      <c r="AE26" s="333">
        <v>9453</v>
      </c>
      <c r="AF26" s="333"/>
      <c r="AG26" s="333">
        <v>1396</v>
      </c>
      <c r="AH26" s="333"/>
      <c r="AI26" s="333">
        <v>167</v>
      </c>
      <c r="AJ26" s="333"/>
      <c r="AK26" s="333">
        <v>274</v>
      </c>
      <c r="AL26" s="333"/>
      <c r="AM26" s="333">
        <v>330</v>
      </c>
      <c r="AN26" s="333"/>
      <c r="AO26" s="333">
        <v>0</v>
      </c>
      <c r="AP26" s="333"/>
      <c r="AQ26" s="333">
        <v>0</v>
      </c>
      <c r="AR26" s="333"/>
      <c r="AS26" s="333">
        <v>0</v>
      </c>
      <c r="AT26" s="333"/>
      <c r="AU26" s="333">
        <v>0</v>
      </c>
      <c r="AV26" s="333"/>
      <c r="AW26" s="333">
        <v>3097</v>
      </c>
      <c r="AX26" s="333"/>
      <c r="AY26" s="333">
        <v>2611</v>
      </c>
      <c r="AZ26" s="333"/>
      <c r="BA26" s="333">
        <v>50</v>
      </c>
      <c r="BB26" s="333"/>
      <c r="BC26" s="333">
        <f>+Y26+AA26</f>
        <v>40791</v>
      </c>
      <c r="BD26" s="333"/>
      <c r="BE26" s="333">
        <v>2</v>
      </c>
      <c r="BF26" s="665">
        <f t="shared" si="1"/>
        <v>12513333</v>
      </c>
      <c r="BG26" s="665">
        <f t="shared" si="1"/>
        <v>12513333</v>
      </c>
      <c r="BH26" s="513">
        <f>BG26/BF26</f>
        <v>1</v>
      </c>
      <c r="BI26" s="663" t="s">
        <v>72</v>
      </c>
      <c r="BJ26" s="333" t="s">
        <v>579</v>
      </c>
      <c r="BK26" s="48">
        <v>43832</v>
      </c>
      <c r="BL26" s="48">
        <v>43862</v>
      </c>
      <c r="BM26" s="49">
        <v>44195</v>
      </c>
      <c r="BN26" s="49">
        <v>43982</v>
      </c>
      <c r="BO26" s="407" t="s">
        <v>565</v>
      </c>
    </row>
    <row r="27" spans="1:67" s="4" customFormat="1" ht="76.5" customHeight="1" x14ac:dyDescent="0.2">
      <c r="A27" s="283"/>
      <c r="B27" s="91"/>
      <c r="C27" s="89"/>
      <c r="D27" s="91"/>
      <c r="E27" s="91"/>
      <c r="F27" s="89"/>
      <c r="G27" s="271">
        <v>2201037</v>
      </c>
      <c r="H27" s="503" t="s">
        <v>633</v>
      </c>
      <c r="I27" s="213" t="s">
        <v>634</v>
      </c>
      <c r="J27" s="92">
        <v>54</v>
      </c>
      <c r="K27" s="646"/>
      <c r="L27" s="34" t="s">
        <v>635</v>
      </c>
      <c r="M27" s="502" t="s">
        <v>636</v>
      </c>
      <c r="N27" s="503" t="s">
        <v>637</v>
      </c>
      <c r="O27" s="285">
        <f>+T27/P27</f>
        <v>1</v>
      </c>
      <c r="P27" s="430">
        <f t="shared" si="0"/>
        <v>40000000</v>
      </c>
      <c r="Q27" s="40" t="s">
        <v>638</v>
      </c>
      <c r="R27" s="40" t="s">
        <v>639</v>
      </c>
      <c r="S27" s="503" t="s">
        <v>633</v>
      </c>
      <c r="T27" s="274">
        <v>40000000</v>
      </c>
      <c r="U27" s="274">
        <v>15680000</v>
      </c>
      <c r="V27" s="274">
        <v>15680000</v>
      </c>
      <c r="W27" s="46" t="s">
        <v>631</v>
      </c>
      <c r="X27" s="40" t="s">
        <v>632</v>
      </c>
      <c r="Y27" s="333">
        <v>20196</v>
      </c>
      <c r="Z27" s="333"/>
      <c r="AA27" s="333">
        <v>20595</v>
      </c>
      <c r="AB27" s="333"/>
      <c r="AC27" s="333">
        <v>29775</v>
      </c>
      <c r="AD27" s="333"/>
      <c r="AE27" s="333">
        <v>9453</v>
      </c>
      <c r="AF27" s="333"/>
      <c r="AG27" s="333">
        <v>1396</v>
      </c>
      <c r="AH27" s="333"/>
      <c r="AI27" s="333">
        <v>167</v>
      </c>
      <c r="AJ27" s="333"/>
      <c r="AK27" s="333">
        <v>274</v>
      </c>
      <c r="AL27" s="333"/>
      <c r="AM27" s="333">
        <v>330</v>
      </c>
      <c r="AN27" s="333"/>
      <c r="AO27" s="333">
        <v>0</v>
      </c>
      <c r="AP27" s="333"/>
      <c r="AQ27" s="333">
        <v>0</v>
      </c>
      <c r="AR27" s="333"/>
      <c r="AS27" s="333">
        <v>0</v>
      </c>
      <c r="AT27" s="333"/>
      <c r="AU27" s="333">
        <v>0</v>
      </c>
      <c r="AV27" s="333"/>
      <c r="AW27" s="333">
        <v>3097</v>
      </c>
      <c r="AX27" s="333"/>
      <c r="AY27" s="333">
        <v>2611</v>
      </c>
      <c r="AZ27" s="333"/>
      <c r="BA27" s="333">
        <v>50</v>
      </c>
      <c r="BB27" s="333"/>
      <c r="BC27" s="333">
        <f>+Y27+AA27</f>
        <v>40791</v>
      </c>
      <c r="BD27" s="333"/>
      <c r="BE27" s="333">
        <v>2</v>
      </c>
      <c r="BF27" s="665">
        <f t="shared" si="1"/>
        <v>15680000</v>
      </c>
      <c r="BG27" s="665">
        <f t="shared" si="1"/>
        <v>15680000</v>
      </c>
      <c r="BH27" s="513">
        <f>BG27/BF27</f>
        <v>1</v>
      </c>
      <c r="BI27" s="663" t="s">
        <v>72</v>
      </c>
      <c r="BJ27" s="333" t="s">
        <v>579</v>
      </c>
      <c r="BK27" s="48">
        <v>43832</v>
      </c>
      <c r="BL27" s="48">
        <v>43862</v>
      </c>
      <c r="BM27" s="49">
        <v>44195</v>
      </c>
      <c r="BN27" s="49">
        <v>43982</v>
      </c>
      <c r="BO27" s="407" t="s">
        <v>565</v>
      </c>
    </row>
    <row r="28" spans="1:67" s="4" customFormat="1" ht="72.75" customHeight="1" x14ac:dyDescent="0.2">
      <c r="A28" s="283"/>
      <c r="B28" s="91"/>
      <c r="C28" s="89"/>
      <c r="D28" s="91"/>
      <c r="E28" s="91"/>
      <c r="F28" s="89"/>
      <c r="G28" s="1604">
        <v>2201050</v>
      </c>
      <c r="H28" s="1415" t="s">
        <v>640</v>
      </c>
      <c r="I28" s="503" t="s">
        <v>641</v>
      </c>
      <c r="J28" s="34">
        <v>10000</v>
      </c>
      <c r="K28" s="35"/>
      <c r="L28" s="1281" t="s">
        <v>642</v>
      </c>
      <c r="M28" s="1612" t="s">
        <v>643</v>
      </c>
      <c r="N28" s="1415" t="s">
        <v>644</v>
      </c>
      <c r="O28" s="1550">
        <f>+T28/P28</f>
        <v>1</v>
      </c>
      <c r="P28" s="1404">
        <f t="shared" si="0"/>
        <v>700000000</v>
      </c>
      <c r="Q28" s="1293" t="s">
        <v>645</v>
      </c>
      <c r="R28" s="1293" t="s">
        <v>646</v>
      </c>
      <c r="S28" s="1415" t="s">
        <v>640</v>
      </c>
      <c r="T28" s="459">
        <v>700000000</v>
      </c>
      <c r="U28" s="365"/>
      <c r="V28" s="365"/>
      <c r="W28" s="1438">
        <v>25</v>
      </c>
      <c r="X28" s="1458" t="s">
        <v>647</v>
      </c>
      <c r="Y28" s="1436">
        <v>20196</v>
      </c>
      <c r="Z28" s="333"/>
      <c r="AA28" s="1436">
        <v>20595</v>
      </c>
      <c r="AB28" s="333"/>
      <c r="AC28" s="1436">
        <v>29775</v>
      </c>
      <c r="AD28" s="333"/>
      <c r="AE28" s="1436">
        <v>9453</v>
      </c>
      <c r="AF28" s="333"/>
      <c r="AG28" s="1436">
        <v>1396</v>
      </c>
      <c r="AH28" s="333"/>
      <c r="AI28" s="1436">
        <v>167</v>
      </c>
      <c r="AJ28" s="333"/>
      <c r="AK28" s="1436">
        <v>274</v>
      </c>
      <c r="AL28" s="333"/>
      <c r="AM28" s="1436">
        <v>330</v>
      </c>
      <c r="AN28" s="333"/>
      <c r="AO28" s="1436">
        <v>0</v>
      </c>
      <c r="AP28" s="333"/>
      <c r="AQ28" s="1436">
        <v>0</v>
      </c>
      <c r="AR28" s="333"/>
      <c r="AS28" s="1436">
        <v>0</v>
      </c>
      <c r="AT28" s="333"/>
      <c r="AU28" s="1436">
        <v>0</v>
      </c>
      <c r="AV28" s="333"/>
      <c r="AW28" s="1436">
        <v>3097</v>
      </c>
      <c r="AX28" s="333"/>
      <c r="AY28" s="1436">
        <v>2611</v>
      </c>
      <c r="AZ28" s="333"/>
      <c r="BA28" s="1436">
        <v>50</v>
      </c>
      <c r="BB28" s="333"/>
      <c r="BC28" s="1436">
        <f>+Y28+AA28</f>
        <v>40791</v>
      </c>
      <c r="BD28" s="333"/>
      <c r="BE28" s="333"/>
      <c r="BF28" s="333"/>
      <c r="BG28" s="333"/>
      <c r="BH28" s="333"/>
      <c r="BI28" s="333"/>
      <c r="BJ28" s="333"/>
      <c r="BK28" s="1315">
        <v>43832</v>
      </c>
      <c r="BL28" s="360"/>
      <c r="BM28" s="1315">
        <v>44195</v>
      </c>
      <c r="BN28" s="360"/>
      <c r="BO28" s="1478" t="s">
        <v>565</v>
      </c>
    </row>
    <row r="29" spans="1:67" s="221" customFormat="1" ht="65.25" customHeight="1" x14ac:dyDescent="0.2">
      <c r="A29" s="286"/>
      <c r="B29" s="287"/>
      <c r="C29" s="288"/>
      <c r="D29" s="287"/>
      <c r="E29" s="287"/>
      <c r="F29" s="288"/>
      <c r="G29" s="1606"/>
      <c r="H29" s="1420"/>
      <c r="I29" s="503" t="s">
        <v>648</v>
      </c>
      <c r="J29" s="36">
        <v>150</v>
      </c>
      <c r="K29" s="428"/>
      <c r="L29" s="1283"/>
      <c r="M29" s="1613"/>
      <c r="N29" s="1420"/>
      <c r="O29" s="1551"/>
      <c r="P29" s="1405"/>
      <c r="Q29" s="1295"/>
      <c r="R29" s="1295"/>
      <c r="S29" s="1420"/>
      <c r="T29" s="274"/>
      <c r="U29" s="354"/>
      <c r="V29" s="354"/>
      <c r="W29" s="1439"/>
      <c r="X29" s="1460"/>
      <c r="Y29" s="1437"/>
      <c r="Z29" s="339"/>
      <c r="AA29" s="1437"/>
      <c r="AB29" s="339"/>
      <c r="AC29" s="1437"/>
      <c r="AD29" s="339"/>
      <c r="AE29" s="1437"/>
      <c r="AF29" s="339"/>
      <c r="AG29" s="1437"/>
      <c r="AH29" s="339"/>
      <c r="AI29" s="1437"/>
      <c r="AJ29" s="339"/>
      <c r="AK29" s="1437"/>
      <c r="AL29" s="339"/>
      <c r="AM29" s="1437"/>
      <c r="AN29" s="339"/>
      <c r="AO29" s="1437"/>
      <c r="AP29" s="339"/>
      <c r="AQ29" s="1437"/>
      <c r="AR29" s="339"/>
      <c r="AS29" s="1437"/>
      <c r="AT29" s="339"/>
      <c r="AU29" s="1437"/>
      <c r="AV29" s="339"/>
      <c r="AW29" s="1437"/>
      <c r="AX29" s="339"/>
      <c r="AY29" s="1437"/>
      <c r="AZ29" s="339"/>
      <c r="BA29" s="1437"/>
      <c r="BB29" s="339"/>
      <c r="BC29" s="1437"/>
      <c r="BD29" s="339"/>
      <c r="BE29" s="339"/>
      <c r="BF29" s="339"/>
      <c r="BG29" s="339"/>
      <c r="BH29" s="339"/>
      <c r="BI29" s="339"/>
      <c r="BJ29" s="339"/>
      <c r="BK29" s="1317"/>
      <c r="BL29" s="443"/>
      <c r="BM29" s="1317"/>
      <c r="BN29" s="443"/>
      <c r="BO29" s="1479"/>
    </row>
    <row r="30" spans="1:67" s="221" customFormat="1" ht="93" customHeight="1" x14ac:dyDescent="0.2">
      <c r="A30" s="286"/>
      <c r="B30" s="287"/>
      <c r="C30" s="288"/>
      <c r="D30" s="287"/>
      <c r="E30" s="287"/>
      <c r="F30" s="288"/>
      <c r="G30" s="1604">
        <v>2201034</v>
      </c>
      <c r="H30" s="1415" t="s">
        <v>649</v>
      </c>
      <c r="I30" s="503" t="s">
        <v>650</v>
      </c>
      <c r="J30" s="36">
        <v>100</v>
      </c>
      <c r="K30" s="428"/>
      <c r="L30" s="1281" t="s">
        <v>651</v>
      </c>
      <c r="M30" s="1413" t="s">
        <v>652</v>
      </c>
      <c r="N30" s="1299" t="s">
        <v>653</v>
      </c>
      <c r="O30" s="666">
        <f>T30/P30</f>
        <v>0.25</v>
      </c>
      <c r="P30" s="1404">
        <f>T30+T31+T32</f>
        <v>20000000</v>
      </c>
      <c r="Q30" s="1296" t="s">
        <v>654</v>
      </c>
      <c r="R30" s="1296" t="s">
        <v>655</v>
      </c>
      <c r="S30" s="1415" t="s">
        <v>656</v>
      </c>
      <c r="T30" s="430">
        <v>5000000</v>
      </c>
      <c r="U30" s="365"/>
      <c r="V30" s="365"/>
      <c r="W30" s="1438">
        <v>88</v>
      </c>
      <c r="X30" s="1293" t="s">
        <v>523</v>
      </c>
      <c r="Y30" s="1504">
        <v>19649</v>
      </c>
      <c r="Z30" s="1306"/>
      <c r="AA30" s="1504">
        <v>20118</v>
      </c>
      <c r="AB30" s="1306"/>
      <c r="AC30" s="1504">
        <v>28907</v>
      </c>
      <c r="AD30" s="1306"/>
      <c r="AE30" s="1504">
        <v>9525</v>
      </c>
      <c r="AF30" s="1306"/>
      <c r="AG30" s="1504">
        <v>1222</v>
      </c>
      <c r="AH30" s="1306"/>
      <c r="AI30" s="1504">
        <v>113</v>
      </c>
      <c r="AJ30" s="1306"/>
      <c r="AK30" s="1504">
        <v>297</v>
      </c>
      <c r="AL30" s="1306"/>
      <c r="AM30" s="1504">
        <v>345</v>
      </c>
      <c r="AN30" s="1306"/>
      <c r="AO30" s="1504">
        <v>0</v>
      </c>
      <c r="AP30" s="1306"/>
      <c r="AQ30" s="1504">
        <v>0</v>
      </c>
      <c r="AR30" s="1306"/>
      <c r="AS30" s="1504">
        <v>0</v>
      </c>
      <c r="AT30" s="1306"/>
      <c r="AU30" s="1504">
        <v>0</v>
      </c>
      <c r="AV30" s="1306"/>
      <c r="AW30" s="1504">
        <v>3302</v>
      </c>
      <c r="AX30" s="1306"/>
      <c r="AY30" s="1504">
        <v>2507</v>
      </c>
      <c r="AZ30" s="1306"/>
      <c r="BA30" s="1504">
        <v>3414</v>
      </c>
      <c r="BB30" s="1306"/>
      <c r="BC30" s="1504">
        <f>SUM(Y30:AA30)</f>
        <v>39767</v>
      </c>
      <c r="BD30" s="1504"/>
      <c r="BE30" s="1504"/>
      <c r="BF30" s="1504"/>
      <c r="BG30" s="1504"/>
      <c r="BH30" s="1504"/>
      <c r="BI30" s="1504"/>
      <c r="BJ30" s="1504"/>
      <c r="BK30" s="1315">
        <v>44033</v>
      </c>
      <c r="BL30" s="1306"/>
      <c r="BM30" s="1306">
        <v>44195</v>
      </c>
      <c r="BN30" s="1306"/>
      <c r="BO30" s="1478" t="s">
        <v>565</v>
      </c>
    </row>
    <row r="31" spans="1:67" s="221" customFormat="1" ht="71.25" customHeight="1" x14ac:dyDescent="0.2">
      <c r="A31" s="286"/>
      <c r="B31" s="287"/>
      <c r="C31" s="288"/>
      <c r="D31" s="287"/>
      <c r="E31" s="287"/>
      <c r="F31" s="288"/>
      <c r="G31" s="1606"/>
      <c r="H31" s="1420"/>
      <c r="I31" s="503" t="s">
        <v>657</v>
      </c>
      <c r="J31" s="36">
        <v>54</v>
      </c>
      <c r="K31" s="428"/>
      <c r="L31" s="1282"/>
      <c r="M31" s="1414"/>
      <c r="N31" s="1300"/>
      <c r="O31" s="667">
        <f>T31/P30</f>
        <v>0.5</v>
      </c>
      <c r="P31" s="1611"/>
      <c r="Q31" s="1297"/>
      <c r="R31" s="1297"/>
      <c r="S31" s="1420"/>
      <c r="T31" s="274">
        <v>10000000</v>
      </c>
      <c r="U31" s="371"/>
      <c r="V31" s="371"/>
      <c r="W31" s="1564"/>
      <c r="X31" s="1294"/>
      <c r="Y31" s="1538"/>
      <c r="Z31" s="1307"/>
      <c r="AA31" s="1538"/>
      <c r="AB31" s="1307"/>
      <c r="AC31" s="1538"/>
      <c r="AD31" s="1307"/>
      <c r="AE31" s="1538"/>
      <c r="AF31" s="1307"/>
      <c r="AG31" s="1538"/>
      <c r="AH31" s="1307"/>
      <c r="AI31" s="1538"/>
      <c r="AJ31" s="1307"/>
      <c r="AK31" s="1538"/>
      <c r="AL31" s="1307"/>
      <c r="AM31" s="1538"/>
      <c r="AN31" s="1307"/>
      <c r="AO31" s="1538"/>
      <c r="AP31" s="1307"/>
      <c r="AQ31" s="1538"/>
      <c r="AR31" s="1307"/>
      <c r="AS31" s="1538"/>
      <c r="AT31" s="1307"/>
      <c r="AU31" s="1538"/>
      <c r="AV31" s="1307"/>
      <c r="AW31" s="1538"/>
      <c r="AX31" s="1307"/>
      <c r="AY31" s="1538"/>
      <c r="AZ31" s="1307"/>
      <c r="BA31" s="1538"/>
      <c r="BB31" s="1307"/>
      <c r="BC31" s="1538"/>
      <c r="BD31" s="1538"/>
      <c r="BE31" s="1538"/>
      <c r="BF31" s="1538"/>
      <c r="BG31" s="1538"/>
      <c r="BH31" s="1538"/>
      <c r="BI31" s="1538"/>
      <c r="BJ31" s="1538"/>
      <c r="BK31" s="1316"/>
      <c r="BL31" s="1307"/>
      <c r="BM31" s="1307"/>
      <c r="BN31" s="1307"/>
      <c r="BO31" s="1534"/>
    </row>
    <row r="32" spans="1:67" s="4" customFormat="1" ht="215.25" customHeight="1" x14ac:dyDescent="0.2">
      <c r="A32" s="283"/>
      <c r="B32" s="91"/>
      <c r="C32" s="89"/>
      <c r="D32" s="91"/>
      <c r="E32" s="91"/>
      <c r="F32" s="89"/>
      <c r="G32" s="271">
        <v>2201060</v>
      </c>
      <c r="H32" s="503" t="s">
        <v>658</v>
      </c>
      <c r="I32" s="503" t="s">
        <v>659</v>
      </c>
      <c r="J32" s="92">
        <v>50</v>
      </c>
      <c r="K32" s="646"/>
      <c r="L32" s="1283"/>
      <c r="M32" s="1432"/>
      <c r="N32" s="1301"/>
      <c r="O32" s="285">
        <f>T32/P30</f>
        <v>0.25</v>
      </c>
      <c r="P32" s="1405"/>
      <c r="Q32" s="1298"/>
      <c r="R32" s="1298"/>
      <c r="S32" s="503" t="s">
        <v>658</v>
      </c>
      <c r="T32" s="274">
        <v>5000000</v>
      </c>
      <c r="U32" s="274"/>
      <c r="V32" s="274"/>
      <c r="W32" s="1439"/>
      <c r="X32" s="1295"/>
      <c r="Y32" s="1505"/>
      <c r="Z32" s="1308"/>
      <c r="AA32" s="1505"/>
      <c r="AB32" s="1308"/>
      <c r="AC32" s="1505"/>
      <c r="AD32" s="1308"/>
      <c r="AE32" s="1505"/>
      <c r="AF32" s="1308"/>
      <c r="AG32" s="1505"/>
      <c r="AH32" s="1308"/>
      <c r="AI32" s="1505"/>
      <c r="AJ32" s="1308"/>
      <c r="AK32" s="1505"/>
      <c r="AL32" s="1308"/>
      <c r="AM32" s="1505"/>
      <c r="AN32" s="1308"/>
      <c r="AO32" s="1505"/>
      <c r="AP32" s="1308"/>
      <c r="AQ32" s="1505"/>
      <c r="AR32" s="1308"/>
      <c r="AS32" s="1505"/>
      <c r="AT32" s="1308"/>
      <c r="AU32" s="1505"/>
      <c r="AV32" s="1308"/>
      <c r="AW32" s="1505"/>
      <c r="AX32" s="1308"/>
      <c r="AY32" s="1505"/>
      <c r="AZ32" s="1308"/>
      <c r="BA32" s="1505"/>
      <c r="BB32" s="1308"/>
      <c r="BC32" s="1505"/>
      <c r="BD32" s="1505"/>
      <c r="BE32" s="1505"/>
      <c r="BF32" s="1505"/>
      <c r="BG32" s="1505"/>
      <c r="BH32" s="1505"/>
      <c r="BI32" s="1505"/>
      <c r="BJ32" s="1505"/>
      <c r="BK32" s="1317"/>
      <c r="BL32" s="1308"/>
      <c r="BM32" s="1308"/>
      <c r="BN32" s="1308"/>
      <c r="BO32" s="1479"/>
    </row>
    <row r="33" spans="1:67" s="4" customFormat="1" ht="156.75" customHeight="1" x14ac:dyDescent="0.2">
      <c r="A33" s="283"/>
      <c r="B33" s="91"/>
      <c r="C33" s="89"/>
      <c r="D33" s="103"/>
      <c r="E33" s="103"/>
      <c r="F33" s="104"/>
      <c r="G33" s="271">
        <v>2201015</v>
      </c>
      <c r="H33" s="503" t="s">
        <v>660</v>
      </c>
      <c r="I33" s="503" t="s">
        <v>661</v>
      </c>
      <c r="J33" s="92">
        <v>11</v>
      </c>
      <c r="K33" s="646"/>
      <c r="L33" s="284" t="s">
        <v>662</v>
      </c>
      <c r="M33" s="502" t="s">
        <v>663</v>
      </c>
      <c r="N33" s="32" t="s">
        <v>664</v>
      </c>
      <c r="O33" s="285">
        <f>+T33/P33</f>
        <v>1</v>
      </c>
      <c r="P33" s="430">
        <f t="shared" si="0"/>
        <v>10000000</v>
      </c>
      <c r="Q33" s="213" t="s">
        <v>665</v>
      </c>
      <c r="R33" s="213" t="s">
        <v>666</v>
      </c>
      <c r="S33" s="503" t="s">
        <v>660</v>
      </c>
      <c r="T33" s="274">
        <v>10000000</v>
      </c>
      <c r="U33" s="274"/>
      <c r="V33" s="274"/>
      <c r="W33" s="110">
        <v>88</v>
      </c>
      <c r="X33" s="40" t="s">
        <v>667</v>
      </c>
      <c r="Y33" s="512">
        <v>19649</v>
      </c>
      <c r="Z33" s="512"/>
      <c r="AA33" s="512">
        <v>20118</v>
      </c>
      <c r="AB33" s="512"/>
      <c r="AC33" s="512">
        <v>28907</v>
      </c>
      <c r="AD33" s="512"/>
      <c r="AE33" s="512">
        <v>9525</v>
      </c>
      <c r="AF33" s="512"/>
      <c r="AG33" s="512">
        <v>1222</v>
      </c>
      <c r="AH33" s="512"/>
      <c r="AI33" s="512">
        <v>113</v>
      </c>
      <c r="AJ33" s="512"/>
      <c r="AK33" s="512">
        <v>297</v>
      </c>
      <c r="AL33" s="512"/>
      <c r="AM33" s="512">
        <v>345</v>
      </c>
      <c r="AN33" s="512"/>
      <c r="AO33" s="512">
        <v>0</v>
      </c>
      <c r="AP33" s="512"/>
      <c r="AQ33" s="512">
        <v>0</v>
      </c>
      <c r="AR33" s="512"/>
      <c r="AS33" s="512">
        <v>0</v>
      </c>
      <c r="AT33" s="512"/>
      <c r="AU33" s="512">
        <v>0</v>
      </c>
      <c r="AV33" s="512"/>
      <c r="AW33" s="512">
        <v>3302</v>
      </c>
      <c r="AX33" s="512"/>
      <c r="AY33" s="512">
        <v>2507</v>
      </c>
      <c r="AZ33" s="512"/>
      <c r="BA33" s="512">
        <v>3414</v>
      </c>
      <c r="BB33" s="512"/>
      <c r="BC33" s="512">
        <f>SUM(Y33:AA33)</f>
        <v>39767</v>
      </c>
      <c r="BD33" s="512"/>
      <c r="BE33" s="512"/>
      <c r="BF33" s="512"/>
      <c r="BG33" s="512"/>
      <c r="BH33" s="512"/>
      <c r="BI33" s="512"/>
      <c r="BJ33" s="512"/>
      <c r="BK33" s="48">
        <v>44033</v>
      </c>
      <c r="BL33" s="48"/>
      <c r="BM33" s="49">
        <v>44195</v>
      </c>
      <c r="BN33" s="49"/>
      <c r="BO33" s="407" t="s">
        <v>565</v>
      </c>
    </row>
    <row r="34" spans="1:67" s="3" customFormat="1" ht="27" customHeight="1" x14ac:dyDescent="0.2">
      <c r="A34" s="14"/>
      <c r="B34" s="192"/>
      <c r="C34" s="495"/>
      <c r="D34" s="656">
        <v>44</v>
      </c>
      <c r="E34" s="260" t="s">
        <v>175</v>
      </c>
      <c r="F34" s="257"/>
      <c r="G34" s="258"/>
      <c r="H34" s="259"/>
      <c r="I34" s="259"/>
      <c r="J34" s="261"/>
      <c r="K34" s="261"/>
      <c r="L34" s="266"/>
      <c r="M34" s="261"/>
      <c r="N34" s="259"/>
      <c r="O34" s="264"/>
      <c r="P34" s="265"/>
      <c r="Q34" s="266"/>
      <c r="R34" s="266"/>
      <c r="S34" s="259"/>
      <c r="T34" s="267"/>
      <c r="U34" s="267"/>
      <c r="V34" s="267"/>
      <c r="W34" s="268"/>
      <c r="X34" s="266"/>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2"/>
      <c r="AZ34" s="262"/>
      <c r="BA34" s="262"/>
      <c r="BB34" s="262"/>
      <c r="BC34" s="262"/>
      <c r="BD34" s="262"/>
      <c r="BE34" s="262"/>
      <c r="BF34" s="262"/>
      <c r="BG34" s="262"/>
      <c r="BH34" s="262"/>
      <c r="BI34" s="262"/>
      <c r="BJ34" s="262"/>
      <c r="BK34" s="269"/>
      <c r="BL34" s="269"/>
      <c r="BM34" s="269"/>
      <c r="BN34" s="269"/>
      <c r="BO34" s="668"/>
    </row>
    <row r="35" spans="1:67" s="4" customFormat="1" ht="98.25" customHeight="1" x14ac:dyDescent="0.2">
      <c r="A35" s="283"/>
      <c r="B35" s="91"/>
      <c r="C35" s="89"/>
      <c r="D35" s="330"/>
      <c r="E35" s="330"/>
      <c r="F35" s="331"/>
      <c r="G35" s="271" t="s">
        <v>62</v>
      </c>
      <c r="H35" s="503" t="s">
        <v>668</v>
      </c>
      <c r="I35" s="503" t="s">
        <v>669</v>
      </c>
      <c r="J35" s="92">
        <v>1</v>
      </c>
      <c r="K35" s="646"/>
      <c r="L35" s="34" t="s">
        <v>670</v>
      </c>
      <c r="M35" s="326" t="s">
        <v>627</v>
      </c>
      <c r="N35" s="327" t="s">
        <v>671</v>
      </c>
      <c r="O35" s="285">
        <f>T35/(P35+P26)</f>
        <v>0.36581315687362576</v>
      </c>
      <c r="P35" s="669">
        <f>+T35</f>
        <v>43838500</v>
      </c>
      <c r="Q35" s="40" t="s">
        <v>629</v>
      </c>
      <c r="R35" s="40" t="s">
        <v>630</v>
      </c>
      <c r="S35" s="503" t="s">
        <v>668</v>
      </c>
      <c r="T35" s="274">
        <v>43838500</v>
      </c>
      <c r="U35" s="274"/>
      <c r="V35" s="274"/>
      <c r="W35" s="46" t="s">
        <v>672</v>
      </c>
      <c r="X35" s="40" t="s">
        <v>673</v>
      </c>
      <c r="Y35" s="111">
        <v>20196</v>
      </c>
      <c r="Z35" s="111"/>
      <c r="AA35" s="111">
        <v>20595</v>
      </c>
      <c r="AB35" s="111"/>
      <c r="AC35" s="111">
        <v>29775</v>
      </c>
      <c r="AD35" s="111"/>
      <c r="AE35" s="111">
        <v>9453</v>
      </c>
      <c r="AF35" s="111"/>
      <c r="AG35" s="111">
        <v>1396</v>
      </c>
      <c r="AH35" s="111"/>
      <c r="AI35" s="111">
        <v>167</v>
      </c>
      <c r="AJ35" s="111"/>
      <c r="AK35" s="111">
        <v>274</v>
      </c>
      <c r="AL35" s="111"/>
      <c r="AM35" s="111">
        <v>330</v>
      </c>
      <c r="AN35" s="111"/>
      <c r="AO35" s="111">
        <v>0</v>
      </c>
      <c r="AP35" s="111"/>
      <c r="AQ35" s="111">
        <v>0</v>
      </c>
      <c r="AR35" s="111"/>
      <c r="AS35" s="111">
        <v>0</v>
      </c>
      <c r="AT35" s="111"/>
      <c r="AU35" s="111">
        <v>0</v>
      </c>
      <c r="AV35" s="111"/>
      <c r="AW35" s="111">
        <v>3097</v>
      </c>
      <c r="AX35" s="111"/>
      <c r="AY35" s="111">
        <v>2611</v>
      </c>
      <c r="AZ35" s="111"/>
      <c r="BA35" s="111">
        <v>50</v>
      </c>
      <c r="BB35" s="111"/>
      <c r="BC35" s="111">
        <f>+Y35+AA35</f>
        <v>40791</v>
      </c>
      <c r="BD35" s="111"/>
      <c r="BE35" s="111"/>
      <c r="BF35" s="111"/>
      <c r="BG35" s="111"/>
      <c r="BH35" s="111"/>
      <c r="BI35" s="111"/>
      <c r="BJ35" s="111"/>
      <c r="BK35" s="48">
        <v>43832</v>
      </c>
      <c r="BL35" s="48"/>
      <c r="BM35" s="49">
        <v>44195</v>
      </c>
      <c r="BN35" s="49"/>
      <c r="BO35" s="407" t="s">
        <v>565</v>
      </c>
    </row>
    <row r="36" spans="1:67" s="4" customFormat="1" ht="111" customHeight="1" x14ac:dyDescent="0.2">
      <c r="A36" s="283"/>
      <c r="B36" s="91"/>
      <c r="C36" s="89"/>
      <c r="D36" s="91"/>
      <c r="E36" s="91"/>
      <c r="F36" s="89"/>
      <c r="G36" s="271" t="s">
        <v>62</v>
      </c>
      <c r="H36" s="503" t="s">
        <v>668</v>
      </c>
      <c r="I36" s="503" t="s">
        <v>669</v>
      </c>
      <c r="J36" s="92">
        <v>1</v>
      </c>
      <c r="K36" s="646"/>
      <c r="L36" s="407" t="s">
        <v>674</v>
      </c>
      <c r="M36" s="670" t="s">
        <v>675</v>
      </c>
      <c r="N36" s="503" t="s">
        <v>676</v>
      </c>
      <c r="O36" s="285">
        <f>+T36/P36</f>
        <v>1</v>
      </c>
      <c r="P36" s="669">
        <f>+T36</f>
        <v>200000000</v>
      </c>
      <c r="Q36" s="40" t="s">
        <v>629</v>
      </c>
      <c r="R36" s="40" t="s">
        <v>630</v>
      </c>
      <c r="S36" s="503" t="s">
        <v>668</v>
      </c>
      <c r="T36" s="274">
        <v>200000000</v>
      </c>
      <c r="U36" s="274">
        <v>100000000</v>
      </c>
      <c r="V36" s="274">
        <v>100000000</v>
      </c>
      <c r="W36" s="46" t="s">
        <v>677</v>
      </c>
      <c r="X36" s="40" t="s">
        <v>678</v>
      </c>
      <c r="Y36" s="111">
        <v>20196</v>
      </c>
      <c r="Z36" s="111"/>
      <c r="AA36" s="111">
        <v>20595</v>
      </c>
      <c r="AB36" s="111"/>
      <c r="AC36" s="111">
        <v>29775</v>
      </c>
      <c r="AD36" s="111"/>
      <c r="AE36" s="111">
        <v>9453</v>
      </c>
      <c r="AF36" s="111"/>
      <c r="AG36" s="111">
        <v>1396</v>
      </c>
      <c r="AH36" s="111"/>
      <c r="AI36" s="111">
        <v>167</v>
      </c>
      <c r="AJ36" s="111"/>
      <c r="AK36" s="111">
        <v>274</v>
      </c>
      <c r="AL36" s="111"/>
      <c r="AM36" s="111">
        <v>330</v>
      </c>
      <c r="AN36" s="111"/>
      <c r="AO36" s="111">
        <v>0</v>
      </c>
      <c r="AP36" s="111"/>
      <c r="AQ36" s="111">
        <v>0</v>
      </c>
      <c r="AR36" s="111"/>
      <c r="AS36" s="111">
        <v>0</v>
      </c>
      <c r="AT36" s="111"/>
      <c r="AU36" s="111">
        <v>0</v>
      </c>
      <c r="AV36" s="111"/>
      <c r="AW36" s="111">
        <v>3097</v>
      </c>
      <c r="AX36" s="111"/>
      <c r="AY36" s="111">
        <v>2611</v>
      </c>
      <c r="AZ36" s="111"/>
      <c r="BA36" s="111">
        <v>50</v>
      </c>
      <c r="BB36" s="111"/>
      <c r="BC36" s="111">
        <f>+Y36+AA36</f>
        <v>40791</v>
      </c>
      <c r="BD36" s="111"/>
      <c r="BE36" s="111">
        <v>1</v>
      </c>
      <c r="BF36" s="665">
        <f>U36</f>
        <v>100000000</v>
      </c>
      <c r="BG36" s="665">
        <f>V36</f>
        <v>100000000</v>
      </c>
      <c r="BH36" s="513">
        <f>BG36/BF36</f>
        <v>1</v>
      </c>
      <c r="BI36" s="663" t="s">
        <v>72</v>
      </c>
      <c r="BJ36" s="671" t="s">
        <v>679</v>
      </c>
      <c r="BK36" s="48">
        <v>43832</v>
      </c>
      <c r="BL36" s="48"/>
      <c r="BM36" s="49">
        <v>44195</v>
      </c>
      <c r="BN36" s="49"/>
      <c r="BO36" s="407" t="s">
        <v>565</v>
      </c>
    </row>
    <row r="37" spans="1:67" ht="27" customHeight="1" x14ac:dyDescent="0.2">
      <c r="A37" s="672"/>
      <c r="B37" s="236"/>
      <c r="C37" s="673"/>
      <c r="D37" s="674"/>
      <c r="E37" s="674"/>
      <c r="F37" s="675"/>
      <c r="G37" s="675"/>
      <c r="H37" s="676"/>
      <c r="I37" s="677"/>
      <c r="J37" s="677"/>
      <c r="K37" s="677"/>
      <c r="L37" s="678"/>
      <c r="M37" s="679"/>
      <c r="N37" s="676"/>
      <c r="O37" s="680"/>
      <c r="P37" s="344">
        <f>SUM(P12:P36)</f>
        <v>176193619689.29831</v>
      </c>
      <c r="Q37" s="681"/>
      <c r="R37" s="681"/>
      <c r="S37" s="681"/>
      <c r="T37" s="344">
        <f>SUM(T12:T36)</f>
        <v>176193619689.29831</v>
      </c>
      <c r="U37" s="344">
        <f t="shared" ref="U37:V37" si="2">SUM(U12:U36)</f>
        <v>84149120164</v>
      </c>
      <c r="V37" s="344">
        <f t="shared" si="2"/>
        <v>73045021484</v>
      </c>
      <c r="W37" s="682"/>
      <c r="X37" s="683"/>
      <c r="Y37" s="684"/>
      <c r="Z37" s="684"/>
      <c r="AA37" s="684"/>
      <c r="AB37" s="684"/>
      <c r="AC37" s="684"/>
      <c r="AD37" s="684"/>
      <c r="AE37" s="684"/>
      <c r="AF37" s="684"/>
      <c r="AG37" s="685"/>
      <c r="AH37" s="685"/>
      <c r="AI37" s="685"/>
      <c r="AJ37" s="685"/>
      <c r="AK37" s="685"/>
      <c r="AL37" s="685"/>
      <c r="AM37" s="685"/>
      <c r="AN37" s="685"/>
      <c r="AO37" s="685"/>
      <c r="AP37" s="685"/>
      <c r="AQ37" s="685"/>
      <c r="AR37" s="685"/>
      <c r="AS37" s="685"/>
      <c r="AT37" s="685"/>
      <c r="AU37" s="685"/>
      <c r="AV37" s="685"/>
      <c r="AW37" s="685"/>
      <c r="AX37" s="685"/>
      <c r="AY37" s="685"/>
      <c r="AZ37" s="685"/>
      <c r="BA37" s="685"/>
      <c r="BB37" s="685"/>
      <c r="BC37" s="685"/>
      <c r="BD37" s="685"/>
      <c r="BE37" s="685"/>
      <c r="BF37" s="344">
        <f t="shared" ref="BF37:BG37" si="3">SUM(BF12:BF36)</f>
        <v>84149120164</v>
      </c>
      <c r="BG37" s="344">
        <f t="shared" si="3"/>
        <v>73045021484</v>
      </c>
      <c r="BH37" s="686">
        <f>BG37/BF37</f>
        <v>0.86804260509962572</v>
      </c>
      <c r="BI37" s="685"/>
      <c r="BJ37" s="685"/>
      <c r="BK37" s="687"/>
      <c r="BL37" s="687"/>
      <c r="BM37" s="688"/>
      <c r="BN37" s="688"/>
      <c r="BO37" s="689"/>
    </row>
    <row r="40" spans="1:67" ht="27" customHeight="1" x14ac:dyDescent="0.2">
      <c r="B40" s="347"/>
      <c r="C40" s="348"/>
      <c r="D40" s="103"/>
      <c r="E40" s="103"/>
      <c r="F40" s="103"/>
      <c r="G40" s="103"/>
    </row>
    <row r="41" spans="1:67" ht="27" customHeight="1" x14ac:dyDescent="0.25">
      <c r="B41" s="350" t="s">
        <v>680</v>
      </c>
      <c r="C41" s="125"/>
      <c r="D41" s="4"/>
      <c r="E41" s="4"/>
      <c r="F41" s="4"/>
      <c r="G41" s="4"/>
    </row>
    <row r="42" spans="1:67" ht="27" customHeight="1" x14ac:dyDescent="0.25">
      <c r="B42" s="140" t="s">
        <v>681</v>
      </c>
      <c r="C42" s="125"/>
      <c r="D42" s="4"/>
      <c r="E42" s="4"/>
      <c r="F42" s="4"/>
      <c r="G42" s="4"/>
    </row>
  </sheetData>
  <sheetProtection password="A60F" sheet="1" objects="1" scenarios="1"/>
  <mergeCells count="290">
    <mergeCell ref="I7:I9"/>
    <mergeCell ref="J7:K8"/>
    <mergeCell ref="L7:L9"/>
    <mergeCell ref="M7:M9"/>
    <mergeCell ref="N7:N9"/>
    <mergeCell ref="O7:O9"/>
    <mergeCell ref="A1:BM4"/>
    <mergeCell ref="A5:J6"/>
    <mergeCell ref="L5:BO5"/>
    <mergeCell ref="Y6:BD6"/>
    <mergeCell ref="A7:A9"/>
    <mergeCell ref="B7:C9"/>
    <mergeCell ref="D7:D9"/>
    <mergeCell ref="E7:F9"/>
    <mergeCell ref="G7:G9"/>
    <mergeCell ref="H7:H9"/>
    <mergeCell ref="X7:X9"/>
    <mergeCell ref="Y7:AB7"/>
    <mergeCell ref="AC7:AJ7"/>
    <mergeCell ref="AK7:AV7"/>
    <mergeCell ref="Y8:Z8"/>
    <mergeCell ref="AA8:AB8"/>
    <mergeCell ref="AC8:AD8"/>
    <mergeCell ref="AE8:AF8"/>
    <mergeCell ref="P7:P9"/>
    <mergeCell ref="Q7:Q9"/>
    <mergeCell ref="R7:R9"/>
    <mergeCell ref="S7:S9"/>
    <mergeCell ref="T7:T9"/>
    <mergeCell ref="U7:U9"/>
    <mergeCell ref="AW7:BB7"/>
    <mergeCell ref="BC7:BD8"/>
    <mergeCell ref="BE7:BJ7"/>
    <mergeCell ref="AI8:AJ8"/>
    <mergeCell ref="AK8:AL8"/>
    <mergeCell ref="AM8:AN8"/>
    <mergeCell ref="AO8:AP8"/>
    <mergeCell ref="AQ8:AR8"/>
    <mergeCell ref="V7:V9"/>
    <mergeCell ref="W7:W9"/>
    <mergeCell ref="BK7:BL8"/>
    <mergeCell ref="BM7:BN8"/>
    <mergeCell ref="BO7:BO9"/>
    <mergeCell ref="BF8:BF9"/>
    <mergeCell ref="BG8:BG9"/>
    <mergeCell ref="BH8:BH9"/>
    <mergeCell ref="BI8:BI9"/>
    <mergeCell ref="BJ8:BJ9"/>
    <mergeCell ref="L12:L14"/>
    <mergeCell ref="M12:M14"/>
    <mergeCell ref="N12:N14"/>
    <mergeCell ref="Q12:Q14"/>
    <mergeCell ref="R12:R14"/>
    <mergeCell ref="W12:W14"/>
    <mergeCell ref="X12:X14"/>
    <mergeCell ref="Y12:Y14"/>
    <mergeCell ref="Z12:Z14"/>
    <mergeCell ref="AS8:AT8"/>
    <mergeCell ref="AU8:AV8"/>
    <mergeCell ref="AW8:AX8"/>
    <mergeCell ref="AY8:AZ8"/>
    <mergeCell ref="BA8:BB8"/>
    <mergeCell ref="BE8:BE9"/>
    <mergeCell ref="AG8:AH8"/>
    <mergeCell ref="AG12:AG14"/>
    <mergeCell ref="AH12:AH14"/>
    <mergeCell ref="AI12:AI14"/>
    <mergeCell ref="AJ12:AJ14"/>
    <mergeCell ref="AK12:AK14"/>
    <mergeCell ref="AL12:AL14"/>
    <mergeCell ref="AA12:AA14"/>
    <mergeCell ref="AB12:AB14"/>
    <mergeCell ref="AC12:AC14"/>
    <mergeCell ref="AD12:AD14"/>
    <mergeCell ref="AE12:AE14"/>
    <mergeCell ref="AF12:AF14"/>
    <mergeCell ref="AU12:AU14"/>
    <mergeCell ref="AV12:AV14"/>
    <mergeCell ref="AW12:AW14"/>
    <mergeCell ref="AX12:AX14"/>
    <mergeCell ref="AM12:AM14"/>
    <mergeCell ref="AN12:AN14"/>
    <mergeCell ref="AO12:AO14"/>
    <mergeCell ref="AP12:AP14"/>
    <mergeCell ref="AQ12:AQ14"/>
    <mergeCell ref="AR12:AR14"/>
    <mergeCell ref="BK12:BK14"/>
    <mergeCell ref="BL12:BL14"/>
    <mergeCell ref="BM12:BM14"/>
    <mergeCell ref="BN12:BN14"/>
    <mergeCell ref="BO12:BO14"/>
    <mergeCell ref="L15:L16"/>
    <mergeCell ref="M15:M16"/>
    <mergeCell ref="N15:N16"/>
    <mergeCell ref="Q15:Q16"/>
    <mergeCell ref="R15:R16"/>
    <mergeCell ref="BE12:BE14"/>
    <mergeCell ref="BF12:BF14"/>
    <mergeCell ref="BG12:BG14"/>
    <mergeCell ref="BH12:BH14"/>
    <mergeCell ref="BI12:BI14"/>
    <mergeCell ref="BJ12:BJ14"/>
    <mergeCell ref="AY12:AY14"/>
    <mergeCell ref="AZ12:AZ14"/>
    <mergeCell ref="BA12:BA14"/>
    <mergeCell ref="BB12:BB14"/>
    <mergeCell ref="BC12:BC14"/>
    <mergeCell ref="BD12:BD14"/>
    <mergeCell ref="AS12:AS14"/>
    <mergeCell ref="AT12:AT14"/>
    <mergeCell ref="AE15:AE16"/>
    <mergeCell ref="AF15:AF16"/>
    <mergeCell ref="AG15:AG16"/>
    <mergeCell ref="AH15:AH16"/>
    <mergeCell ref="W15:W16"/>
    <mergeCell ref="X15:X16"/>
    <mergeCell ref="Y15:Y16"/>
    <mergeCell ref="Z15:Z16"/>
    <mergeCell ref="AA15:AA16"/>
    <mergeCell ref="AB15:AB16"/>
    <mergeCell ref="L19:L24"/>
    <mergeCell ref="M19:M24"/>
    <mergeCell ref="N19:N24"/>
    <mergeCell ref="Q19:Q24"/>
    <mergeCell ref="R19:R24"/>
    <mergeCell ref="W19:W24"/>
    <mergeCell ref="X19:X24"/>
    <mergeCell ref="BG15:BG16"/>
    <mergeCell ref="BH15:BH16"/>
    <mergeCell ref="BA15:BA16"/>
    <mergeCell ref="BB15:BB16"/>
    <mergeCell ref="BC15:BC16"/>
    <mergeCell ref="BD15:BD16"/>
    <mergeCell ref="BE15:BE16"/>
    <mergeCell ref="BF15:BF16"/>
    <mergeCell ref="AU15:AU16"/>
    <mergeCell ref="AV15:AV16"/>
    <mergeCell ref="AW15:AW16"/>
    <mergeCell ref="AX15:AX16"/>
    <mergeCell ref="AY15:AY16"/>
    <mergeCell ref="AZ15:AZ16"/>
    <mergeCell ref="AO15:AO16"/>
    <mergeCell ref="AP15:AP16"/>
    <mergeCell ref="AQ15:AQ16"/>
    <mergeCell ref="Y19:Y24"/>
    <mergeCell ref="Z19:Z24"/>
    <mergeCell ref="AA19:AA24"/>
    <mergeCell ref="AB19:AB24"/>
    <mergeCell ref="AC19:AC24"/>
    <mergeCell ref="AD19:AD24"/>
    <mergeCell ref="BM15:BM16"/>
    <mergeCell ref="BN15:BN16"/>
    <mergeCell ref="BO15:BO16"/>
    <mergeCell ref="BI15:BI16"/>
    <mergeCell ref="BJ15:BJ16"/>
    <mergeCell ref="BK15:BK16"/>
    <mergeCell ref="BL15:BL16"/>
    <mergeCell ref="AR15:AR16"/>
    <mergeCell ref="AS15:AS16"/>
    <mergeCell ref="AT15:AT16"/>
    <mergeCell ref="AI15:AI16"/>
    <mergeCell ref="AJ15:AJ16"/>
    <mergeCell ref="AK15:AK16"/>
    <mergeCell ref="AL15:AL16"/>
    <mergeCell ref="AM15:AM16"/>
    <mergeCell ref="AN15:AN16"/>
    <mergeCell ref="AC15:AC16"/>
    <mergeCell ref="AD15:AD16"/>
    <mergeCell ref="AK19:AK24"/>
    <mergeCell ref="AL19:AL24"/>
    <mergeCell ref="AM19:AM24"/>
    <mergeCell ref="AN19:AN24"/>
    <mergeCell ref="AO19:AO24"/>
    <mergeCell ref="AP19:AP24"/>
    <mergeCell ref="AE19:AE24"/>
    <mergeCell ref="AF19:AF24"/>
    <mergeCell ref="AG19:AG24"/>
    <mergeCell ref="AH19:AH24"/>
    <mergeCell ref="AI19:AI24"/>
    <mergeCell ref="AJ19:AJ24"/>
    <mergeCell ref="BG19:BG24"/>
    <mergeCell ref="BH19:BH24"/>
    <mergeCell ref="AW19:AW24"/>
    <mergeCell ref="AX19:AX24"/>
    <mergeCell ref="AY19:AY24"/>
    <mergeCell ref="AZ19:AZ24"/>
    <mergeCell ref="BA19:BA24"/>
    <mergeCell ref="BB19:BB24"/>
    <mergeCell ref="AQ19:AQ24"/>
    <mergeCell ref="AR19:AR24"/>
    <mergeCell ref="AS19:AS24"/>
    <mergeCell ref="AT19:AT24"/>
    <mergeCell ref="AU19:AU24"/>
    <mergeCell ref="AV19:AV24"/>
    <mergeCell ref="X28:X29"/>
    <mergeCell ref="Y28:Y29"/>
    <mergeCell ref="AA28:AA29"/>
    <mergeCell ref="AC28:AC29"/>
    <mergeCell ref="BO19:BO24"/>
    <mergeCell ref="G28:G29"/>
    <mergeCell ref="H28:H29"/>
    <mergeCell ref="L28:L29"/>
    <mergeCell ref="M28:M29"/>
    <mergeCell ref="N28:N29"/>
    <mergeCell ref="O28:O29"/>
    <mergeCell ref="P28:P29"/>
    <mergeCell ref="Q28:Q29"/>
    <mergeCell ref="R28:R29"/>
    <mergeCell ref="BI19:BI24"/>
    <mergeCell ref="BJ19:BJ24"/>
    <mergeCell ref="BK19:BK24"/>
    <mergeCell ref="BL19:BL24"/>
    <mergeCell ref="BM19:BM24"/>
    <mergeCell ref="BN19:BN24"/>
    <mergeCell ref="BC19:BC24"/>
    <mergeCell ref="BD19:BD24"/>
    <mergeCell ref="BE19:BE24"/>
    <mergeCell ref="BF19:BF24"/>
    <mergeCell ref="BC28:BC29"/>
    <mergeCell ref="BK28:BK29"/>
    <mergeCell ref="BM28:BM29"/>
    <mergeCell ref="BO28:BO29"/>
    <mergeCell ref="G30:G31"/>
    <mergeCell ref="H30:H31"/>
    <mergeCell ref="L30:L32"/>
    <mergeCell ref="M30:M32"/>
    <mergeCell ref="N30:N32"/>
    <mergeCell ref="P30:P32"/>
    <mergeCell ref="AQ28:AQ29"/>
    <mergeCell ref="AS28:AS29"/>
    <mergeCell ref="AU28:AU29"/>
    <mergeCell ref="AW28:AW29"/>
    <mergeCell ref="AY28:AY29"/>
    <mergeCell ref="BA28:BA29"/>
    <mergeCell ref="AE28:AE29"/>
    <mergeCell ref="AG28:AG29"/>
    <mergeCell ref="AI28:AI29"/>
    <mergeCell ref="AK28:AK29"/>
    <mergeCell ref="AM28:AM29"/>
    <mergeCell ref="AO28:AO29"/>
    <mergeCell ref="S28:S29"/>
    <mergeCell ref="W28:W29"/>
    <mergeCell ref="Z30:Z32"/>
    <mergeCell ref="AA30:AA32"/>
    <mergeCell ref="AB30:AB32"/>
    <mergeCell ref="AC30:AC32"/>
    <mergeCell ref="AD30:AD32"/>
    <mergeCell ref="AE30:AE32"/>
    <mergeCell ref="Q30:Q32"/>
    <mergeCell ref="R30:R32"/>
    <mergeCell ref="S30:S31"/>
    <mergeCell ref="W30:W32"/>
    <mergeCell ref="X30:X32"/>
    <mergeCell ref="Y30:Y32"/>
    <mergeCell ref="AL30:AL32"/>
    <mergeCell ref="AM30:AM32"/>
    <mergeCell ref="AN30:AN32"/>
    <mergeCell ref="AO30:AO32"/>
    <mergeCell ref="AP30:AP32"/>
    <mergeCell ref="AQ30:AQ32"/>
    <mergeCell ref="AF30:AF32"/>
    <mergeCell ref="AG30:AG32"/>
    <mergeCell ref="AH30:AH32"/>
    <mergeCell ref="AI30:AI32"/>
    <mergeCell ref="AJ30:AJ32"/>
    <mergeCell ref="AK30:AK32"/>
    <mergeCell ref="AX30:AX32"/>
    <mergeCell ref="AY30:AY32"/>
    <mergeCell ref="AZ30:AZ32"/>
    <mergeCell ref="BA30:BA32"/>
    <mergeCell ref="BB30:BB32"/>
    <mergeCell ref="BC30:BC32"/>
    <mergeCell ref="AR30:AR32"/>
    <mergeCell ref="AS30:AS32"/>
    <mergeCell ref="AT30:AT32"/>
    <mergeCell ref="AU30:AU32"/>
    <mergeCell ref="AV30:AV32"/>
    <mergeCell ref="AW30:AW32"/>
    <mergeCell ref="BJ30:BJ32"/>
    <mergeCell ref="BK30:BK32"/>
    <mergeCell ref="BL30:BL32"/>
    <mergeCell ref="BM30:BM32"/>
    <mergeCell ref="BN30:BN32"/>
    <mergeCell ref="BO30:BO32"/>
    <mergeCell ref="BD30:BD32"/>
    <mergeCell ref="BE30:BE32"/>
    <mergeCell ref="BF30:BF32"/>
    <mergeCell ref="BG30:BG32"/>
    <mergeCell ref="BH30:BH32"/>
    <mergeCell ref="BI30:BI32"/>
  </mergeCells>
  <pageMargins left="1.1023622047244095" right="0.11811023622047245" top="0.35433070866141736" bottom="0.35433070866141736" header="0.31496062992125984" footer="0.31496062992125984"/>
  <pageSetup paperSize="5"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8</vt:i4>
      </vt:variant>
    </vt:vector>
  </HeadingPairs>
  <TitlesOfParts>
    <vt:vector size="23" baseType="lpstr">
      <vt:lpstr>SGTO PA PLANEACIÓN </vt:lpstr>
      <vt:lpstr>SGTO PA HACIENDA</vt:lpstr>
      <vt:lpstr>SGTP PA INFRA SEGUIMIENTO</vt:lpstr>
      <vt:lpstr>SGTO PA INTERIOR</vt:lpstr>
      <vt:lpstr>SGTO PA CULTURA</vt:lpstr>
      <vt:lpstr>SGTO PA TURISMO </vt:lpstr>
      <vt:lpstr>SGTO PA GRICULTURA</vt:lpstr>
      <vt:lpstr>SGTO D. OFICINA PRIVADA</vt:lpstr>
      <vt:lpstr>SGTO PA EDUCACIÓN</vt:lpstr>
      <vt:lpstr>SGTO PA FAMILIA </vt:lpstr>
      <vt:lpstr>SGTO PA SALUD</vt:lpstr>
      <vt:lpstr>SGTO PA TICS</vt:lpstr>
      <vt:lpstr>SGTO PA INDEPORTES</vt:lpstr>
      <vt:lpstr>SGTO PA PROMOTORA</vt:lpstr>
      <vt:lpstr>SGTO PA IDTQ</vt:lpstr>
      <vt:lpstr>'SGTO PA EDUCACIÓN'!Área_de_impresión</vt:lpstr>
      <vt:lpstr>'SGTO PA PLANEACIÓN '!Área_de_impresión</vt:lpstr>
      <vt:lpstr>'SGTO PA TICS'!Área_de_impresión</vt:lpstr>
      <vt:lpstr>'SGTO PA TURISMO '!Área_de_impresión</vt:lpstr>
      <vt:lpstr>'SGTO PA EDUCACIÓN'!Títulos_a_imprimir</vt:lpstr>
      <vt:lpstr>'SGTO PA PLANEACIÓN '!Títulos_a_imprimir</vt:lpstr>
      <vt:lpstr>'SGTO PA TICS'!Títulos_a_imprimir</vt:lpstr>
      <vt:lpstr>'SGTO PA TURISMO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AUXPLANEACION03</dc:creator>
  <cp:lastModifiedBy>AUXPLANEACION03</cp:lastModifiedBy>
  <dcterms:created xsi:type="dcterms:W3CDTF">2020-09-08T15:25:43Z</dcterms:created>
  <dcterms:modified xsi:type="dcterms:W3CDTF">2020-09-28T16:44:16Z</dcterms:modified>
</cp:coreProperties>
</file>